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tables/table10.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8" documentId="11_0C68C607FA61A452A26597734D2E7021434D15A9" xr6:coauthVersionLast="47" xr6:coauthVersionMax="47" xr10:uidLastSave="{E80A9A9B-F3A4-40C3-8854-C60956FC09AD}"/>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 name="CRF-v2025"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2" l="1"/>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G2" i="12"/>
  <c r="K326" i="1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376" i="1"/>
  <c r="L375" i="1"/>
  <c r="L374" i="1"/>
  <c r="L373" i="1"/>
  <c r="L372" i="1"/>
  <c r="L371" i="1"/>
  <c r="L370" i="1"/>
  <c r="L369" i="1"/>
  <c r="L368" i="1"/>
  <c r="L367" i="1"/>
  <c r="L366" i="1"/>
  <c r="L365" i="1"/>
  <c r="L364" i="1"/>
  <c r="L363" i="1"/>
  <c r="L362" i="1"/>
  <c r="L361" i="1"/>
  <c r="L360" i="1"/>
  <c r="L359" i="1"/>
  <c r="L358" i="1"/>
  <c r="L357" i="1"/>
  <c r="L356" i="1"/>
  <c r="L355" i="1"/>
  <c r="L354" i="1"/>
  <c r="L353" i="1"/>
  <c r="L352" i="1"/>
  <c r="L351" i="1"/>
  <c r="L350" i="1"/>
  <c r="L349" i="1"/>
  <c r="L348" i="1"/>
  <c r="L347" i="1"/>
  <c r="L346" i="1"/>
  <c r="L345" i="1"/>
  <c r="L344" i="1"/>
  <c r="L343" i="1"/>
  <c r="L342" i="1"/>
  <c r="L341" i="1"/>
  <c r="L340" i="1"/>
  <c r="L339" i="1"/>
  <c r="L338" i="1"/>
  <c r="L337" i="1"/>
  <c r="L336" i="1"/>
  <c r="L335" i="1"/>
  <c r="L334" i="1"/>
  <c r="L333" i="1"/>
  <c r="L332" i="1"/>
  <c r="L331" i="1"/>
  <c r="L330" i="1"/>
  <c r="L329" i="1"/>
  <c r="L328" i="1"/>
  <c r="L327" i="1"/>
  <c r="L326" i="1"/>
  <c r="L325" i="1"/>
  <c r="L324" i="1"/>
  <c r="L323" i="1"/>
  <c r="L322" i="1"/>
  <c r="L321" i="1"/>
  <c r="L320" i="1"/>
  <c r="L319" i="1"/>
  <c r="L318" i="1"/>
  <c r="L317" i="1"/>
  <c r="L316" i="1"/>
  <c r="L315" i="1"/>
  <c r="L314" i="1"/>
  <c r="L313" i="1"/>
  <c r="L312" i="1"/>
  <c r="L311" i="1"/>
  <c r="L310" i="1"/>
  <c r="L309" i="1"/>
  <c r="L308" i="1"/>
  <c r="L307" i="1"/>
  <c r="L306" i="1"/>
  <c r="L305" i="1"/>
  <c r="L304" i="1"/>
  <c r="L303" i="1"/>
  <c r="L302" i="1"/>
  <c r="L301" i="1"/>
  <c r="L300" i="1"/>
  <c r="L299" i="1"/>
  <c r="L298" i="1"/>
  <c r="L297" i="1"/>
  <c r="L296" i="1"/>
  <c r="L295" i="1"/>
  <c r="L294" i="1"/>
  <c r="L293" i="1"/>
  <c r="L292" i="1"/>
  <c r="L291" i="1"/>
  <c r="L290" i="1"/>
  <c r="L289" i="1"/>
  <c r="L288" i="1"/>
  <c r="L287" i="1"/>
  <c r="L286" i="1"/>
  <c r="L285" i="1"/>
  <c r="L284" i="1"/>
  <c r="L283" i="1"/>
  <c r="L282" i="1"/>
  <c r="L281" i="1"/>
  <c r="L280" i="1"/>
  <c r="L279" i="1"/>
  <c r="L278" i="1"/>
  <c r="L277" i="1"/>
  <c r="L276" i="1"/>
  <c r="L275" i="1"/>
  <c r="L274" i="1"/>
  <c r="L273" i="1"/>
  <c r="L272" i="1"/>
  <c r="L271" i="1"/>
  <c r="L270" i="1"/>
  <c r="L269" i="1"/>
  <c r="L268" i="1"/>
  <c r="L267" i="1"/>
  <c r="L266" i="1"/>
  <c r="L265" i="1"/>
  <c r="L264" i="1"/>
  <c r="L263" i="1"/>
  <c r="L262" i="1"/>
  <c r="L261" i="1"/>
  <c r="L260" i="1"/>
  <c r="L259" i="1"/>
  <c r="L258" i="1"/>
  <c r="L257" i="1"/>
  <c r="L256" i="1"/>
  <c r="L255" i="1"/>
  <c r="L254" i="1"/>
  <c r="L253" i="1"/>
  <c r="L252" i="1"/>
  <c r="L251" i="1"/>
  <c r="L250" i="1"/>
  <c r="L249" i="1"/>
  <c r="L248" i="1"/>
  <c r="L247" i="1"/>
  <c r="L246" i="1"/>
  <c r="L245" i="1"/>
  <c r="L244" i="1"/>
  <c r="L243" i="1"/>
  <c r="L242" i="1"/>
  <c r="L241" i="1"/>
  <c r="L240" i="1"/>
  <c r="L239" i="1"/>
  <c r="L238" i="1"/>
  <c r="L237" i="1"/>
  <c r="L236" i="1"/>
  <c r="L235" i="1"/>
  <c r="L234" i="1"/>
  <c r="L233" i="1"/>
  <c r="L232" i="1"/>
  <c r="L231" i="1"/>
  <c r="L230" i="1"/>
  <c r="L229" i="1"/>
  <c r="L228" i="1"/>
  <c r="L227" i="1"/>
  <c r="L226" i="1"/>
  <c r="L225" i="1"/>
  <c r="L224" i="1"/>
  <c r="L223" i="1"/>
  <c r="L222" i="1"/>
  <c r="L221" i="1"/>
  <c r="L220" i="1"/>
  <c r="L219" i="1"/>
  <c r="L218" i="1"/>
  <c r="L217" i="1"/>
  <c r="L216" i="1"/>
  <c r="L215" i="1"/>
  <c r="L214" i="1"/>
  <c r="L213" i="1"/>
  <c r="L212" i="1"/>
  <c r="L211" i="1"/>
  <c r="L210" i="1"/>
  <c r="L209" i="1"/>
  <c r="L208" i="1"/>
  <c r="L207" i="1"/>
  <c r="L206" i="1"/>
  <c r="L205" i="1"/>
  <c r="L204" i="1"/>
  <c r="L203" i="1"/>
  <c r="L202" i="1"/>
  <c r="L201" i="1"/>
  <c r="L200" i="1"/>
  <c r="L199" i="1"/>
  <c r="L198" i="1"/>
  <c r="L197" i="1"/>
  <c r="L196" i="1"/>
  <c r="L195" i="1"/>
  <c r="L194" i="1"/>
  <c r="L193" i="1"/>
  <c r="L192" i="1"/>
  <c r="L191" i="1"/>
  <c r="L190" i="1"/>
  <c r="L189" i="1"/>
  <c r="L188" i="1"/>
  <c r="L187" i="1"/>
  <c r="L186" i="1"/>
  <c r="L185" i="1"/>
  <c r="L184" i="1"/>
  <c r="L183" i="1"/>
  <c r="L182" i="1"/>
  <c r="L181" i="1"/>
  <c r="L180" i="1"/>
  <c r="L179" i="1"/>
  <c r="L178" i="1"/>
  <c r="L177" i="1"/>
  <c r="L176" i="1"/>
  <c r="L175" i="1"/>
  <c r="L174" i="1"/>
  <c r="L173" i="1"/>
  <c r="L172" i="1"/>
  <c r="L171" i="1"/>
  <c r="L170" i="1"/>
  <c r="L169" i="1"/>
  <c r="L168" i="1"/>
  <c r="L167" i="1"/>
  <c r="L166" i="1"/>
  <c r="L165" i="1"/>
  <c r="L164" i="1"/>
  <c r="L163" i="1"/>
  <c r="L162" i="1"/>
  <c r="L161" i="1"/>
  <c r="L160" i="1"/>
  <c r="L159" i="1"/>
  <c r="L158" i="1"/>
  <c r="L157" i="1"/>
  <c r="L156" i="1"/>
  <c r="L155" i="1"/>
  <c r="L154" i="1"/>
  <c r="L153" i="1"/>
  <c r="L152" i="1"/>
  <c r="L151" i="1"/>
  <c r="L150" i="1"/>
  <c r="L149" i="1"/>
  <c r="L148" i="1"/>
  <c r="L147" i="1"/>
  <c r="L146" i="1"/>
  <c r="L145" i="1"/>
  <c r="L144" i="1"/>
  <c r="L143" i="1"/>
  <c r="L142" i="1"/>
  <c r="L141" i="1"/>
  <c r="L140" i="1"/>
  <c r="L139" i="1"/>
  <c r="L138" i="1"/>
  <c r="L137" i="1"/>
  <c r="L136" i="1"/>
  <c r="L135" i="1"/>
  <c r="L134" i="1"/>
  <c r="L133" i="1"/>
  <c r="L132" i="1"/>
  <c r="L131" i="1"/>
  <c r="L130" i="1"/>
  <c r="L129" i="1"/>
  <c r="L128" i="1"/>
  <c r="L127" i="1"/>
  <c r="L126" i="1"/>
  <c r="L125" i="1"/>
  <c r="L124" i="1"/>
  <c r="L123" i="1"/>
  <c r="L122" i="1"/>
  <c r="L121" i="1"/>
  <c r="L120" i="1"/>
  <c r="L119" i="1"/>
  <c r="L118" i="1"/>
  <c r="L117" i="1"/>
  <c r="L116" i="1"/>
  <c r="L115" i="1"/>
  <c r="L114" i="1"/>
  <c r="L113" i="1"/>
  <c r="L112" i="1"/>
  <c r="L111" i="1"/>
  <c r="L110" i="1"/>
  <c r="L109" i="1"/>
  <c r="L108" i="1"/>
  <c r="L107" i="1"/>
  <c r="L106" i="1"/>
  <c r="L105" i="1"/>
  <c r="L104" i="1"/>
  <c r="L103" i="1"/>
  <c r="L102" i="1"/>
  <c r="L101" i="1"/>
  <c r="L100" i="1"/>
  <c r="L99" i="1"/>
  <c r="L98" i="1"/>
  <c r="L97" i="1"/>
  <c r="L96" i="1"/>
  <c r="L95" i="1"/>
  <c r="L94" i="1"/>
  <c r="L93" i="1"/>
  <c r="L92" i="1"/>
  <c r="L91" i="1"/>
  <c r="L90" i="1"/>
  <c r="L89" i="1"/>
  <c r="L88" i="1"/>
  <c r="L87" i="1"/>
  <c r="L86" i="1"/>
  <c r="L85" i="1"/>
  <c r="L84" i="1"/>
  <c r="L83" i="1"/>
  <c r="L82" i="1"/>
  <c r="L81" i="1"/>
  <c r="L80" i="1"/>
  <c r="L79" i="1"/>
  <c r="L78" i="1"/>
  <c r="L77" i="1"/>
  <c r="L76" i="1"/>
  <c r="L75" i="1"/>
  <c r="L74" i="1"/>
  <c r="L73" i="1"/>
  <c r="L72" i="1"/>
  <c r="L71" i="1"/>
  <c r="L70" i="1"/>
  <c r="L69" i="1"/>
  <c r="L68" i="1"/>
  <c r="L67" i="1"/>
  <c r="L66" i="1"/>
  <c r="L65" i="1"/>
  <c r="L64" i="1"/>
  <c r="L63" i="1"/>
  <c r="L62" i="1"/>
  <c r="L61" i="1"/>
  <c r="L60" i="1"/>
  <c r="L59" i="1"/>
  <c r="L58" i="1"/>
  <c r="L57" i="1"/>
  <c r="L56" i="1"/>
  <c r="L55" i="1"/>
  <c r="L54" i="1"/>
  <c r="L53" i="1"/>
  <c r="L52" i="1"/>
  <c r="L51" i="1"/>
  <c r="L50" i="1"/>
  <c r="L49" i="1"/>
  <c r="L48" i="1"/>
  <c r="L47" i="1"/>
  <c r="L46" i="1"/>
  <c r="L45" i="1"/>
  <c r="L44" i="1"/>
  <c r="L43" i="1"/>
  <c r="L42" i="1"/>
  <c r="L41" i="1"/>
  <c r="L40" i="1"/>
  <c r="L39" i="1"/>
  <c r="L38" i="1"/>
  <c r="L37" i="1"/>
  <c r="L36" i="1"/>
  <c r="L35" i="1"/>
  <c r="L34" i="1"/>
  <c r="L33" i="1"/>
  <c r="L32" i="1"/>
  <c r="L31" i="1"/>
  <c r="L30" i="1"/>
  <c r="L29" i="1"/>
  <c r="L28" i="1"/>
  <c r="L27" i="1"/>
  <c r="L26" i="1"/>
  <c r="L25" i="1"/>
  <c r="L24" i="1"/>
  <c r="L23" i="1"/>
  <c r="L22" i="1"/>
  <c r="L21" i="1"/>
  <c r="L20" i="1"/>
  <c r="L19" i="1"/>
  <c r="L18" i="1"/>
  <c r="L17" i="1"/>
  <c r="L16" i="1"/>
  <c r="L15" i="1"/>
  <c r="L14" i="1"/>
  <c r="L13" i="1"/>
  <c r="L12" i="1"/>
  <c r="L11" i="1"/>
  <c r="L10" i="1"/>
  <c r="L9" i="1"/>
  <c r="L8" i="1"/>
  <c r="L7" i="1"/>
  <c r="L6" i="1"/>
  <c r="L5" i="1"/>
  <c r="L4" i="1"/>
  <c r="L3" i="1"/>
  <c r="F112" i="3" s="1"/>
  <c r="L2" i="1"/>
  <c r="R187" i="3"/>
  <c r="R186" i="3"/>
  <c r="R185" i="3"/>
  <c r="R184" i="3"/>
  <c r="R183" i="3"/>
  <c r="R182" i="3"/>
  <c r="R181" i="3"/>
  <c r="R180" i="3"/>
  <c r="R179" i="3"/>
  <c r="R178" i="3"/>
  <c r="R177" i="3"/>
  <c r="R176" i="3"/>
  <c r="R175" i="3"/>
  <c r="R174" i="3"/>
  <c r="R173" i="3"/>
  <c r="R172" i="3"/>
  <c r="R171" i="3"/>
  <c r="R170" i="3"/>
  <c r="R169" i="3"/>
  <c r="R168" i="3"/>
  <c r="O112" i="3"/>
  <c r="N112" i="3"/>
  <c r="M112" i="3"/>
  <c r="L112" i="3"/>
  <c r="K112" i="3"/>
  <c r="E112" i="3"/>
  <c r="O111" i="3"/>
  <c r="N111" i="3"/>
  <c r="M111" i="3"/>
  <c r="L111" i="3"/>
  <c r="K111" i="3"/>
  <c r="F111" i="3"/>
  <c r="E111" i="3"/>
  <c r="G111" i="3" s="1"/>
  <c r="O110" i="3"/>
  <c r="N110" i="3"/>
  <c r="M110" i="3"/>
  <c r="L110" i="3"/>
  <c r="K110" i="3"/>
  <c r="F110" i="3"/>
  <c r="E110" i="3"/>
  <c r="G110" i="3" s="1"/>
  <c r="O109" i="3"/>
  <c r="N109" i="3"/>
  <c r="M109" i="3"/>
  <c r="L109" i="3"/>
  <c r="K109" i="3"/>
  <c r="F109" i="3"/>
  <c r="E109" i="3"/>
  <c r="G109" i="3" s="1"/>
  <c r="O108" i="3"/>
  <c r="N108" i="3"/>
  <c r="M108" i="3"/>
  <c r="L108" i="3"/>
  <c r="K108" i="3"/>
  <c r="F108" i="3"/>
  <c r="E108" i="3"/>
  <c r="G108" i="3" s="1"/>
  <c r="O107" i="3"/>
  <c r="N107" i="3"/>
  <c r="M107" i="3"/>
  <c r="L107" i="3"/>
  <c r="K107" i="3"/>
  <c r="F107" i="3"/>
  <c r="E107" i="3"/>
  <c r="G107" i="3" s="1"/>
  <c r="E93" i="3"/>
  <c r="D93" i="3"/>
  <c r="C93" i="3"/>
  <c r="F93" i="3" s="1"/>
  <c r="E92" i="3"/>
  <c r="D92" i="3"/>
  <c r="C92" i="3"/>
  <c r="F92" i="3" s="1"/>
  <c r="E91" i="3"/>
  <c r="D91" i="3"/>
  <c r="C91" i="3"/>
  <c r="F91" i="3" s="1"/>
  <c r="E90" i="3"/>
  <c r="D90" i="3"/>
  <c r="C90" i="3"/>
  <c r="F90" i="3" s="1"/>
  <c r="E73" i="3"/>
  <c r="D73" i="3"/>
  <c r="C73" i="3"/>
  <c r="F73" i="3" s="1"/>
  <c r="F72" i="3"/>
  <c r="D80" i="3" s="1"/>
  <c r="E72" i="3"/>
  <c r="D72" i="3"/>
  <c r="C72" i="3"/>
  <c r="E71" i="3"/>
  <c r="D71" i="3"/>
  <c r="C71" i="3"/>
  <c r="W123" i="3" s="1"/>
  <c r="E70" i="3"/>
  <c r="F70" i="3" s="1"/>
  <c r="D70" i="3"/>
  <c r="C70" i="3"/>
  <c r="U123" i="3" s="1"/>
  <c r="E69" i="3"/>
  <c r="D69" i="3"/>
  <c r="C69" i="3"/>
  <c r="S123" i="3" s="1"/>
  <c r="E54" i="3"/>
  <c r="D54" i="3"/>
  <c r="C54" i="3"/>
  <c r="F54" i="3" s="1"/>
  <c r="E53" i="3"/>
  <c r="D53" i="3"/>
  <c r="C53" i="3"/>
  <c r="F53" i="3" s="1"/>
  <c r="E52" i="3"/>
  <c r="D52" i="3"/>
  <c r="C52" i="3"/>
  <c r="F52" i="3" s="1"/>
  <c r="E34" i="3"/>
  <c r="F34" i="3" s="1"/>
  <c r="D34" i="3"/>
  <c r="C34" i="3"/>
  <c r="E33" i="3"/>
  <c r="D33" i="3"/>
  <c r="F33" i="3" s="1"/>
  <c r="C33" i="3"/>
  <c r="E32" i="3"/>
  <c r="D32" i="3"/>
  <c r="C32" i="3"/>
  <c r="F32" i="3" s="1"/>
  <c r="E31" i="3"/>
  <c r="D31" i="3"/>
  <c r="C31" i="3"/>
  <c r="F31" i="3" s="1"/>
  <c r="E30" i="3"/>
  <c r="D30" i="3"/>
  <c r="C30" i="3"/>
  <c r="F30" i="3" s="1"/>
  <c r="E29" i="3"/>
  <c r="D29" i="3"/>
  <c r="C29" i="3"/>
  <c r="F29" i="3" s="1"/>
  <c r="E16" i="3"/>
  <c r="D16" i="3"/>
  <c r="C16" i="3"/>
  <c r="F16" i="3" s="1"/>
  <c r="C9" i="3"/>
  <c r="D9" i="3" s="1"/>
  <c r="C8" i="3"/>
  <c r="D8" i="3" s="1"/>
  <c r="E81" i="3" l="1"/>
  <c r="D81" i="3"/>
  <c r="C81" i="3"/>
  <c r="D38" i="3"/>
  <c r="C38" i="3"/>
  <c r="E38" i="3"/>
  <c r="E59" i="3"/>
  <c r="D59" i="3"/>
  <c r="C59" i="3"/>
  <c r="E97" i="3"/>
  <c r="D97" i="3"/>
  <c r="C97" i="3"/>
  <c r="E98" i="3"/>
  <c r="D98" i="3"/>
  <c r="C98" i="3"/>
  <c r="E41" i="3"/>
  <c r="D41" i="3"/>
  <c r="C41" i="3"/>
  <c r="G112" i="3"/>
  <c r="E39" i="3"/>
  <c r="D39" i="3"/>
  <c r="C39" i="3"/>
  <c r="V151" i="3"/>
  <c r="V146" i="3"/>
  <c r="V141" i="3"/>
  <c r="V136" i="3"/>
  <c r="V131" i="3"/>
  <c r="V126" i="3"/>
  <c r="V155" i="3"/>
  <c r="V150" i="3"/>
  <c r="V145" i="3"/>
  <c r="V140" i="3"/>
  <c r="V135" i="3"/>
  <c r="V130" i="3"/>
  <c r="V125" i="3"/>
  <c r="V154" i="3"/>
  <c r="V149" i="3"/>
  <c r="V144" i="3"/>
  <c r="V139" i="3"/>
  <c r="V134" i="3"/>
  <c r="V129" i="3"/>
  <c r="V153" i="3"/>
  <c r="V148" i="3"/>
  <c r="V143" i="3"/>
  <c r="V138" i="3"/>
  <c r="V133" i="3"/>
  <c r="V128" i="3"/>
  <c r="V152" i="3"/>
  <c r="V147" i="3"/>
  <c r="V142" i="3"/>
  <c r="V137" i="3"/>
  <c r="V132" i="3"/>
  <c r="V127" i="3"/>
  <c r="E78" i="3"/>
  <c r="D78" i="3"/>
  <c r="C78" i="3"/>
  <c r="E60" i="3"/>
  <c r="D60" i="3"/>
  <c r="C60" i="3"/>
  <c r="E100" i="3"/>
  <c r="D100" i="3"/>
  <c r="C100" i="3"/>
  <c r="E42" i="3"/>
  <c r="D42" i="3"/>
  <c r="C42" i="3"/>
  <c r="E99" i="3"/>
  <c r="D99" i="3"/>
  <c r="C99" i="3"/>
  <c r="E43" i="3"/>
  <c r="D43" i="3"/>
  <c r="C43" i="3"/>
  <c r="E58" i="3"/>
  <c r="D58" i="3"/>
  <c r="C58" i="3"/>
  <c r="E40" i="3"/>
  <c r="D40" i="3"/>
  <c r="C40" i="3"/>
  <c r="R151" i="3"/>
  <c r="R146" i="3"/>
  <c r="R141" i="3"/>
  <c r="R136" i="3"/>
  <c r="R131" i="3"/>
  <c r="R126" i="3"/>
  <c r="E20" i="3"/>
  <c r="D20" i="3"/>
  <c r="C20" i="3"/>
  <c r="R155" i="3"/>
  <c r="R150" i="3"/>
  <c r="R145" i="3"/>
  <c r="R140" i="3"/>
  <c r="R135" i="3"/>
  <c r="R130" i="3"/>
  <c r="R125" i="3"/>
  <c r="R154" i="3"/>
  <c r="R149" i="3"/>
  <c r="R144" i="3"/>
  <c r="R139" i="3"/>
  <c r="R134" i="3"/>
  <c r="R129" i="3"/>
  <c r="R153" i="3"/>
  <c r="R148" i="3"/>
  <c r="R143" i="3"/>
  <c r="R138" i="3"/>
  <c r="R133" i="3"/>
  <c r="R128" i="3"/>
  <c r="R152" i="3"/>
  <c r="R147" i="3"/>
  <c r="R142" i="3"/>
  <c r="R137" i="3"/>
  <c r="R132" i="3"/>
  <c r="R127" i="3"/>
  <c r="F69" i="3"/>
  <c r="C7" i="3"/>
  <c r="D7" i="3" s="1"/>
  <c r="C80" i="3"/>
  <c r="Q123" i="3"/>
  <c r="F71" i="3"/>
  <c r="E80" i="3"/>
  <c r="X151" i="3" l="1"/>
  <c r="X146" i="3"/>
  <c r="X141" i="3"/>
  <c r="X136" i="3"/>
  <c r="X131" i="3"/>
  <c r="X126" i="3"/>
  <c r="X155" i="3"/>
  <c r="X150" i="3"/>
  <c r="X145" i="3"/>
  <c r="X140" i="3"/>
  <c r="X135" i="3"/>
  <c r="X130" i="3"/>
  <c r="X125" i="3"/>
  <c r="X154" i="3"/>
  <c r="X149" i="3"/>
  <c r="X144" i="3"/>
  <c r="X139" i="3"/>
  <c r="X134" i="3"/>
  <c r="X129" i="3"/>
  <c r="D79" i="3"/>
  <c r="X153" i="3"/>
  <c r="X148" i="3"/>
  <c r="X143" i="3"/>
  <c r="X138" i="3"/>
  <c r="X133" i="3"/>
  <c r="X128" i="3"/>
  <c r="E79" i="3"/>
  <c r="X152" i="3"/>
  <c r="X147" i="3"/>
  <c r="X142" i="3"/>
  <c r="X137" i="3"/>
  <c r="X132" i="3"/>
  <c r="X127" i="3"/>
  <c r="C79" i="3"/>
  <c r="E77" i="3"/>
  <c r="D77" i="3"/>
  <c r="T151" i="3"/>
  <c r="T146" i="3"/>
  <c r="T141" i="3"/>
  <c r="T136" i="3"/>
  <c r="T131" i="3"/>
  <c r="T126" i="3"/>
  <c r="C77" i="3"/>
  <c r="T155" i="3"/>
  <c r="T150" i="3"/>
  <c r="T145" i="3"/>
  <c r="T140" i="3"/>
  <c r="T135" i="3"/>
  <c r="T130" i="3"/>
  <c r="T125" i="3"/>
  <c r="T154" i="3"/>
  <c r="T149" i="3"/>
  <c r="T144" i="3"/>
  <c r="T139" i="3"/>
  <c r="T134" i="3"/>
  <c r="T129" i="3"/>
  <c r="T153" i="3"/>
  <c r="T148" i="3"/>
  <c r="T143" i="3"/>
  <c r="T138" i="3"/>
  <c r="T133" i="3"/>
  <c r="T128" i="3"/>
  <c r="T152" i="3"/>
  <c r="T147" i="3"/>
  <c r="T142" i="3"/>
  <c r="T137" i="3"/>
  <c r="T132" i="3"/>
  <c r="T127"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0" authorId="0" shapeId="0" xr:uid="{00000000-0006-0000-0400-000001000000}">
      <text>
        <r>
          <rPr>
            <sz val="11"/>
            <rFont val="Calibri"/>
          </rPr>
          <t>OL 8 must be a vendor-supported release.</t>
        </r>
      </text>
    </comment>
    <comment ref="J19" authorId="0" shapeId="0" xr:uid="{00000000-0006-0000-0400-000002000000}">
      <text>
        <r>
          <rPr>
            <sz val="11"/>
            <rFont val="Calibri"/>
          </rPr>
          <t>OL 8 must use a Linux Security Module configured to enforce limits on system services.</t>
        </r>
      </text>
    </comment>
    <comment ref="K19" authorId="0" shapeId="0" xr:uid="{00000000-0006-0000-0400-000020000000}">
      <text>
        <r>
          <rPr>
            <sz val="11"/>
            <rFont val="Calibri"/>
          </rPr>
          <t>A sticky bit must be set on all OL 8 public directories to prevent unauthorized and unintended information transferred via shared system resources.</t>
        </r>
      </text>
    </comment>
    <comment ref="L19" authorId="0" shapeId="0" xr:uid="{00000000-0006-0000-0400-000003000000}">
      <text>
        <r>
          <rPr>
            <sz val="11"/>
            <rFont val="Calibri"/>
          </rPr>
          <t>OL 8 system commands must have mode 755 or less permissive.</t>
        </r>
      </text>
    </comment>
    <comment ref="M19" authorId="0" shapeId="0" xr:uid="{00000000-0006-0000-0400-000004000000}">
      <text>
        <r>
          <rPr>
            <sz val="11"/>
            <rFont val="Calibri"/>
          </rPr>
          <t>OL 8 system commands must be owned by root.</t>
        </r>
      </text>
    </comment>
    <comment ref="N19" authorId="0" shapeId="0" xr:uid="{00000000-0006-0000-0400-000005000000}">
      <text>
        <r>
          <rPr>
            <sz val="11"/>
            <rFont val="Calibri"/>
          </rPr>
          <t>OL 8 system commands must be group-owned by root or a system account.</t>
        </r>
      </text>
    </comment>
    <comment ref="O19" authorId="0" shapeId="0" xr:uid="{00000000-0006-0000-0400-000006000000}">
      <text>
        <r>
          <rPr>
            <sz val="11"/>
            <rFont val="Calibri"/>
          </rPr>
          <t>OL 8 library files must have mode 755 or less permissive.</t>
        </r>
      </text>
    </comment>
    <comment ref="P19" authorId="0" shapeId="0" xr:uid="{00000000-0006-0000-0400-000007000000}">
      <text>
        <r>
          <rPr>
            <sz val="11"/>
            <rFont val="Calibri"/>
          </rPr>
          <t>OL 8 library files must be owned by root.</t>
        </r>
      </text>
    </comment>
    <comment ref="Q19" authorId="0" shapeId="0" xr:uid="{00000000-0006-0000-0400-000008000000}">
      <text>
        <r>
          <rPr>
            <sz val="11"/>
            <rFont val="Calibri"/>
          </rPr>
          <t>OL 8 library files must be group-owned by root.</t>
        </r>
      </text>
    </comment>
    <comment ref="R19" authorId="0" shapeId="0" xr:uid="{00000000-0006-0000-0400-000009000000}">
      <text>
        <r>
          <rPr>
            <sz val="11"/>
            <rFont val="Calibri"/>
          </rPr>
          <t>The OL 8 SSH daemon must perform strict mode checking of home directory configuration files.</t>
        </r>
      </text>
    </comment>
    <comment ref="S19" authorId="0" shapeId="0" xr:uid="{00000000-0006-0000-0400-00000A000000}">
      <text>
        <r>
          <rPr>
            <sz val="11"/>
            <rFont val="Calibri"/>
          </rPr>
          <t>OL 8 must prevent files with the setuid and setgid bit set from being executed on file systems that contain user home directories.</t>
        </r>
      </text>
    </comment>
    <comment ref="T19" authorId="0" shapeId="0" xr:uid="{00000000-0006-0000-0400-00000B000000}">
      <text>
        <r>
          <rPr>
            <sz val="11"/>
            <rFont val="Calibri"/>
          </rPr>
          <t>OL 8 file systems that contain user home directories must not execute binary files.</t>
        </r>
      </text>
    </comment>
    <comment ref="U19" authorId="0" shapeId="0" xr:uid="{00000000-0006-0000-0400-00000C000000}">
      <text>
        <r>
          <rPr>
            <sz val="11"/>
            <rFont val="Calibri"/>
          </rPr>
          <t>Executable search paths within the initialization files of all local interactive OL 8 users must only contain paths that resolve to the system default or the user</t>
        </r>
        <r>
          <rPr>
            <sz val="11"/>
            <color rgb="FF000000"/>
            <rFont val="Calibri"/>
          </rPr>
          <t>'</t>
        </r>
        <r>
          <rPr>
            <sz val="11"/>
            <color rgb="FF000000"/>
            <rFont val="Calibri"/>
          </rPr>
          <t>s home directory.</t>
        </r>
      </text>
    </comment>
    <comment ref="V19" authorId="0" shapeId="0" xr:uid="{00000000-0006-0000-0400-00000D000000}">
      <text>
        <r>
          <rPr>
            <sz val="11"/>
            <rFont val="Calibri"/>
          </rPr>
          <t>All OL 8 world-writable directories must be owned by root, sys, bin, or an application user.</t>
        </r>
      </text>
    </comment>
    <comment ref="W19" authorId="0" shapeId="0" xr:uid="{00000000-0006-0000-0400-00000E000000}">
      <text>
        <r>
          <rPr>
            <sz val="11"/>
            <rFont val="Calibri"/>
          </rPr>
          <t>All OL 8 world-writable directories must be group-owned by root, sys, bin, or an application group.</t>
        </r>
      </text>
    </comment>
    <comment ref="X19" authorId="0" shapeId="0" xr:uid="{00000000-0006-0000-0400-00000F000000}">
      <text>
        <r>
          <rPr>
            <sz val="11"/>
            <rFont val="Calibri"/>
          </rPr>
          <t xml:space="preserve">All OL 8 local interactive users must have a home directory assigned in the </t>
        </r>
        <r>
          <rPr>
            <sz val="11"/>
            <color rgb="FF000000"/>
            <rFont val="Calibri"/>
          </rPr>
          <t>"</t>
        </r>
        <r>
          <rPr>
            <b/>
            <sz val="11"/>
            <color rgb="FF000000"/>
            <rFont val="Calibri"/>
          </rPr>
          <t>/etc/passwd</t>
        </r>
        <r>
          <rPr>
            <sz val="11"/>
            <color rgb="FF000000"/>
            <rFont val="Calibri"/>
          </rPr>
          <t>"</t>
        </r>
        <r>
          <rPr>
            <sz val="11"/>
            <color rgb="FF000000"/>
            <rFont val="Calibri"/>
          </rPr>
          <t xml:space="preserve"> file.</t>
        </r>
      </text>
    </comment>
    <comment ref="Y19" authorId="0" shapeId="0" xr:uid="{00000000-0006-0000-0400-000010000000}">
      <text>
        <r>
          <rPr>
            <sz val="11"/>
            <rFont val="Calibri"/>
          </rPr>
          <t xml:space="preserve">All OL 8 local interactive user home directories must have mode </t>
        </r>
        <r>
          <rPr>
            <sz val="11"/>
            <color rgb="FF000000"/>
            <rFont val="Calibri"/>
          </rPr>
          <t>"</t>
        </r>
        <r>
          <rPr>
            <b/>
            <sz val="11"/>
            <color rgb="FF000000"/>
            <rFont val="Calibri"/>
          </rPr>
          <t>0750</t>
        </r>
        <r>
          <rPr>
            <sz val="11"/>
            <color rgb="FF000000"/>
            <rFont val="Calibri"/>
          </rPr>
          <t>"</t>
        </r>
        <r>
          <rPr>
            <sz val="11"/>
            <color rgb="FF000000"/>
            <rFont val="Calibri"/>
          </rPr>
          <t xml:space="preserve"> or less permissive.</t>
        </r>
      </text>
    </comment>
    <comment ref="Z19" authorId="0" shapeId="0" xr:uid="{00000000-0006-0000-0400-000011000000}">
      <text>
        <r>
          <rPr>
            <sz val="11"/>
            <rFont val="Calibri"/>
          </rPr>
          <t xml:space="preserve">All OL 8 local interactive user home directory files must have mode </t>
        </r>
        <r>
          <rPr>
            <sz val="11"/>
            <color rgb="FF000000"/>
            <rFont val="Calibri"/>
          </rPr>
          <t>"</t>
        </r>
        <r>
          <rPr>
            <b/>
            <sz val="11"/>
            <color rgb="FF000000"/>
            <rFont val="Calibri"/>
          </rPr>
          <t>0750</t>
        </r>
        <r>
          <rPr>
            <sz val="11"/>
            <color rgb="FF000000"/>
            <rFont val="Calibri"/>
          </rPr>
          <t>"</t>
        </r>
        <r>
          <rPr>
            <sz val="11"/>
            <color rgb="FF000000"/>
            <rFont val="Calibri"/>
          </rPr>
          <t xml:space="preserve"> or less permissive.</t>
        </r>
      </text>
    </comment>
    <comment ref="AA19" authorId="0" shapeId="0" xr:uid="{00000000-0006-0000-0400-000012000000}">
      <text>
        <r>
          <rPr>
            <sz val="11"/>
            <rFont val="Calibri"/>
          </rPr>
          <t>All OL 8 local interactive user home directories must be group-owned by the home directory owner</t>
        </r>
        <r>
          <rPr>
            <sz val="11"/>
            <color rgb="FF000000"/>
            <rFont val="Calibri"/>
          </rPr>
          <t>'</t>
        </r>
        <r>
          <rPr>
            <sz val="11"/>
            <color rgb="FF000000"/>
            <rFont val="Calibri"/>
          </rPr>
          <t>s primary group.</t>
        </r>
      </text>
    </comment>
    <comment ref="AB19" authorId="0" shapeId="0" xr:uid="{00000000-0006-0000-0400-000013000000}">
      <text>
        <r>
          <rPr>
            <sz val="11"/>
            <rFont val="Calibri"/>
          </rPr>
          <t>OL 8 must be configured so that all files and directories contained in local interactive user home directories are group-owned by a group of which the home directory owner is a member.</t>
        </r>
      </text>
    </comment>
    <comment ref="AC19" authorId="0" shapeId="0" xr:uid="{00000000-0006-0000-0400-000014000000}">
      <text>
        <r>
          <rPr>
            <sz val="11"/>
            <rFont val="Calibri"/>
          </rPr>
          <t xml:space="preserve">All OL 8 local interactive user home directories defined in the </t>
        </r>
        <r>
          <rPr>
            <sz val="11"/>
            <color rgb="FF000000"/>
            <rFont val="Calibri"/>
          </rPr>
          <t>"</t>
        </r>
        <r>
          <rPr>
            <b/>
            <sz val="11"/>
            <color rgb="FF000000"/>
            <rFont val="Calibri"/>
          </rPr>
          <t>/etc/passwd</t>
        </r>
        <r>
          <rPr>
            <sz val="11"/>
            <color rgb="FF000000"/>
            <rFont val="Calibri"/>
          </rPr>
          <t>"</t>
        </r>
        <r>
          <rPr>
            <sz val="11"/>
            <color rgb="FF000000"/>
            <rFont val="Calibri"/>
          </rPr>
          <t xml:space="preserve"> file must exist.</t>
        </r>
      </text>
    </comment>
    <comment ref="AD19" authorId="0" shapeId="0" xr:uid="{00000000-0006-0000-0400-000015000000}">
      <text>
        <r>
          <rPr>
            <sz val="11"/>
            <rFont val="Calibri"/>
          </rPr>
          <t>All OL 8 local interactive user accounts must be assigned a home directory upon creation.</t>
        </r>
      </text>
    </comment>
    <comment ref="AE19" authorId="0" shapeId="0" xr:uid="{00000000-0006-0000-0400-000016000000}">
      <text>
        <r>
          <rPr>
            <sz val="11"/>
            <rFont val="Calibri"/>
          </rPr>
          <t xml:space="preserve">All OL 8 local initialization files must have mode </t>
        </r>
        <r>
          <rPr>
            <sz val="11"/>
            <color rgb="FF000000"/>
            <rFont val="Calibri"/>
          </rPr>
          <t>"</t>
        </r>
        <r>
          <rPr>
            <b/>
            <sz val="11"/>
            <color rgb="FF000000"/>
            <rFont val="Calibri"/>
          </rPr>
          <t>0740</t>
        </r>
        <r>
          <rPr>
            <sz val="11"/>
            <color rgb="FF000000"/>
            <rFont val="Calibri"/>
          </rPr>
          <t>"</t>
        </r>
        <r>
          <rPr>
            <sz val="11"/>
            <color rgb="FF000000"/>
            <rFont val="Calibri"/>
          </rPr>
          <t xml:space="preserve"> or less permissive.</t>
        </r>
      </text>
    </comment>
    <comment ref="AF19" authorId="0" shapeId="0" xr:uid="{00000000-0006-0000-0400-000017000000}">
      <text>
        <r>
          <rPr>
            <sz val="11"/>
            <rFont val="Calibri"/>
          </rPr>
          <t>All OL 8 files and directories must have a valid owner.</t>
        </r>
      </text>
    </comment>
    <comment ref="AG19" authorId="0" shapeId="0" xr:uid="{00000000-0006-0000-0400-000018000000}">
      <text>
        <r>
          <rPr>
            <sz val="11"/>
            <rFont val="Calibri"/>
          </rPr>
          <t>All OL 8 files and directories must have a valid group owner.</t>
        </r>
      </text>
    </comment>
    <comment ref="AH19" authorId="0" shapeId="0" xr:uid="{00000000-0006-0000-0400-000019000000}">
      <text>
        <r>
          <rPr>
            <sz val="11"/>
            <rFont val="Calibri"/>
          </rPr>
          <t xml:space="preserve">A separate OL 8 filesystem must be used for user home directories (such as </t>
        </r>
        <r>
          <rPr>
            <sz val="11"/>
            <color rgb="FF000000"/>
            <rFont val="Calibri"/>
          </rPr>
          <t>"</t>
        </r>
        <r>
          <rPr>
            <b/>
            <sz val="11"/>
            <color rgb="FF000000"/>
            <rFont val="Calibri"/>
          </rPr>
          <t>/home</t>
        </r>
        <r>
          <rPr>
            <sz val="11"/>
            <color rgb="FF000000"/>
            <rFont val="Calibri"/>
          </rPr>
          <t>"</t>
        </r>
        <r>
          <rPr>
            <sz val="11"/>
            <color rgb="FF000000"/>
            <rFont val="Calibri"/>
          </rPr>
          <t xml:space="preserve"> or an equivalent).</t>
        </r>
      </text>
    </comment>
    <comment ref="AI19" authorId="0" shapeId="0" xr:uid="{00000000-0006-0000-0400-00001A000000}">
      <text>
        <r>
          <rPr>
            <sz val="11"/>
            <rFont val="Calibri"/>
          </rPr>
          <t>OL 8 default permissions must be defined in such a way that all authenticated users can read and modify only their own files.</t>
        </r>
      </text>
    </comment>
    <comment ref="AJ19" authorId="0" shapeId="0" xr:uid="{00000000-0006-0000-0400-00001B000000}">
      <text>
        <r>
          <rPr>
            <sz val="11"/>
            <rFont val="Calibri"/>
          </rPr>
          <t>OL 8 must set the umask value to 077 for all local interactive user accounts.</t>
        </r>
      </text>
    </comment>
    <comment ref="AK19" authorId="0" shapeId="0" xr:uid="{00000000-0006-0000-0400-00001C000000}">
      <text>
        <r>
          <rPr>
            <sz val="11"/>
            <rFont val="Calibri"/>
          </rPr>
          <t>OL 8 must define default permissions for logon and non-logon shells.</t>
        </r>
      </text>
    </comment>
    <comment ref="AL19" authorId="0" shapeId="0" xr:uid="{00000000-0006-0000-0400-00001D000000}">
      <text>
        <r>
          <rPr>
            <sz val="11"/>
            <rFont val="Calibri"/>
          </rPr>
          <t>OL 8 library directories must have mode 755 or less permissive.</t>
        </r>
      </text>
    </comment>
    <comment ref="AM19" authorId="0" shapeId="0" xr:uid="{00000000-0006-0000-0400-00001E000000}">
      <text>
        <r>
          <rPr>
            <sz val="11"/>
            <rFont val="Calibri"/>
          </rPr>
          <t>OL 8 library directories must be owned by root.</t>
        </r>
      </text>
    </comment>
    <comment ref="AN19" authorId="0" shapeId="0" xr:uid="{00000000-0006-0000-0400-00001F000000}">
      <text>
        <r>
          <rPr>
            <sz val="11"/>
            <rFont val="Calibri"/>
          </rPr>
          <t>OL 8 library directories must be group-owned by root or a system account.</t>
        </r>
      </text>
    </comment>
    <comment ref="J27" authorId="0" shapeId="0" xr:uid="{00000000-0006-0000-0400-000021000000}">
      <text>
        <r>
          <rPr>
            <sz val="11"/>
            <rFont val="Calibri"/>
          </rPr>
          <t>All OL 8 local disk partitions must implement cryptographic mechanisms to prevent unauthorized disclosure or modification of all information that requires at-rest protection.</t>
        </r>
      </text>
    </comment>
    <comment ref="J32" authorId="0" shapeId="0" xr:uid="{00000000-0006-0000-0400-000022000000}">
      <text>
        <r>
          <rPr>
            <sz val="11"/>
            <rFont val="Calibri"/>
          </rPr>
          <t>OL 8 must implement NIST FIPS-validated cryptography for the following: To provision digital signatures, to generate cryptographic hashes, and to protect data requiring data-at-rest protections in accordance with applicable federal laws, Executive Orders, directives, policies, regulations, and standards.</t>
        </r>
      </text>
    </comment>
    <comment ref="K32" authorId="0" shapeId="0" xr:uid="{00000000-0006-0000-0400-00002C000000}">
      <text>
        <r>
          <rPr>
            <sz val="11"/>
            <rFont val="Calibri"/>
          </rPr>
          <t>OL 8 must display the Standard Mandatory DOD Notice and Consent Banner before granting local or remote access to the system via an SSH logon.</t>
        </r>
      </text>
    </comment>
    <comment ref="L32" authorId="0" shapeId="0" xr:uid="{00000000-0006-0000-0400-00002D000000}">
      <text>
        <r>
          <rPr>
            <sz val="11"/>
            <rFont val="Calibri"/>
          </rPr>
          <t>OL 8 must display the Standard Mandatory DoD Notice and Consent Banner before granting local or remote access to the system via a graphical user logon.</t>
        </r>
      </text>
    </comment>
    <comment ref="M32" authorId="0" shapeId="0" xr:uid="{00000000-0006-0000-0400-00002E000000}">
      <text>
        <r>
          <rPr>
            <sz val="11"/>
            <rFont val="Calibri"/>
          </rPr>
          <t>OL 8 must display the Standard Mandatory DoD Notice and Consent Banner before granting local or remote access to the system via a command line user logon.</t>
        </r>
      </text>
    </comment>
    <comment ref="N32" authorId="0" shapeId="0" xr:uid="{00000000-0006-0000-0400-00002F000000}">
      <text>
        <r>
          <rPr>
            <sz val="11"/>
            <rFont val="Calibri"/>
          </rPr>
          <t>OL 8 must encrypt all stored passwords with a FIPS 140-2 approved cryptographic hashing algorithm.</t>
        </r>
      </text>
    </comment>
    <comment ref="O32" authorId="0" shapeId="0" xr:uid="{00000000-0006-0000-0400-000030000000}">
      <text>
        <r>
          <rPr>
            <sz val="11"/>
            <rFont val="Calibri"/>
          </rPr>
          <t>OL 8 must employ FIPS 140-2 approved cryptographic hashing algorithms for all stored passwords.</t>
        </r>
      </text>
    </comment>
    <comment ref="P32" authorId="0" shapeId="0" xr:uid="{00000000-0006-0000-0400-000031000000}">
      <text>
        <r>
          <rPr>
            <sz val="11"/>
            <rFont val="Calibri"/>
          </rPr>
          <t>The OL 8 shadow password suite must be configured to use a sufficient number of hashing rounds.</t>
        </r>
      </text>
    </comment>
    <comment ref="Q32" authorId="0" shapeId="0" xr:uid="{00000000-0006-0000-0400-000032000000}">
      <text>
        <r>
          <rPr>
            <sz val="11"/>
            <rFont val="Calibri"/>
          </rPr>
          <t>OL 8 operating systems booted with United Extensible Firmware Interface (UEFI) must require authentication upon booting into single-user mode and maintenance.</t>
        </r>
      </text>
    </comment>
    <comment ref="R32" authorId="0" shapeId="0" xr:uid="{00000000-0006-0000-0400-000033000000}">
      <text>
        <r>
          <rPr>
            <sz val="11"/>
            <rFont val="Calibri"/>
          </rPr>
          <t>OL 8 operating systems booted with a BIOS must require authentication upon booting into single-user and maintenance modes.</t>
        </r>
      </text>
    </comment>
    <comment ref="S32" authorId="0" shapeId="0" xr:uid="{00000000-0006-0000-0400-000034000000}">
      <text>
        <r>
          <rPr>
            <sz val="11"/>
            <rFont val="Calibri"/>
          </rPr>
          <t>OL 8 operating systems must require authentication upon booting into emergency mode.</t>
        </r>
      </text>
    </comment>
    <comment ref="T32" authorId="0" shapeId="0" xr:uid="{00000000-0006-0000-0400-000035000000}">
      <text>
        <r>
          <rPr>
            <sz val="11"/>
            <rFont val="Calibri"/>
          </rPr>
          <t xml:space="preserve">The OL 8 </t>
        </r>
        <r>
          <rPr>
            <sz val="11"/>
            <color rgb="FF000000"/>
            <rFont val="Calibri"/>
          </rPr>
          <t>"</t>
        </r>
        <r>
          <rPr>
            <b/>
            <sz val="11"/>
            <color rgb="FF000000"/>
            <rFont val="Calibri"/>
          </rPr>
          <t>pam_unix.so</t>
        </r>
        <r>
          <rPr>
            <sz val="11"/>
            <color rgb="FF000000"/>
            <rFont val="Calibri"/>
          </rPr>
          <t>"</t>
        </r>
        <r>
          <rPr>
            <sz val="11"/>
            <color rgb="FF000000"/>
            <rFont val="Calibri"/>
          </rPr>
          <t xml:space="preserve"> module must be configured in the system-auth file to use a FIPS 140-2 approved cryptographic hashing algorithm for system authentication.</t>
        </r>
      </text>
    </comment>
    <comment ref="U32" authorId="0" shapeId="0" xr:uid="{00000000-0006-0000-0400-000036000000}">
      <text>
        <r>
          <rPr>
            <sz val="11"/>
            <rFont val="Calibri"/>
          </rPr>
          <t xml:space="preserve">The OL 8 </t>
        </r>
        <r>
          <rPr>
            <sz val="11"/>
            <color rgb="FF000000"/>
            <rFont val="Calibri"/>
          </rPr>
          <t>"</t>
        </r>
        <r>
          <rPr>
            <b/>
            <sz val="11"/>
            <color rgb="FF000000"/>
            <rFont val="Calibri"/>
          </rPr>
          <t>pam_unix.so</t>
        </r>
        <r>
          <rPr>
            <sz val="11"/>
            <color rgb="FF000000"/>
            <rFont val="Calibri"/>
          </rPr>
          <t>"</t>
        </r>
        <r>
          <rPr>
            <sz val="11"/>
            <color rgb="FF000000"/>
            <rFont val="Calibri"/>
          </rPr>
          <t xml:space="preserve"> module must be configured in the password-auth file to use a FIPS 140-2 approved cryptographic hashing algorithm for system authentication.</t>
        </r>
      </text>
    </comment>
    <comment ref="V32" authorId="0" shapeId="0" xr:uid="{00000000-0006-0000-0400-000037000000}">
      <text>
        <r>
          <rPr>
            <sz val="11"/>
            <rFont val="Calibri"/>
          </rPr>
          <t>OL 8 must use a Linux Security Module configured to enforce limits on system services.</t>
        </r>
      </text>
    </comment>
    <comment ref="W32" authorId="0" shapeId="0" xr:uid="{00000000-0006-0000-0400-000038000000}">
      <text>
        <r>
          <rPr>
            <sz val="11"/>
            <rFont val="Calibri"/>
          </rPr>
          <t xml:space="preserve">OL 8 must have the </t>
        </r>
        <r>
          <rPr>
            <sz val="11"/>
            <color rgb="FF000000"/>
            <rFont val="Calibri"/>
          </rPr>
          <t>"</t>
        </r>
        <r>
          <rPr>
            <b/>
            <sz val="11"/>
            <color rgb="FF000000"/>
            <rFont val="Calibri"/>
          </rPr>
          <t>policycoreutils</t>
        </r>
        <r>
          <rPr>
            <sz val="11"/>
            <color rgb="FF000000"/>
            <rFont val="Calibri"/>
          </rPr>
          <t>"</t>
        </r>
        <r>
          <rPr>
            <sz val="11"/>
            <color rgb="FF000000"/>
            <rFont val="Calibri"/>
          </rPr>
          <t xml:space="preserve"> package installed.</t>
        </r>
      </text>
    </comment>
    <comment ref="X32" authorId="0" shapeId="0" xr:uid="{00000000-0006-0000-0400-000039000000}">
      <text>
        <r>
          <rPr>
            <sz val="11"/>
            <rFont val="Calibri"/>
          </rPr>
          <t>OL 8 must be configured so that all network connections associated with SSH traffic terminate after becoming unresponsive.</t>
        </r>
      </text>
    </comment>
    <comment ref="Y32" authorId="0" shapeId="0" xr:uid="{00000000-0006-0000-0400-00003A000000}">
      <text>
        <r>
          <rPr>
            <sz val="11"/>
            <rFont val="Calibri"/>
          </rPr>
          <t>OL 8 must be configured so that all network connections associated with SSH traffic are terminated after 10 minutes of becoming unresponsive.</t>
        </r>
      </text>
    </comment>
    <comment ref="Z32" authorId="0" shapeId="0" xr:uid="{00000000-0006-0000-0400-00003B000000}">
      <text>
        <r>
          <rPr>
            <sz val="11"/>
            <rFont val="Calibri"/>
          </rPr>
          <t>The OL 8 SSH server must be configured to use strong entropy.</t>
        </r>
      </text>
    </comment>
    <comment ref="AA32" authorId="0" shapeId="0" xr:uid="{00000000-0006-0000-0400-00003C000000}">
      <text>
        <r>
          <rPr>
            <sz val="11"/>
            <rFont val="Calibri"/>
          </rPr>
          <t>YUM must be configured to prevent the installation of patches, service packs, device drivers, or OL 8 system components that have not been digitally signed using a certificate that is recognized and approved by the organization.</t>
        </r>
      </text>
    </comment>
    <comment ref="AB32" authorId="0" shapeId="0" xr:uid="{00000000-0006-0000-0400-00003D000000}">
      <text>
        <r>
          <rPr>
            <sz val="11"/>
            <rFont val="Calibri"/>
          </rPr>
          <t>OL 8 must enable the SELinux targeted policy.</t>
        </r>
      </text>
    </comment>
    <comment ref="AC32" authorId="0" shapeId="0" xr:uid="{00000000-0006-0000-0400-00003E000000}">
      <text>
        <r>
          <rPr>
            <sz val="11"/>
            <rFont val="Calibri"/>
          </rPr>
          <t xml:space="preserve">There must be no </t>
        </r>
        <r>
          <rPr>
            <sz val="11"/>
            <color rgb="FF000000"/>
            <rFont val="Calibri"/>
          </rPr>
          <t>"</t>
        </r>
        <r>
          <rPr>
            <b/>
            <sz val="11"/>
            <color rgb="FF000000"/>
            <rFont val="Calibri"/>
          </rPr>
          <t>shosts.equiv</t>
        </r>
        <r>
          <rPr>
            <sz val="11"/>
            <color rgb="FF000000"/>
            <rFont val="Calibri"/>
          </rPr>
          <t>"</t>
        </r>
        <r>
          <rPr>
            <sz val="11"/>
            <color rgb="FF000000"/>
            <rFont val="Calibri"/>
          </rPr>
          <t xml:space="preserve"> files on the OL 8 operating system.</t>
        </r>
      </text>
    </comment>
    <comment ref="AD32" authorId="0" shapeId="0" xr:uid="{00000000-0006-0000-0400-00003F000000}">
      <text>
        <r>
          <rPr>
            <sz val="11"/>
            <rFont val="Calibri"/>
          </rPr>
          <t xml:space="preserve">There must be no </t>
        </r>
        <r>
          <rPr>
            <sz val="11"/>
            <color rgb="FF000000"/>
            <rFont val="Calibri"/>
          </rPr>
          <t>"</t>
        </r>
        <r>
          <rPr>
            <b/>
            <sz val="11"/>
            <color rgb="FF000000"/>
            <rFont val="Calibri"/>
          </rPr>
          <t>.shosts</t>
        </r>
        <r>
          <rPr>
            <sz val="11"/>
            <color rgb="FF000000"/>
            <rFont val="Calibri"/>
          </rPr>
          <t>"</t>
        </r>
        <r>
          <rPr>
            <sz val="11"/>
            <color rgb="FF000000"/>
            <rFont val="Calibri"/>
          </rPr>
          <t xml:space="preserve"> files on the OL 8 operating system.</t>
        </r>
      </text>
    </comment>
    <comment ref="AE32" authorId="0" shapeId="0" xr:uid="{00000000-0006-0000-0400-000040000000}">
      <text>
        <r>
          <rPr>
            <sz val="11"/>
            <rFont val="Calibri"/>
          </rPr>
          <t>OL 8 must enable the hardware random number generator entropy gatherer service.</t>
        </r>
      </text>
    </comment>
    <comment ref="AF32" authorId="0" shapeId="0" xr:uid="{00000000-0006-0000-0400-000041000000}">
      <text>
        <r>
          <rPr>
            <sz val="11"/>
            <rFont val="Calibri"/>
          </rPr>
          <t>OL 8 must have the packages required to use the hardware random number generator entropy gatherer service.</t>
        </r>
      </text>
    </comment>
    <comment ref="AG32" authorId="0" shapeId="0" xr:uid="{00000000-0006-0000-0400-000042000000}">
      <text>
        <r>
          <rPr>
            <sz val="11"/>
            <rFont val="Calibri"/>
          </rPr>
          <t xml:space="preserve">The OL 8 SSH public host key files must have mode </t>
        </r>
        <r>
          <rPr>
            <sz val="11"/>
            <color rgb="FF000000"/>
            <rFont val="Calibri"/>
          </rPr>
          <t>"</t>
        </r>
        <r>
          <rPr>
            <b/>
            <sz val="11"/>
            <color rgb="FF000000"/>
            <rFont val="Calibri"/>
          </rPr>
          <t>0644</t>
        </r>
        <r>
          <rPr>
            <sz val="11"/>
            <color rgb="FF000000"/>
            <rFont val="Calibri"/>
          </rPr>
          <t>"</t>
        </r>
        <r>
          <rPr>
            <sz val="11"/>
            <color rgb="FF000000"/>
            <rFont val="Calibri"/>
          </rPr>
          <t xml:space="preserve"> or less permissive.</t>
        </r>
      </text>
    </comment>
    <comment ref="AH32" authorId="0" shapeId="0" xr:uid="{00000000-0006-0000-0400-000043000000}">
      <text>
        <r>
          <rPr>
            <sz val="11"/>
            <rFont val="Calibri"/>
          </rPr>
          <t xml:space="preserve">The OL 8 SSH private host key files must have mode </t>
        </r>
        <r>
          <rPr>
            <sz val="11"/>
            <color rgb="FF000000"/>
            <rFont val="Calibri"/>
          </rPr>
          <t>"</t>
        </r>
        <r>
          <rPr>
            <b/>
            <sz val="11"/>
            <color rgb="FF000000"/>
            <rFont val="Calibri"/>
          </rPr>
          <t>0640</t>
        </r>
        <r>
          <rPr>
            <sz val="11"/>
            <color rgb="FF000000"/>
            <rFont val="Calibri"/>
          </rPr>
          <t>"</t>
        </r>
        <r>
          <rPr>
            <sz val="11"/>
            <color rgb="FF000000"/>
            <rFont val="Calibri"/>
          </rPr>
          <t xml:space="preserve"> or less permissive.</t>
        </r>
      </text>
    </comment>
    <comment ref="AI32" authorId="0" shapeId="0" xr:uid="{00000000-0006-0000-0400-000044000000}">
      <text>
        <r>
          <rPr>
            <sz val="11"/>
            <rFont val="Calibri"/>
          </rPr>
          <t>The OL 8 SSH daemon must not allow authentication using known host</t>
        </r>
        <r>
          <rPr>
            <sz val="11"/>
            <color rgb="FF000000"/>
            <rFont val="Calibri"/>
          </rPr>
          <t>'</t>
        </r>
        <r>
          <rPr>
            <sz val="11"/>
            <color rgb="FF000000"/>
            <rFont val="Calibri"/>
          </rPr>
          <t>s authentication.</t>
        </r>
      </text>
    </comment>
    <comment ref="AJ32" authorId="0" shapeId="0" xr:uid="{00000000-0006-0000-0400-000045000000}">
      <text>
        <r>
          <rPr>
            <sz val="11"/>
            <rFont val="Calibri"/>
          </rPr>
          <t>The OL 8 SSH daemon must not allow Kerberos authentication, except to fulfill documented and validated mission requirements.</t>
        </r>
      </text>
    </comment>
    <comment ref="AK32" authorId="0" shapeId="0" xr:uid="{00000000-0006-0000-0400-000046000000}">
      <text>
        <r>
          <rPr>
            <sz val="11"/>
            <rFont val="Calibri"/>
          </rPr>
          <t>The OL 8 SSH daemon must not allow GSSAPI authentication, except to fulfill documented and validated mission requirements.</t>
        </r>
      </text>
    </comment>
    <comment ref="AL32" authorId="0" shapeId="0" xr:uid="{00000000-0006-0000-0400-000047000000}">
      <text>
        <r>
          <rPr>
            <sz val="11"/>
            <rFont val="Calibri"/>
          </rPr>
          <t xml:space="preserve">OL 8 must use a separate file system for </t>
        </r>
        <r>
          <rPr>
            <sz val="11"/>
            <color rgb="FF000000"/>
            <rFont val="Calibri"/>
          </rPr>
          <t>"</t>
        </r>
        <r>
          <rPr>
            <b/>
            <sz val="11"/>
            <color rgb="FF000000"/>
            <rFont val="Calibri"/>
          </rPr>
          <t>/var</t>
        </r>
        <r>
          <rPr>
            <sz val="11"/>
            <color rgb="FF000000"/>
            <rFont val="Calibri"/>
          </rPr>
          <t>"</t>
        </r>
        <r>
          <rPr>
            <sz val="11"/>
            <color rgb="FF000000"/>
            <rFont val="Calibri"/>
          </rPr>
          <t>.</t>
        </r>
      </text>
    </comment>
    <comment ref="AM32" authorId="0" shapeId="0" xr:uid="{00000000-0006-0000-0400-000048000000}">
      <text>
        <r>
          <rPr>
            <sz val="11"/>
            <rFont val="Calibri"/>
          </rPr>
          <t xml:space="preserve">OL 8 must use a separate file system for </t>
        </r>
        <r>
          <rPr>
            <sz val="11"/>
            <color rgb="FF000000"/>
            <rFont val="Calibri"/>
          </rPr>
          <t>"</t>
        </r>
        <r>
          <rPr>
            <b/>
            <sz val="11"/>
            <color rgb="FF000000"/>
            <rFont val="Calibri"/>
          </rPr>
          <t>/var/log</t>
        </r>
        <r>
          <rPr>
            <sz val="11"/>
            <color rgb="FF000000"/>
            <rFont val="Calibri"/>
          </rPr>
          <t>"</t>
        </r>
        <r>
          <rPr>
            <sz val="11"/>
            <color rgb="FF000000"/>
            <rFont val="Calibri"/>
          </rPr>
          <t>.</t>
        </r>
      </text>
    </comment>
    <comment ref="AN32" authorId="0" shapeId="0" xr:uid="{00000000-0006-0000-0400-000049000000}">
      <text>
        <r>
          <rPr>
            <sz val="11"/>
            <rFont val="Calibri"/>
          </rPr>
          <t xml:space="preserve">OL 8 must use a separate file system for </t>
        </r>
        <r>
          <rPr>
            <sz val="11"/>
            <color rgb="FF000000"/>
            <rFont val="Calibri"/>
          </rPr>
          <t>"</t>
        </r>
        <r>
          <rPr>
            <b/>
            <sz val="11"/>
            <color rgb="FF000000"/>
            <rFont val="Calibri"/>
          </rPr>
          <t>/tmp</t>
        </r>
        <r>
          <rPr>
            <sz val="11"/>
            <color rgb="FF000000"/>
            <rFont val="Calibri"/>
          </rPr>
          <t>"</t>
        </r>
        <r>
          <rPr>
            <sz val="11"/>
            <color rgb="FF000000"/>
            <rFont val="Calibri"/>
          </rPr>
          <t>.</t>
        </r>
      </text>
    </comment>
    <comment ref="AO32" authorId="0" shapeId="0" xr:uid="{00000000-0006-0000-0400-000023000000}">
      <text>
        <r>
          <rPr>
            <sz val="11"/>
            <rFont val="Calibri"/>
          </rPr>
          <t>OL 8 must use a separate file system for /var/tmp.</t>
        </r>
      </text>
    </comment>
    <comment ref="AP32" authorId="0" shapeId="0" xr:uid="{00000000-0006-0000-0400-000024000000}">
      <text>
        <r>
          <rPr>
            <sz val="11"/>
            <rFont val="Calibri"/>
          </rPr>
          <t>OL 8 file systems must not execute binary files that are imported via Network File System (NFS).</t>
        </r>
      </text>
    </comment>
    <comment ref="AQ32" authorId="0" shapeId="0" xr:uid="{00000000-0006-0000-0400-000025000000}">
      <text>
        <r>
          <rPr>
            <sz val="11"/>
            <rFont val="Calibri"/>
          </rPr>
          <t>OL 8 file systems must not interpret character or block special devices that are imported via Network File System (NFS).</t>
        </r>
      </text>
    </comment>
    <comment ref="AR32" authorId="0" shapeId="0" xr:uid="{00000000-0006-0000-0400-000026000000}">
      <text>
        <r>
          <rPr>
            <sz val="11"/>
            <rFont val="Calibri"/>
          </rPr>
          <t>For OL 8 systems using Domain Name Servers (DNS) resolution, at least two name servers must be configured.</t>
        </r>
      </text>
    </comment>
    <comment ref="AS32" authorId="0" shapeId="0" xr:uid="{00000000-0006-0000-0400-000027000000}">
      <text>
        <r>
          <rPr>
            <sz val="11"/>
            <rFont val="Calibri"/>
          </rPr>
          <t>OL 8 must not allow users to override SSH environment variables.</t>
        </r>
      </text>
    </comment>
    <comment ref="AT32" authorId="0" shapeId="0" xr:uid="{00000000-0006-0000-0400-000028000000}">
      <text>
        <r>
          <rPr>
            <sz val="11"/>
            <rFont val="Calibri"/>
          </rPr>
          <t>OL 8 systems below version 8.2 must automatically lock an account when three unsuccessful logon attempts occur.</t>
        </r>
      </text>
    </comment>
    <comment ref="AU32" authorId="0" shapeId="0" xr:uid="{00000000-0006-0000-0400-000029000000}">
      <text>
        <r>
          <rPr>
            <sz val="11"/>
            <rFont val="Calibri"/>
          </rPr>
          <t>OL 8 systems, versions 8.2 and above, must automatically lock an account when three unsuccessful logon attempts occur.</t>
        </r>
      </text>
    </comment>
    <comment ref="AV32" authorId="0" shapeId="0" xr:uid="{00000000-0006-0000-0400-00002A000000}">
      <text>
        <r>
          <rPr>
            <sz val="11"/>
            <rFont val="Calibri"/>
          </rPr>
          <t>OL 8 systems below version 8.2 must automatically lock an account when three unsuccessful logon attempts occur during a 15-minute time period.</t>
        </r>
      </text>
    </comment>
    <comment ref="AW32" authorId="0" shapeId="0" xr:uid="{00000000-0006-0000-0400-00002B000000}">
      <text>
        <r>
          <rPr>
            <sz val="11"/>
            <rFont val="Calibri"/>
          </rPr>
          <t>OL 8 systems, versions 8.2 and above, must automatically lock an account when three unsuccessful logon attempts occur during a 15-minute time period.</t>
        </r>
      </text>
    </comment>
    <comment ref="J34" authorId="0" shapeId="0" xr:uid="{00000000-0006-0000-0400-00004A000000}">
      <text>
        <r>
          <rPr>
            <sz val="11"/>
            <rFont val="Calibri"/>
          </rPr>
          <t>OL 8 must not permit direct logons to the root account using remote access via SSH.</t>
        </r>
      </text>
    </comment>
    <comment ref="K34" authorId="0" shapeId="0" xr:uid="{00000000-0006-0000-0400-00004B000000}">
      <text>
        <r>
          <rPr>
            <sz val="11"/>
            <rFont val="Calibri"/>
          </rPr>
          <t>OL 8 must enable a user session lock until that user reestablishes access using established identification and authentication procedures for graphical user sessions.</t>
        </r>
      </text>
    </comment>
    <comment ref="L34" authorId="0" shapeId="0" xr:uid="{00000000-0006-0000-0400-00004C000000}">
      <text>
        <r>
          <rPr>
            <sz val="11"/>
            <rFont val="Calibri"/>
          </rPr>
          <t>OL 8 must initiate a session lock for graphical user interfaces when the screensaver is activated.</t>
        </r>
      </text>
    </comment>
    <comment ref="M34" authorId="0" shapeId="0" xr:uid="{00000000-0006-0000-0400-00004D000000}">
      <text>
        <r>
          <rPr>
            <sz val="11"/>
            <rFont val="Calibri"/>
          </rPr>
          <t>OL 8 must enable a user session lock until that user reestablishes access using established identification and authentication procedures for command line sessions.</t>
        </r>
      </text>
    </comment>
    <comment ref="N34" authorId="0" shapeId="0" xr:uid="{00000000-0006-0000-0400-00004E000000}">
      <text>
        <r>
          <rPr>
            <sz val="11"/>
            <rFont val="Calibri"/>
          </rPr>
          <t>OL 8 must be able to initiate directly a session lock for all connection types using smartcard when the smartcard is removed.</t>
        </r>
      </text>
    </comment>
    <comment ref="O34" authorId="0" shapeId="0" xr:uid="{00000000-0006-0000-0400-00004F000000}">
      <text>
        <r>
          <rPr>
            <sz val="11"/>
            <rFont val="Calibri"/>
          </rPr>
          <t>OL 8 must automatically lock graphical user sessions after 15 minutes of inactivity.</t>
        </r>
      </text>
    </comment>
    <comment ref="P34" authorId="0" shapeId="0" xr:uid="{00000000-0006-0000-0400-000050000000}">
      <text>
        <r>
          <rPr>
            <sz val="11"/>
            <rFont val="Calibri"/>
          </rPr>
          <t>OL 8 must prevent a user from overriding the session lock-delay setting for the graphical user interface.</t>
        </r>
      </text>
    </comment>
    <comment ref="Q34" authorId="0" shapeId="0" xr:uid="{00000000-0006-0000-0400-000051000000}">
      <text>
        <r>
          <rPr>
            <sz val="11"/>
            <rFont val="Calibri"/>
          </rPr>
          <t>OL 8 must prevent a user from overriding the session idle-delay setting for the graphical user interface.</t>
        </r>
      </text>
    </comment>
    <comment ref="R34" authorId="0" shapeId="0" xr:uid="{00000000-0006-0000-0400-000052000000}">
      <text>
        <r>
          <rPr>
            <sz val="11"/>
            <rFont val="Calibri"/>
          </rPr>
          <t>OL 8 must prevent a user from overriding the session lock-enabled setting for the graphical user interface.</t>
        </r>
      </text>
    </comment>
    <comment ref="S34" authorId="0" shapeId="0" xr:uid="{00000000-0006-0000-0400-000053000000}">
      <text>
        <r>
          <rPr>
            <sz val="11"/>
            <rFont val="Calibri"/>
          </rPr>
          <t>OL 8 must display the date and time of the last successful account logon upon an SSH logon.</t>
        </r>
      </text>
    </comment>
    <comment ref="T34" authorId="0" shapeId="0" xr:uid="{00000000-0006-0000-0400-000054000000}">
      <text>
        <r>
          <rPr>
            <sz val="11"/>
            <rFont val="Calibri"/>
          </rPr>
          <t>The root account must be the only account having unrestricted access to the OL 8 system.</t>
        </r>
      </text>
    </comment>
    <comment ref="U34" authorId="0" shapeId="0" xr:uid="{00000000-0006-0000-0400-000055000000}">
      <text>
        <r>
          <rPr>
            <sz val="11"/>
            <rFont val="Calibri"/>
          </rPr>
          <t>OL 8 must terminate idle user sessions.</t>
        </r>
      </text>
    </comment>
    <comment ref="V34" authorId="0" shapeId="0" xr:uid="{00000000-0006-0000-0400-000056000000}">
      <text>
        <r>
          <rPr>
            <sz val="11"/>
            <rFont val="Calibri"/>
          </rPr>
          <t>OL 8 must automatically exit interactive command shell user sessions after 10 minutes of inactivity.</t>
        </r>
      </text>
    </comment>
    <comment ref="J35" authorId="0" shapeId="0" xr:uid="{00000000-0006-0000-0400-000057000000}">
      <text>
        <r>
          <rPr>
            <sz val="11"/>
            <rFont val="Calibri"/>
          </rPr>
          <t>An OL 8 firewall must employ a deny-all, allow-by-exception policy for allowing connections to other systems.</t>
        </r>
      </text>
    </comment>
    <comment ref="K35" authorId="0" shapeId="0" xr:uid="{00000000-0006-0000-0400-000058000000}">
      <text>
        <r>
          <rPr>
            <sz val="11"/>
            <rFont val="Calibri"/>
          </rPr>
          <t>A firewall must be installed on OL 8.</t>
        </r>
      </text>
    </comment>
    <comment ref="L35" authorId="0" shapeId="0" xr:uid="{00000000-0006-0000-0400-000059000000}">
      <text>
        <r>
          <rPr>
            <sz val="11"/>
            <rFont val="Calibri"/>
          </rPr>
          <t>A firewall must be active on OL 8.</t>
        </r>
      </text>
    </comment>
    <comment ref="M35" authorId="0" shapeId="0" xr:uid="{00000000-0006-0000-0400-00005A000000}">
      <text>
        <r>
          <rPr>
            <sz val="11"/>
            <rFont val="Calibri"/>
          </rPr>
          <t>A firewall must be able to protect against or limit the effects of denial-of-service (DoS) attacks by ensuring OL 8 can implement rate-limiting measures on impacted network interfaces.</t>
        </r>
      </text>
    </comment>
    <comment ref="N35" authorId="0" shapeId="0" xr:uid="{00000000-0006-0000-0400-00005B000000}">
      <text>
        <r>
          <rPr>
            <sz val="11"/>
            <rFont val="Calibri"/>
          </rPr>
          <t>OL 8 network interfaces must not be in promiscuous mode.</t>
        </r>
      </text>
    </comment>
    <comment ref="J39" authorId="0" shapeId="0" xr:uid="{00000000-0006-0000-0400-00005C000000}">
      <text>
        <r>
          <rPr>
            <sz val="11"/>
            <rFont val="Calibri"/>
          </rPr>
          <t>OL 8 must prevent system daemons from using Kerberos for authentication.</t>
        </r>
      </text>
    </comment>
    <comment ref="K39" authorId="0" shapeId="0" xr:uid="{00000000-0006-0000-0400-00005D000000}">
      <text>
        <r>
          <rPr>
            <sz val="11"/>
            <rFont val="Calibri"/>
          </rPr>
          <t>OL 8 must prevent the loading of a new kernel for later execution.</t>
        </r>
      </text>
    </comment>
    <comment ref="L39" authorId="0" shapeId="0" xr:uid="{00000000-0006-0000-0400-00005E000000}">
      <text>
        <r>
          <rPr>
            <sz val="11"/>
            <rFont val="Calibri"/>
          </rPr>
          <t>OL 8 must enable kernel parameters to enforce Discretionary Access Control (DAC) on symlinks.</t>
        </r>
      </text>
    </comment>
    <comment ref="M39" authorId="0" shapeId="0" xr:uid="{00000000-0006-0000-0400-00005F000000}">
      <text>
        <r>
          <rPr>
            <sz val="11"/>
            <rFont val="Calibri"/>
          </rPr>
          <t>OL 8 must enable kernel parameters to enforce Discretionary Access Control (DAC) on hardlinks.</t>
        </r>
      </text>
    </comment>
    <comment ref="N39" authorId="0" shapeId="0" xr:uid="{00000000-0006-0000-0400-000060000000}">
      <text>
        <r>
          <rPr>
            <sz val="11"/>
            <rFont val="Calibri"/>
          </rPr>
          <t>OL 8 must restrict access to the kernel message buffer.</t>
        </r>
      </text>
    </comment>
    <comment ref="O39" authorId="0" shapeId="0" xr:uid="{00000000-0006-0000-0400-000061000000}">
      <text>
        <r>
          <rPr>
            <sz val="11"/>
            <rFont val="Calibri"/>
          </rPr>
          <t>OL 8 must prevent kernel profiling by nonprivileged users.</t>
        </r>
      </text>
    </comment>
    <comment ref="P39" authorId="0" shapeId="0" xr:uid="{00000000-0006-0000-0400-000062000000}">
      <text>
        <r>
          <rPr>
            <sz val="11"/>
            <rFont val="Calibri"/>
          </rPr>
          <t>YUM must remove all software components after updated versions have been installed on OL 8.</t>
        </r>
      </text>
    </comment>
    <comment ref="Q39" authorId="0" shapeId="0" xr:uid="{00000000-0006-0000-0400-000063000000}">
      <text>
        <r>
          <rPr>
            <sz val="11"/>
            <rFont val="Calibri"/>
          </rPr>
          <t>OL 8 must prevent files with the setuid and setgid bit set from being executed on the /boot directory.</t>
        </r>
      </text>
    </comment>
    <comment ref="R39" authorId="0" shapeId="0" xr:uid="{00000000-0006-0000-0400-000064000000}">
      <text>
        <r>
          <rPr>
            <sz val="11"/>
            <rFont val="Calibri"/>
          </rPr>
          <t>OL 8 must prevent files with the setuid and setgid bit set from being executed on the /boot/efi directory.</t>
        </r>
      </text>
    </comment>
    <comment ref="S39" authorId="0" shapeId="0" xr:uid="{00000000-0006-0000-0400-000065000000}">
      <text>
        <r>
          <rPr>
            <sz val="11"/>
            <rFont val="Calibri"/>
          </rPr>
          <t>OL 8 must prevent files with the setuid and setgid bit set from being executed on file systems that are used with removable media.</t>
        </r>
      </text>
    </comment>
    <comment ref="T39" authorId="0" shapeId="0" xr:uid="{00000000-0006-0000-0400-000066000000}">
      <text>
        <r>
          <rPr>
            <sz val="11"/>
            <rFont val="Calibri"/>
          </rPr>
          <t>OL 8 must prevent files with the setuid and setgid bit set from being executed on file systems that are imported via Network File System (NFS).</t>
        </r>
      </text>
    </comment>
    <comment ref="U39" authorId="0" shapeId="0" xr:uid="{00000000-0006-0000-0400-000067000000}">
      <text>
        <r>
          <rPr>
            <sz val="11"/>
            <rFont val="Calibri"/>
          </rPr>
          <t xml:space="preserve">OL 8 must disable the </t>
        </r>
        <r>
          <rPr>
            <sz val="11"/>
            <color rgb="FF000000"/>
            <rFont val="Calibri"/>
          </rPr>
          <t>"</t>
        </r>
        <r>
          <rPr>
            <b/>
            <sz val="11"/>
            <color rgb="FF000000"/>
            <rFont val="Calibri"/>
          </rPr>
          <t>kernel.core_pattern</t>
        </r>
        <r>
          <rPr>
            <sz val="11"/>
            <color rgb="FF000000"/>
            <rFont val="Calibri"/>
          </rPr>
          <t>"</t>
        </r>
        <r>
          <rPr>
            <sz val="11"/>
            <color rgb="FF000000"/>
            <rFont val="Calibri"/>
          </rPr>
          <t>.</t>
        </r>
      </text>
    </comment>
    <comment ref="V39" authorId="0" shapeId="0" xr:uid="{00000000-0006-0000-0400-000068000000}">
      <text>
        <r>
          <rPr>
            <sz val="11"/>
            <rFont val="Calibri"/>
          </rPr>
          <t>OL 8 must disable acquiring, saving, and processing core dumps.</t>
        </r>
      </text>
    </comment>
    <comment ref="W39" authorId="0" shapeId="0" xr:uid="{00000000-0006-0000-0400-000069000000}">
      <text>
        <r>
          <rPr>
            <sz val="11"/>
            <rFont val="Calibri"/>
          </rPr>
          <t>OL 8 must disable core dumps for all users.</t>
        </r>
      </text>
    </comment>
    <comment ref="X39" authorId="0" shapeId="0" xr:uid="{00000000-0006-0000-0400-00006A000000}">
      <text>
        <r>
          <rPr>
            <sz val="11"/>
            <rFont val="Calibri"/>
          </rPr>
          <t>OL 8 must disable storing core dumps.</t>
        </r>
      </text>
    </comment>
    <comment ref="Y39" authorId="0" shapeId="0" xr:uid="{00000000-0006-0000-0400-00006B000000}">
      <text>
        <r>
          <rPr>
            <sz val="11"/>
            <rFont val="Calibri"/>
          </rPr>
          <t>OL 8 must disable core dump backtraces.</t>
        </r>
      </text>
    </comment>
    <comment ref="Z39" authorId="0" shapeId="0" xr:uid="{00000000-0006-0000-0400-00006C000000}">
      <text>
        <r>
          <rPr>
            <sz val="11"/>
            <rFont val="Calibri"/>
          </rPr>
          <t>Unattended or automatic logon via the OL 8 graphical user interface must not be allowed.</t>
        </r>
      </text>
    </comment>
    <comment ref="AA39" authorId="0" shapeId="0" xr:uid="{00000000-0006-0000-0400-00006D000000}">
      <text>
        <r>
          <rPr>
            <sz val="11"/>
            <rFont val="Calibri"/>
          </rPr>
          <t>OL 8 must disable the user list at logon for graphical user interfaces.</t>
        </r>
      </text>
    </comment>
    <comment ref="AB39" authorId="0" shapeId="0" xr:uid="{00000000-0006-0000-0400-00006E000000}">
      <text>
        <r>
          <rPr>
            <sz val="11"/>
            <rFont val="Calibri"/>
          </rPr>
          <t>OL 8 must not have the telnet-server package installed.</t>
        </r>
      </text>
    </comment>
    <comment ref="AC39" authorId="0" shapeId="0" xr:uid="{00000000-0006-0000-0400-00006F000000}">
      <text>
        <r>
          <rPr>
            <sz val="11"/>
            <rFont val="Calibri"/>
          </rPr>
          <t>OL 8 must not install packages from the Extra Packages for Enterprise Linux (EPEL) repository.</t>
        </r>
      </text>
    </comment>
    <comment ref="AD39" authorId="0" shapeId="0" xr:uid="{00000000-0006-0000-0400-000070000000}">
      <text>
        <r>
          <rPr>
            <sz val="11"/>
            <rFont val="Calibri"/>
          </rPr>
          <t>OL 8 must cover or disable the built-in or attached camera when not in use.</t>
        </r>
      </text>
    </comment>
    <comment ref="AE39" authorId="0" shapeId="0" xr:uid="{00000000-0006-0000-0400-000071000000}">
      <text>
        <r>
          <rPr>
            <sz val="11"/>
            <rFont val="Calibri"/>
          </rPr>
          <t>OL 8 must not have the asynchronous transfer mode (ATM) kernel module installed if not required for operational support.</t>
        </r>
      </text>
    </comment>
    <comment ref="AF39" authorId="0" shapeId="0" xr:uid="{00000000-0006-0000-0400-000072000000}">
      <text>
        <r>
          <rPr>
            <sz val="11"/>
            <rFont val="Calibri"/>
          </rPr>
          <t>OL 8 must not have the Controller Area Network (CAN) kernel module installed if not required for operational support.</t>
        </r>
      </text>
    </comment>
    <comment ref="AG39" authorId="0" shapeId="0" xr:uid="{00000000-0006-0000-0400-000073000000}">
      <text>
        <r>
          <rPr>
            <sz val="11"/>
            <rFont val="Calibri"/>
          </rPr>
          <t>OL 8 must not have the stream control transmission protocol (SCTP) kernel module installed if not required for operational support.</t>
        </r>
      </text>
    </comment>
    <comment ref="AH39" authorId="0" shapeId="0" xr:uid="{00000000-0006-0000-0400-000074000000}">
      <text>
        <r>
          <rPr>
            <sz val="11"/>
            <rFont val="Calibri"/>
          </rPr>
          <t>OL 8 must disable the transparent inter-process communication (TIPC) protocol.</t>
        </r>
      </text>
    </comment>
    <comment ref="AI39" authorId="0" shapeId="0" xr:uid="{00000000-0006-0000-0400-000075000000}">
      <text>
        <r>
          <rPr>
            <sz val="11"/>
            <rFont val="Calibri"/>
          </rPr>
          <t>OL 8 must disable mounting of cramfs.</t>
        </r>
      </text>
    </comment>
    <comment ref="AJ39" authorId="0" shapeId="0" xr:uid="{00000000-0006-0000-0400-000076000000}">
      <text>
        <r>
          <rPr>
            <sz val="11"/>
            <rFont val="Calibri"/>
          </rPr>
          <t>OL 8 must disable IEEE 1394 (FireWire) Support.</t>
        </r>
      </text>
    </comment>
    <comment ref="AK39" authorId="0" shapeId="0" xr:uid="{00000000-0006-0000-0400-000077000000}">
      <text>
        <r>
          <rPr>
            <sz val="11"/>
            <rFont val="Calibri"/>
          </rPr>
          <t>The OL 8 file system automounter must be disabled.</t>
        </r>
      </text>
    </comment>
    <comment ref="AL39" authorId="0" shapeId="0" xr:uid="{00000000-0006-0000-0400-000078000000}">
      <text>
        <r>
          <rPr>
            <sz val="11"/>
            <rFont val="Calibri"/>
          </rPr>
          <t>OL 8 must be configured to disable the ability to use USB mass storage devices.</t>
        </r>
      </text>
    </comment>
    <comment ref="AM39" authorId="0" shapeId="0" xr:uid="{00000000-0006-0000-0400-000079000000}">
      <text>
        <r>
          <rPr>
            <sz val="11"/>
            <rFont val="Calibri"/>
          </rPr>
          <t>OL 8 wireless network adapters must be disabled.</t>
        </r>
      </text>
    </comment>
    <comment ref="AN39" authorId="0" shapeId="0" xr:uid="{00000000-0006-0000-0400-00007A000000}">
      <text>
        <r>
          <rPr>
            <sz val="11"/>
            <rFont val="Calibri"/>
          </rPr>
          <t>OL 8 Bluetooth must be disabled.</t>
        </r>
      </text>
    </comment>
    <comment ref="AO39" authorId="0" shapeId="0" xr:uid="{00000000-0006-0000-0400-00007B000000}">
      <text>
        <r>
          <rPr>
            <sz val="11"/>
            <rFont val="Calibri"/>
          </rPr>
          <t xml:space="preserve">OL 8 must mount </t>
        </r>
        <r>
          <rPr>
            <sz val="11"/>
            <color rgb="FF000000"/>
            <rFont val="Calibri"/>
          </rPr>
          <t>"</t>
        </r>
        <r>
          <rPr>
            <b/>
            <sz val="11"/>
            <color rgb="FF000000"/>
            <rFont val="Calibri"/>
          </rPr>
          <t>/dev/shm</t>
        </r>
        <r>
          <rPr>
            <sz val="11"/>
            <color rgb="FF000000"/>
            <rFont val="Calibri"/>
          </rPr>
          <t>"</t>
        </r>
        <r>
          <rPr>
            <sz val="11"/>
            <color rgb="FF000000"/>
            <rFont val="Calibri"/>
          </rPr>
          <t xml:space="preserve"> with the </t>
        </r>
        <r>
          <rPr>
            <sz val="11"/>
            <color rgb="FF000000"/>
            <rFont val="Calibri"/>
          </rPr>
          <t>"</t>
        </r>
        <r>
          <rPr>
            <b/>
            <sz val="11"/>
            <color rgb="FF000000"/>
            <rFont val="Calibri"/>
          </rPr>
          <t>nodev</t>
        </r>
        <r>
          <rPr>
            <sz val="11"/>
            <color rgb="FF000000"/>
            <rFont val="Calibri"/>
          </rPr>
          <t>"</t>
        </r>
        <r>
          <rPr>
            <sz val="11"/>
            <color rgb="FF000000"/>
            <rFont val="Calibri"/>
          </rPr>
          <t xml:space="preserve"> option.</t>
        </r>
      </text>
    </comment>
    <comment ref="AP39" authorId="0" shapeId="0" xr:uid="{00000000-0006-0000-0400-00007C000000}">
      <text>
        <r>
          <rPr>
            <sz val="11"/>
            <rFont val="Calibri"/>
          </rPr>
          <t xml:space="preserve">OL 8 must mount </t>
        </r>
        <r>
          <rPr>
            <sz val="11"/>
            <color rgb="FF000000"/>
            <rFont val="Calibri"/>
          </rPr>
          <t>"</t>
        </r>
        <r>
          <rPr>
            <b/>
            <sz val="11"/>
            <color rgb="FF000000"/>
            <rFont val="Calibri"/>
          </rPr>
          <t>/dev/shm</t>
        </r>
        <r>
          <rPr>
            <sz val="11"/>
            <color rgb="FF000000"/>
            <rFont val="Calibri"/>
          </rPr>
          <t>"</t>
        </r>
        <r>
          <rPr>
            <sz val="11"/>
            <color rgb="FF000000"/>
            <rFont val="Calibri"/>
          </rPr>
          <t xml:space="preserve"> with the </t>
        </r>
        <r>
          <rPr>
            <sz val="11"/>
            <color rgb="FF000000"/>
            <rFont val="Calibri"/>
          </rPr>
          <t>"</t>
        </r>
        <r>
          <rPr>
            <b/>
            <sz val="11"/>
            <color rgb="FF000000"/>
            <rFont val="Calibri"/>
          </rPr>
          <t>nosuid</t>
        </r>
        <r>
          <rPr>
            <sz val="11"/>
            <color rgb="FF000000"/>
            <rFont val="Calibri"/>
          </rPr>
          <t>"</t>
        </r>
        <r>
          <rPr>
            <sz val="11"/>
            <color rgb="FF000000"/>
            <rFont val="Calibri"/>
          </rPr>
          <t xml:space="preserve"> option.</t>
        </r>
      </text>
    </comment>
    <comment ref="AQ39" authorId="0" shapeId="0" xr:uid="{00000000-0006-0000-0400-00007D000000}">
      <text>
        <r>
          <rPr>
            <sz val="11"/>
            <rFont val="Calibri"/>
          </rPr>
          <t xml:space="preserve">OL 8 must mount </t>
        </r>
        <r>
          <rPr>
            <sz val="11"/>
            <color rgb="FF000000"/>
            <rFont val="Calibri"/>
          </rPr>
          <t>"</t>
        </r>
        <r>
          <rPr>
            <b/>
            <sz val="11"/>
            <color rgb="FF000000"/>
            <rFont val="Calibri"/>
          </rPr>
          <t>/dev/shm</t>
        </r>
        <r>
          <rPr>
            <sz val="11"/>
            <color rgb="FF000000"/>
            <rFont val="Calibri"/>
          </rPr>
          <t>"</t>
        </r>
        <r>
          <rPr>
            <sz val="11"/>
            <color rgb="FF000000"/>
            <rFont val="Calibri"/>
          </rPr>
          <t xml:space="preserve"> with the </t>
        </r>
        <r>
          <rPr>
            <sz val="11"/>
            <color rgb="FF000000"/>
            <rFont val="Calibri"/>
          </rPr>
          <t>"</t>
        </r>
        <r>
          <rPr>
            <b/>
            <sz val="11"/>
            <color rgb="FF000000"/>
            <rFont val="Calibri"/>
          </rPr>
          <t>noexec</t>
        </r>
        <r>
          <rPr>
            <sz val="11"/>
            <color rgb="FF000000"/>
            <rFont val="Calibri"/>
          </rPr>
          <t>"</t>
        </r>
        <r>
          <rPr>
            <sz val="11"/>
            <color rgb="FF000000"/>
            <rFont val="Calibri"/>
          </rPr>
          <t xml:space="preserve"> option.</t>
        </r>
      </text>
    </comment>
    <comment ref="AR39" authorId="0" shapeId="0" xr:uid="{00000000-0006-0000-0400-00007E000000}">
      <text>
        <r>
          <rPr>
            <sz val="11"/>
            <rFont val="Calibri"/>
          </rPr>
          <t xml:space="preserve">OL 8 must mount </t>
        </r>
        <r>
          <rPr>
            <sz val="11"/>
            <color rgb="FF000000"/>
            <rFont val="Calibri"/>
          </rPr>
          <t>"</t>
        </r>
        <r>
          <rPr>
            <b/>
            <sz val="11"/>
            <color rgb="FF000000"/>
            <rFont val="Calibri"/>
          </rPr>
          <t>/tmp</t>
        </r>
        <r>
          <rPr>
            <sz val="11"/>
            <color rgb="FF000000"/>
            <rFont val="Calibri"/>
          </rPr>
          <t>"</t>
        </r>
        <r>
          <rPr>
            <sz val="11"/>
            <color rgb="FF000000"/>
            <rFont val="Calibri"/>
          </rPr>
          <t xml:space="preserve"> with the </t>
        </r>
        <r>
          <rPr>
            <sz val="11"/>
            <color rgb="FF000000"/>
            <rFont val="Calibri"/>
          </rPr>
          <t>"</t>
        </r>
        <r>
          <rPr>
            <b/>
            <sz val="11"/>
            <color rgb="FF000000"/>
            <rFont val="Calibri"/>
          </rPr>
          <t>nodev</t>
        </r>
        <r>
          <rPr>
            <sz val="11"/>
            <color rgb="FF000000"/>
            <rFont val="Calibri"/>
          </rPr>
          <t>"</t>
        </r>
        <r>
          <rPr>
            <sz val="11"/>
            <color rgb="FF000000"/>
            <rFont val="Calibri"/>
          </rPr>
          <t xml:space="preserve"> option.</t>
        </r>
      </text>
    </comment>
    <comment ref="AS39" authorId="0" shapeId="0" xr:uid="{00000000-0006-0000-0400-00007F000000}">
      <text>
        <r>
          <rPr>
            <sz val="11"/>
            <rFont val="Calibri"/>
          </rPr>
          <t xml:space="preserve">OL 8 must mount </t>
        </r>
        <r>
          <rPr>
            <sz val="11"/>
            <color rgb="FF000000"/>
            <rFont val="Calibri"/>
          </rPr>
          <t>"</t>
        </r>
        <r>
          <rPr>
            <b/>
            <sz val="11"/>
            <color rgb="FF000000"/>
            <rFont val="Calibri"/>
          </rPr>
          <t>/tmp</t>
        </r>
        <r>
          <rPr>
            <sz val="11"/>
            <color rgb="FF000000"/>
            <rFont val="Calibri"/>
          </rPr>
          <t>"</t>
        </r>
        <r>
          <rPr>
            <sz val="11"/>
            <color rgb="FF000000"/>
            <rFont val="Calibri"/>
          </rPr>
          <t xml:space="preserve"> with the </t>
        </r>
        <r>
          <rPr>
            <sz val="11"/>
            <color rgb="FF000000"/>
            <rFont val="Calibri"/>
          </rPr>
          <t>"</t>
        </r>
        <r>
          <rPr>
            <b/>
            <sz val="11"/>
            <color rgb="FF000000"/>
            <rFont val="Calibri"/>
          </rPr>
          <t>nosuid</t>
        </r>
        <r>
          <rPr>
            <sz val="11"/>
            <color rgb="FF000000"/>
            <rFont val="Calibri"/>
          </rPr>
          <t>"</t>
        </r>
        <r>
          <rPr>
            <sz val="11"/>
            <color rgb="FF000000"/>
            <rFont val="Calibri"/>
          </rPr>
          <t xml:space="preserve"> option.</t>
        </r>
      </text>
    </comment>
    <comment ref="AT39" authorId="0" shapeId="0" xr:uid="{00000000-0006-0000-0400-000080000000}">
      <text>
        <r>
          <rPr>
            <sz val="11"/>
            <rFont val="Calibri"/>
          </rPr>
          <t xml:space="preserve">OL 8 must mount </t>
        </r>
        <r>
          <rPr>
            <sz val="11"/>
            <color rgb="FF000000"/>
            <rFont val="Calibri"/>
          </rPr>
          <t>"</t>
        </r>
        <r>
          <rPr>
            <b/>
            <sz val="11"/>
            <color rgb="FF000000"/>
            <rFont val="Calibri"/>
          </rPr>
          <t>/tmp</t>
        </r>
        <r>
          <rPr>
            <sz val="11"/>
            <color rgb="FF000000"/>
            <rFont val="Calibri"/>
          </rPr>
          <t>"</t>
        </r>
        <r>
          <rPr>
            <sz val="11"/>
            <color rgb="FF000000"/>
            <rFont val="Calibri"/>
          </rPr>
          <t xml:space="preserve"> with the </t>
        </r>
        <r>
          <rPr>
            <sz val="11"/>
            <color rgb="FF000000"/>
            <rFont val="Calibri"/>
          </rPr>
          <t>"</t>
        </r>
        <r>
          <rPr>
            <b/>
            <sz val="11"/>
            <color rgb="FF000000"/>
            <rFont val="Calibri"/>
          </rPr>
          <t>noexec</t>
        </r>
        <r>
          <rPr>
            <sz val="11"/>
            <color rgb="FF000000"/>
            <rFont val="Calibri"/>
          </rPr>
          <t>"</t>
        </r>
        <r>
          <rPr>
            <sz val="11"/>
            <color rgb="FF000000"/>
            <rFont val="Calibri"/>
          </rPr>
          <t xml:space="preserve"> option.</t>
        </r>
      </text>
    </comment>
    <comment ref="AU39" authorId="0" shapeId="0" xr:uid="{00000000-0006-0000-0400-000081000000}">
      <text>
        <r>
          <rPr>
            <sz val="11"/>
            <rFont val="Calibri"/>
          </rPr>
          <t xml:space="preserve">OL 8 must mount </t>
        </r>
        <r>
          <rPr>
            <sz val="11"/>
            <color rgb="FF000000"/>
            <rFont val="Calibri"/>
          </rPr>
          <t>"</t>
        </r>
        <r>
          <rPr>
            <b/>
            <sz val="11"/>
            <color rgb="FF000000"/>
            <rFont val="Calibri"/>
          </rPr>
          <t>/var/log</t>
        </r>
        <r>
          <rPr>
            <sz val="11"/>
            <color rgb="FF000000"/>
            <rFont val="Calibri"/>
          </rPr>
          <t>"</t>
        </r>
        <r>
          <rPr>
            <sz val="11"/>
            <color rgb="FF000000"/>
            <rFont val="Calibri"/>
          </rPr>
          <t xml:space="preserve"> with the </t>
        </r>
        <r>
          <rPr>
            <sz val="11"/>
            <color rgb="FF000000"/>
            <rFont val="Calibri"/>
          </rPr>
          <t>"</t>
        </r>
        <r>
          <rPr>
            <b/>
            <sz val="11"/>
            <color rgb="FF000000"/>
            <rFont val="Calibri"/>
          </rPr>
          <t>nodev</t>
        </r>
        <r>
          <rPr>
            <sz val="11"/>
            <color rgb="FF000000"/>
            <rFont val="Calibri"/>
          </rPr>
          <t>"</t>
        </r>
        <r>
          <rPr>
            <sz val="11"/>
            <color rgb="FF000000"/>
            <rFont val="Calibri"/>
          </rPr>
          <t xml:space="preserve"> option.</t>
        </r>
      </text>
    </comment>
    <comment ref="AV39" authorId="0" shapeId="0" xr:uid="{00000000-0006-0000-0400-000082000000}">
      <text>
        <r>
          <rPr>
            <sz val="11"/>
            <rFont val="Calibri"/>
          </rPr>
          <t xml:space="preserve">OL 8 must mount </t>
        </r>
        <r>
          <rPr>
            <sz val="11"/>
            <color rgb="FF000000"/>
            <rFont val="Calibri"/>
          </rPr>
          <t>"</t>
        </r>
        <r>
          <rPr>
            <b/>
            <sz val="11"/>
            <color rgb="FF000000"/>
            <rFont val="Calibri"/>
          </rPr>
          <t>/var/log</t>
        </r>
        <r>
          <rPr>
            <sz val="11"/>
            <color rgb="FF000000"/>
            <rFont val="Calibri"/>
          </rPr>
          <t>"</t>
        </r>
        <r>
          <rPr>
            <sz val="11"/>
            <color rgb="FF000000"/>
            <rFont val="Calibri"/>
          </rPr>
          <t xml:space="preserve"> with the </t>
        </r>
        <r>
          <rPr>
            <sz val="11"/>
            <color rgb="FF000000"/>
            <rFont val="Calibri"/>
          </rPr>
          <t>"</t>
        </r>
        <r>
          <rPr>
            <b/>
            <sz val="11"/>
            <color rgb="FF000000"/>
            <rFont val="Calibri"/>
          </rPr>
          <t>nosuid</t>
        </r>
        <r>
          <rPr>
            <sz val="11"/>
            <color rgb="FF000000"/>
            <rFont val="Calibri"/>
          </rPr>
          <t>"</t>
        </r>
        <r>
          <rPr>
            <sz val="11"/>
            <color rgb="FF000000"/>
            <rFont val="Calibri"/>
          </rPr>
          <t xml:space="preserve"> option.</t>
        </r>
      </text>
    </comment>
    <comment ref="AW39" authorId="0" shapeId="0" xr:uid="{00000000-0006-0000-0400-000083000000}">
      <text>
        <r>
          <rPr>
            <sz val="11"/>
            <rFont val="Calibri"/>
          </rPr>
          <t xml:space="preserve">OL 8 must mount </t>
        </r>
        <r>
          <rPr>
            <sz val="11"/>
            <color rgb="FF000000"/>
            <rFont val="Calibri"/>
          </rPr>
          <t>"</t>
        </r>
        <r>
          <rPr>
            <b/>
            <sz val="11"/>
            <color rgb="FF000000"/>
            <rFont val="Calibri"/>
          </rPr>
          <t>/var/log</t>
        </r>
        <r>
          <rPr>
            <sz val="11"/>
            <color rgb="FF000000"/>
            <rFont val="Calibri"/>
          </rPr>
          <t>"</t>
        </r>
        <r>
          <rPr>
            <sz val="11"/>
            <color rgb="FF000000"/>
            <rFont val="Calibri"/>
          </rPr>
          <t xml:space="preserve"> with the </t>
        </r>
        <r>
          <rPr>
            <sz val="11"/>
            <color rgb="FF000000"/>
            <rFont val="Calibri"/>
          </rPr>
          <t>"</t>
        </r>
        <r>
          <rPr>
            <b/>
            <sz val="11"/>
            <color rgb="FF000000"/>
            <rFont val="Calibri"/>
          </rPr>
          <t>noexec</t>
        </r>
        <r>
          <rPr>
            <sz val="11"/>
            <color rgb="FF000000"/>
            <rFont val="Calibri"/>
          </rPr>
          <t>"</t>
        </r>
        <r>
          <rPr>
            <sz val="11"/>
            <color rgb="FF000000"/>
            <rFont val="Calibri"/>
          </rPr>
          <t xml:space="preserve"> option.</t>
        </r>
      </text>
    </comment>
    <comment ref="J46" authorId="0" shapeId="0" xr:uid="{00000000-0006-0000-0400-000084000000}">
      <text>
        <r>
          <rPr>
            <sz val="11"/>
            <rFont val="Calibri"/>
          </rPr>
          <t>OL 8 must limit the number of concurrent sessions to 10 for all accounts and/or account types.</t>
        </r>
      </text>
    </comment>
    <comment ref="J47" authorId="0" shapeId="0" xr:uid="{00000000-0006-0000-0400-000085000000}">
      <text>
        <r>
          <rPr>
            <sz val="11"/>
            <rFont val="Calibri"/>
          </rPr>
          <t>OL 8 temporary user accounts must be provisioned with an expiration time of 72 hours or less.</t>
        </r>
      </text>
    </comment>
    <comment ref="K47" authorId="0" shapeId="0" xr:uid="{00000000-0006-0000-0400-000086000000}">
      <text>
        <r>
          <rPr>
            <sz val="11"/>
            <rFont val="Calibri"/>
          </rPr>
          <t>OL 8 duplicate User IDs (UIDs) must not exist for interactive users.</t>
        </r>
      </text>
    </comment>
    <comment ref="L47" authorId="0" shapeId="0" xr:uid="{00000000-0006-0000-0400-000087000000}">
      <text>
        <r>
          <rPr>
            <sz val="11"/>
            <rFont val="Calibri"/>
          </rPr>
          <t>The OL 8 system-auth file must disable access to the system for account identifiers (individuals, groups, roles, and devices) with 35 days of inactivity.</t>
        </r>
      </text>
    </comment>
    <comment ref="M47" authorId="0" shapeId="0" xr:uid="{00000000-0006-0000-0400-000088000000}">
      <text>
        <r>
          <rPr>
            <sz val="11"/>
            <rFont val="Calibri"/>
          </rPr>
          <t>The OL 8 password-auth file must disable access to the system for account identifiers (individuals, groups, roles, and devices) with 35 days of inactivity.</t>
        </r>
      </text>
    </comment>
    <comment ref="N47" authorId="0" shapeId="0" xr:uid="{00000000-0006-0000-0400-000089000000}">
      <text>
        <r>
          <rPr>
            <sz val="11"/>
            <rFont val="Calibri"/>
          </rPr>
          <t>OL 8 must automatically expire temporary accounts within 72 hours.</t>
        </r>
      </text>
    </comment>
    <comment ref="O47" authorId="0" shapeId="0" xr:uid="{00000000-0006-0000-0400-00008A000000}">
      <text>
        <r>
          <rPr>
            <sz val="11"/>
            <rFont val="Calibri"/>
          </rPr>
          <t>OL 8 must not have unnecessary accounts.</t>
        </r>
      </text>
    </comment>
    <comment ref="J48" authorId="0" shapeId="0" xr:uid="{00000000-0006-0000-0400-00008B000000}">
      <text>
        <r>
          <rPr>
            <sz val="11"/>
            <rFont val="Calibri"/>
          </rPr>
          <t>OL 8 must require users to provide a password for privilege escalation.</t>
        </r>
      </text>
    </comment>
    <comment ref="K48" authorId="0" shapeId="0" xr:uid="{00000000-0006-0000-0400-00008C000000}">
      <text>
        <r>
          <rPr>
            <sz val="11"/>
            <rFont val="Calibri"/>
          </rPr>
          <t>OL 8 must require users to reauthenticate for privilege escalation and changing roles.</t>
        </r>
      </text>
    </comment>
    <comment ref="L48" authorId="0" shapeId="0" xr:uid="{00000000-0006-0000-0400-00008D000000}">
      <text>
        <r>
          <rPr>
            <sz val="11"/>
            <rFont val="Calibri"/>
          </rPr>
          <t>OL 8 must restrict privilege elevation to authorized personnel.</t>
        </r>
      </text>
    </comment>
    <comment ref="M48" authorId="0" shapeId="0" xr:uid="{00000000-0006-0000-0400-00008E000000}">
      <text>
        <r>
          <rPr>
            <sz val="11"/>
            <rFont val="Calibri"/>
          </rPr>
          <t>OL 8 must use the invoking user</t>
        </r>
        <r>
          <rPr>
            <sz val="11"/>
            <color rgb="FF000000"/>
            <rFont val="Calibri"/>
          </rPr>
          <t>'</t>
        </r>
        <r>
          <rPr>
            <sz val="11"/>
            <color rgb="FF000000"/>
            <rFont val="Calibri"/>
          </rPr>
          <t xml:space="preserve">s password for privilege escalation when using </t>
        </r>
        <r>
          <rPr>
            <sz val="11"/>
            <color rgb="FF000000"/>
            <rFont val="Calibri"/>
          </rPr>
          <t>"</t>
        </r>
        <r>
          <rPr>
            <b/>
            <sz val="11"/>
            <color rgb="FF000000"/>
            <rFont val="Calibri"/>
          </rPr>
          <t>sudo</t>
        </r>
        <r>
          <rPr>
            <sz val="11"/>
            <color rgb="FF000000"/>
            <rFont val="Calibri"/>
          </rPr>
          <t>"</t>
        </r>
        <r>
          <rPr>
            <sz val="11"/>
            <color rgb="FF000000"/>
            <rFont val="Calibri"/>
          </rPr>
          <t>.</t>
        </r>
      </text>
    </comment>
    <comment ref="N48" authorId="0" shapeId="0" xr:uid="{00000000-0006-0000-0400-00008F000000}">
      <text>
        <r>
          <rPr>
            <sz val="11"/>
            <rFont val="Calibri"/>
          </rPr>
          <t>OL 8 must not permit direct logons to the root account using remote access via SSH.</t>
        </r>
      </text>
    </comment>
    <comment ref="O48" authorId="0" shapeId="0" xr:uid="{00000000-0006-0000-0400-000090000000}">
      <text>
        <r>
          <rPr>
            <sz val="11"/>
            <rFont val="Calibri"/>
          </rPr>
          <t>The root account must be the only account having unrestricted access to the OL 8 system.</t>
        </r>
      </text>
    </comment>
    <comment ref="P48" authorId="0" shapeId="0" xr:uid="{00000000-0006-0000-0400-000091000000}">
      <text>
        <r>
          <rPr>
            <sz val="11"/>
            <rFont val="Calibri"/>
          </rPr>
          <t>OL 8 must prevent nonprivileged users from executing privileged functions, including disabling, circumventing, or altering implemented security safeguards/countermeasures.</t>
        </r>
      </text>
    </comment>
    <comment ref="Q48" authorId="0" shapeId="0" xr:uid="{00000000-0006-0000-0400-000092000000}">
      <text>
        <r>
          <rPr>
            <sz val="11"/>
            <rFont val="Calibri"/>
          </rPr>
          <t>The OL 8 operating system must not be configured to bypass password requirements for privilege escalation.</t>
        </r>
      </text>
    </comment>
    <comment ref="J54" authorId="0" shapeId="0" xr:uid="{00000000-0006-0000-0400-000093000000}">
      <text>
        <r>
          <rPr>
            <sz val="11"/>
            <rFont val="Calibri"/>
          </rPr>
          <t>OL 8 must prevent the installation of software, patches, service packs, device drivers, or operating system components of local packages without verification they have been digitally signed using a certificate that is issued by a Certificate Authority (CA) that is recognized and approved by the organization.</t>
        </r>
      </text>
    </comment>
    <comment ref="K54" authorId="0" shapeId="0" xr:uid="{00000000-0006-0000-0400-000094000000}">
      <text>
        <r>
          <rPr>
            <sz val="11"/>
            <rFont val="Calibri"/>
          </rPr>
          <t>OL 8 must have the package required for multifactor authentication installed.</t>
        </r>
      </text>
    </comment>
    <comment ref="L54" authorId="0" shapeId="0" xr:uid="{00000000-0006-0000-0400-000095000000}">
      <text>
        <r>
          <rPr>
            <sz val="11"/>
            <rFont val="Calibri"/>
          </rPr>
          <t>OL 8 must implement certificate status checking for multifactor authentication.</t>
        </r>
      </text>
    </comment>
    <comment ref="M54" authorId="0" shapeId="0" xr:uid="{00000000-0006-0000-0400-000096000000}">
      <text>
        <r>
          <rPr>
            <sz val="11"/>
            <rFont val="Calibri"/>
          </rPr>
          <t>OL 8 must accept Personal Identity Verification (PIV) credentials.</t>
        </r>
      </text>
    </comment>
    <comment ref="N54" authorId="0" shapeId="0" xr:uid="{00000000-0006-0000-0400-000097000000}">
      <text>
        <r>
          <rPr>
            <sz val="11"/>
            <rFont val="Calibri"/>
          </rPr>
          <t>OL 8 must map the authenticated identity to the user or group account for PKI-based authentication.</t>
        </r>
      </text>
    </comment>
    <comment ref="O54" authorId="0" shapeId="0" xr:uid="{00000000-0006-0000-0400-000098000000}">
      <text>
        <r>
          <rPr>
            <sz val="11"/>
            <rFont val="Calibri"/>
          </rPr>
          <t>OL 8 must implement multifactor authentication for access to interactive accounts.</t>
        </r>
      </text>
    </comment>
    <comment ref="P54" authorId="0" shapeId="0" xr:uid="{00000000-0006-0000-0400-000099000000}">
      <text>
        <r>
          <rPr>
            <sz val="11"/>
            <rFont val="Calibri"/>
          </rPr>
          <t>OL 8 must prohibit the use of cached authentications after one day.</t>
        </r>
      </text>
    </comment>
    <comment ref="J63" authorId="0" shapeId="0" xr:uid="{00000000-0006-0000-0400-00009A000000}">
      <text>
        <r>
          <rPr>
            <sz val="11"/>
            <rFont val="Calibri"/>
          </rPr>
          <t>OL 8 vendor-packaged system security patches and updates must be installed and up to date.</t>
        </r>
      </text>
    </comment>
    <comment ref="J70" authorId="0" shapeId="0" xr:uid="{00000000-0006-0000-0400-00009B000000}">
      <text>
        <r>
          <rPr>
            <sz val="11"/>
            <rFont val="Calibri"/>
          </rPr>
          <t>The OL 8 audit package must be installed.</t>
        </r>
      </text>
    </comment>
    <comment ref="K70" authorId="0" shapeId="0" xr:uid="{00000000-0006-0000-0400-00009C000000}">
      <text>
        <r>
          <rPr>
            <sz val="11"/>
            <rFont val="Calibri"/>
          </rPr>
          <t>OL 8 audit records must contain information to establish what type of events occurred, the source of events, where events occurred, and the outcome of events.</t>
        </r>
      </text>
    </comment>
    <comment ref="L70" authorId="0" shapeId="0" xr:uid="{00000000-0006-0000-0400-00009D000000}">
      <text>
        <r>
          <rPr>
            <sz val="11"/>
            <rFont val="Calibri"/>
          </rPr>
          <t>OL 8 must display a banner before granting local or remote access to the system via a graphical user logon.</t>
        </r>
      </text>
    </comment>
    <comment ref="M70" authorId="0" shapeId="0" xr:uid="{00000000-0006-0000-0400-00009E000000}">
      <text>
        <r>
          <rPr>
            <sz val="11"/>
            <rFont val="Calibri"/>
          </rPr>
          <t>All OL 8 remote access methods must be monitored.</t>
        </r>
      </text>
    </comment>
    <comment ref="N70" authorId="0" shapeId="0" xr:uid="{00000000-0006-0000-0400-00009F000000}">
      <text>
        <r>
          <rPr>
            <sz val="11"/>
            <rFont val="Calibri"/>
          </rPr>
          <t>OL 8, for PKI-based authentication, must validate certificates by constructing a certification path (which includes status information) to an accepted trust anchor.</t>
        </r>
      </text>
    </comment>
    <comment ref="O70" authorId="0" shapeId="0" xr:uid="{00000000-0006-0000-0400-0000A0000000}">
      <text>
        <r>
          <rPr>
            <sz val="11"/>
            <rFont val="Calibri"/>
          </rPr>
          <t>OL 8, for certificate-based authentication, must enforce authorized access to the corresponding private key.</t>
        </r>
      </text>
    </comment>
    <comment ref="P70" authorId="0" shapeId="0" xr:uid="{00000000-0006-0000-0400-0000A1000000}">
      <text>
        <r>
          <rPr>
            <sz val="11"/>
            <rFont val="Calibri"/>
          </rPr>
          <t>OL 8 operating systems booted with United Extensible Firmware Interface (UEFI) must have a unique name for the grub superusers account when booting into single-user mode and maintenance.</t>
        </r>
      </text>
    </comment>
    <comment ref="Q70" authorId="0" shapeId="0" xr:uid="{00000000-0006-0000-0400-0000A2000000}">
      <text>
        <r>
          <rPr>
            <sz val="11"/>
            <rFont val="Calibri"/>
          </rPr>
          <t>OL 8 operating systems booted with a BIOS must have a unique name for the grub superusers account when booting into single-user and maintenance modes.</t>
        </r>
      </text>
    </comment>
    <comment ref="R70" authorId="0" shapeId="0" xr:uid="{00000000-0006-0000-0400-0000A3000000}">
      <text>
        <r>
          <rPr>
            <sz val="11"/>
            <rFont val="Calibri"/>
          </rPr>
          <t>OL 8 operating systems must require authentication upon booting into rescue mode.</t>
        </r>
      </text>
    </comment>
    <comment ref="S70" authorId="0" shapeId="0" xr:uid="{00000000-0006-0000-0400-0000A4000000}">
      <text>
        <r>
          <rPr>
            <sz val="11"/>
            <rFont val="Calibri"/>
          </rPr>
          <t>The krb5-workstation package must not be installed on OL 8.</t>
        </r>
      </text>
    </comment>
    <comment ref="T70" authorId="0" shapeId="0" xr:uid="{00000000-0006-0000-0400-0000A5000000}">
      <text>
        <r>
          <rPr>
            <sz val="11"/>
            <rFont val="Calibri"/>
          </rPr>
          <t>The krb5-server package must not be installed on OL 8.</t>
        </r>
      </text>
    </comment>
    <comment ref="U70" authorId="0" shapeId="0" xr:uid="{00000000-0006-0000-0400-0000A6000000}">
      <text>
        <r>
          <rPr>
            <sz val="11"/>
            <rFont val="Calibri"/>
          </rPr>
          <t xml:space="preserve">The OL 8 </t>
        </r>
        <r>
          <rPr>
            <sz val="11"/>
            <color rgb="FF000000"/>
            <rFont val="Calibri"/>
          </rPr>
          <t>"</t>
        </r>
        <r>
          <rPr>
            <b/>
            <sz val="11"/>
            <color rgb="FF000000"/>
            <rFont val="Calibri"/>
          </rPr>
          <t>/var/log/messages</t>
        </r>
        <r>
          <rPr>
            <sz val="11"/>
            <color rgb="FF000000"/>
            <rFont val="Calibri"/>
          </rPr>
          <t>"</t>
        </r>
        <r>
          <rPr>
            <sz val="11"/>
            <color rgb="FF000000"/>
            <rFont val="Calibri"/>
          </rPr>
          <t xml:space="preserve"> file must have mode 0640 or less permissive.</t>
        </r>
      </text>
    </comment>
    <comment ref="V70" authorId="0" shapeId="0" xr:uid="{00000000-0006-0000-0400-0000A7000000}">
      <text>
        <r>
          <rPr>
            <sz val="11"/>
            <rFont val="Calibri"/>
          </rPr>
          <t xml:space="preserve">The OL 8 </t>
        </r>
        <r>
          <rPr>
            <sz val="11"/>
            <color rgb="FF000000"/>
            <rFont val="Calibri"/>
          </rPr>
          <t>"</t>
        </r>
        <r>
          <rPr>
            <b/>
            <sz val="11"/>
            <color rgb="FF000000"/>
            <rFont val="Calibri"/>
          </rPr>
          <t>/var/log/messages</t>
        </r>
        <r>
          <rPr>
            <sz val="11"/>
            <color rgb="FF000000"/>
            <rFont val="Calibri"/>
          </rPr>
          <t>"</t>
        </r>
        <r>
          <rPr>
            <sz val="11"/>
            <color rgb="FF000000"/>
            <rFont val="Calibri"/>
          </rPr>
          <t xml:space="preserve"> file must be owned by root.</t>
        </r>
      </text>
    </comment>
    <comment ref="W70" authorId="0" shapeId="0" xr:uid="{00000000-0006-0000-0400-0000A8000000}">
      <text>
        <r>
          <rPr>
            <sz val="11"/>
            <rFont val="Calibri"/>
          </rPr>
          <t xml:space="preserve">The OL 8 </t>
        </r>
        <r>
          <rPr>
            <sz val="11"/>
            <color rgb="FF000000"/>
            <rFont val="Calibri"/>
          </rPr>
          <t>"</t>
        </r>
        <r>
          <rPr>
            <b/>
            <sz val="11"/>
            <color rgb="FF000000"/>
            <rFont val="Calibri"/>
          </rPr>
          <t>/var/log/messages</t>
        </r>
        <r>
          <rPr>
            <sz val="11"/>
            <color rgb="FF000000"/>
            <rFont val="Calibri"/>
          </rPr>
          <t>"</t>
        </r>
        <r>
          <rPr>
            <sz val="11"/>
            <color rgb="FF000000"/>
            <rFont val="Calibri"/>
          </rPr>
          <t xml:space="preserve"> file must be group-owned by root.</t>
        </r>
      </text>
    </comment>
    <comment ref="X70" authorId="0" shapeId="0" xr:uid="{00000000-0006-0000-0400-0000A9000000}">
      <text>
        <r>
          <rPr>
            <sz val="11"/>
            <rFont val="Calibri"/>
          </rPr>
          <t xml:space="preserve">The OL 8 </t>
        </r>
        <r>
          <rPr>
            <sz val="11"/>
            <color rgb="FF000000"/>
            <rFont val="Calibri"/>
          </rPr>
          <t>"</t>
        </r>
        <r>
          <rPr>
            <b/>
            <sz val="11"/>
            <color rgb="FF000000"/>
            <rFont val="Calibri"/>
          </rPr>
          <t>/var/log</t>
        </r>
        <r>
          <rPr>
            <sz val="11"/>
            <color rgb="FF000000"/>
            <rFont val="Calibri"/>
          </rPr>
          <t>"</t>
        </r>
        <r>
          <rPr>
            <sz val="11"/>
            <color rgb="FF000000"/>
            <rFont val="Calibri"/>
          </rPr>
          <t xml:space="preserve"> directory must have mode 0755 or less permissive.</t>
        </r>
      </text>
    </comment>
    <comment ref="Y70" authorId="0" shapeId="0" xr:uid="{00000000-0006-0000-0400-0000AA000000}">
      <text>
        <r>
          <rPr>
            <sz val="11"/>
            <rFont val="Calibri"/>
          </rPr>
          <t xml:space="preserve">The OL 8 </t>
        </r>
        <r>
          <rPr>
            <sz val="11"/>
            <color rgb="FF000000"/>
            <rFont val="Calibri"/>
          </rPr>
          <t>"</t>
        </r>
        <r>
          <rPr>
            <b/>
            <sz val="11"/>
            <color rgb="FF000000"/>
            <rFont val="Calibri"/>
          </rPr>
          <t>/var/log</t>
        </r>
        <r>
          <rPr>
            <sz val="11"/>
            <color rgb="FF000000"/>
            <rFont val="Calibri"/>
          </rPr>
          <t>"</t>
        </r>
        <r>
          <rPr>
            <sz val="11"/>
            <color rgb="FF000000"/>
            <rFont val="Calibri"/>
          </rPr>
          <t xml:space="preserve"> directory must be owned by root.</t>
        </r>
      </text>
    </comment>
    <comment ref="Z70" authorId="0" shapeId="0" xr:uid="{00000000-0006-0000-0400-0000AB000000}">
      <text>
        <r>
          <rPr>
            <sz val="11"/>
            <rFont val="Calibri"/>
          </rPr>
          <t xml:space="preserve">The OL 8 </t>
        </r>
        <r>
          <rPr>
            <sz val="11"/>
            <color rgb="FF000000"/>
            <rFont val="Calibri"/>
          </rPr>
          <t>"</t>
        </r>
        <r>
          <rPr>
            <b/>
            <sz val="11"/>
            <color rgb="FF000000"/>
            <rFont val="Calibri"/>
          </rPr>
          <t>/var/log</t>
        </r>
        <r>
          <rPr>
            <sz val="11"/>
            <color rgb="FF000000"/>
            <rFont val="Calibri"/>
          </rPr>
          <t>"</t>
        </r>
        <r>
          <rPr>
            <sz val="11"/>
            <color rgb="FF000000"/>
            <rFont val="Calibri"/>
          </rPr>
          <t xml:space="preserve"> directory must be group-owned by root.</t>
        </r>
      </text>
    </comment>
    <comment ref="AA70" authorId="0" shapeId="0" xr:uid="{00000000-0006-0000-0400-0000AC000000}">
      <text>
        <r>
          <rPr>
            <sz val="11"/>
            <rFont val="Calibri"/>
          </rPr>
          <t xml:space="preserve">OL 8 must require reauthentication when using the </t>
        </r>
        <r>
          <rPr>
            <sz val="11"/>
            <color rgb="FF000000"/>
            <rFont val="Calibri"/>
          </rPr>
          <t>"</t>
        </r>
        <r>
          <rPr>
            <b/>
            <sz val="11"/>
            <color rgb="FF000000"/>
            <rFont val="Calibri"/>
          </rPr>
          <t>sudo</t>
        </r>
        <r>
          <rPr>
            <sz val="11"/>
            <color rgb="FF000000"/>
            <rFont val="Calibri"/>
          </rPr>
          <t>"</t>
        </r>
        <r>
          <rPr>
            <sz val="11"/>
            <color rgb="FF000000"/>
            <rFont val="Calibri"/>
          </rPr>
          <t xml:space="preserve"> command.</t>
        </r>
      </text>
    </comment>
    <comment ref="AB70" authorId="0" shapeId="0" xr:uid="{00000000-0006-0000-0400-0000AD000000}">
      <text>
        <r>
          <rPr>
            <sz val="11"/>
            <rFont val="Calibri"/>
          </rPr>
          <t>OL 8 must disable virtual syscalls.</t>
        </r>
      </text>
    </comment>
    <comment ref="AC70" authorId="0" shapeId="0" xr:uid="{00000000-0006-0000-0400-0000AE000000}">
      <text>
        <r>
          <rPr>
            <sz val="11"/>
            <rFont val="Calibri"/>
          </rPr>
          <t>OL 8 must not let Meltdown and Spectre exploit critical vulnerabilities in modern processors.</t>
        </r>
      </text>
    </comment>
    <comment ref="AD70" authorId="0" shapeId="0" xr:uid="{00000000-0006-0000-0400-0000AF000000}">
      <text>
        <r>
          <rPr>
            <sz val="11"/>
            <rFont val="Calibri"/>
          </rPr>
          <t>OL 8 must use a separate file system for the system audit data path.</t>
        </r>
      </text>
    </comment>
    <comment ref="AE70" authorId="0" shapeId="0" xr:uid="{00000000-0006-0000-0400-0000B0000000}">
      <text>
        <r>
          <rPr>
            <sz val="11"/>
            <rFont val="Calibri"/>
          </rPr>
          <t>OL 8 must have the rsyslog service enabled and active.</t>
        </r>
      </text>
    </comment>
    <comment ref="AF70" authorId="0" shapeId="0" xr:uid="{00000000-0006-0000-0400-0000B1000000}">
      <text>
        <r>
          <rPr>
            <sz val="11"/>
            <rFont val="Calibri"/>
          </rPr>
          <t>OL 8 must prevent special devices on nonroot local partitions.</t>
        </r>
      </text>
    </comment>
    <comment ref="AG70" authorId="0" shapeId="0" xr:uid="{00000000-0006-0000-0400-0000B2000000}">
      <text>
        <r>
          <rPr>
            <sz val="11"/>
            <rFont val="Calibri"/>
          </rPr>
          <t>OL 8 file systems must not interpret character or block special devices from untrusted file systems.</t>
        </r>
      </text>
    </comment>
    <comment ref="AH70" authorId="0" shapeId="0" xr:uid="{00000000-0006-0000-0400-0000B3000000}">
      <text>
        <r>
          <rPr>
            <sz val="11"/>
            <rFont val="Calibri"/>
          </rPr>
          <t>OL 8 file systems must not execute binary files on removable media.</t>
        </r>
      </text>
    </comment>
    <comment ref="AI70" authorId="0" shapeId="0" xr:uid="{00000000-0006-0000-0400-0000B4000000}">
      <text>
        <r>
          <rPr>
            <sz val="11"/>
            <rFont val="Calibri"/>
          </rPr>
          <t>OL 8 must disable kernel dumps unless needed.</t>
        </r>
      </text>
    </comment>
    <comment ref="AJ70" authorId="0" shapeId="0" xr:uid="{00000000-0006-0000-0400-0000B5000000}">
      <text>
        <r>
          <rPr>
            <sz val="11"/>
            <rFont val="Calibri"/>
          </rPr>
          <t>OL 8 systems below version 8.2 must prevent system messages from being presented when three unsuccessful logon attempts occur.</t>
        </r>
      </text>
    </comment>
    <comment ref="AK70" authorId="0" shapeId="0" xr:uid="{00000000-0006-0000-0400-0000B6000000}">
      <text>
        <r>
          <rPr>
            <sz val="11"/>
            <rFont val="Calibri"/>
          </rPr>
          <t>OL 8 systems, versions 8.2 and above, must prevent system messages from being presented when three unsuccessful logon attempts occur.</t>
        </r>
      </text>
    </comment>
    <comment ref="AL70" authorId="0" shapeId="0" xr:uid="{00000000-0006-0000-0400-0000B7000000}">
      <text>
        <r>
          <rPr>
            <sz val="11"/>
            <rFont val="Calibri"/>
          </rPr>
          <t>OL 8 systems below version 8.2 must log user name information when unsuccessful logon attempts occur.</t>
        </r>
      </text>
    </comment>
    <comment ref="AM70" authorId="0" shapeId="0" xr:uid="{00000000-0006-0000-0400-0000B8000000}">
      <text>
        <r>
          <rPr>
            <sz val="11"/>
            <rFont val="Calibri"/>
          </rPr>
          <t>OL 8 systems, versions 8.2 and above, must log user name information when unsuccessful logon attempts occur.</t>
        </r>
      </text>
    </comment>
    <comment ref="AN70" authorId="0" shapeId="0" xr:uid="{00000000-0006-0000-0400-0000B9000000}">
      <text>
        <r>
          <rPr>
            <sz val="11"/>
            <rFont val="Calibri"/>
          </rPr>
          <t>The OL 8 lastlog command must be owned by root.</t>
        </r>
      </text>
    </comment>
    <comment ref="AO70" authorId="0" shapeId="0" xr:uid="{00000000-0006-0000-0400-0000BA000000}">
      <text>
        <r>
          <rPr>
            <sz val="11"/>
            <rFont val="Calibri"/>
          </rPr>
          <t>The OL 8 lastlog command must be group-owned by root.</t>
        </r>
      </text>
    </comment>
    <comment ref="AP70" authorId="0" shapeId="0" xr:uid="{00000000-0006-0000-0400-0000BB000000}">
      <text>
        <r>
          <rPr>
            <sz val="11"/>
            <rFont val="Calibri"/>
          </rPr>
          <t>Cron logging must be implemented in OL 8.</t>
        </r>
      </text>
    </comment>
    <comment ref="AQ70" authorId="0" shapeId="0" xr:uid="{00000000-0006-0000-0400-0000BC000000}">
      <text>
        <r>
          <rPr>
            <sz val="11"/>
            <rFont val="Calibri"/>
          </rPr>
          <t>The OL 8 audit system must audit local events.</t>
        </r>
      </text>
    </comment>
    <comment ref="AR70" authorId="0" shapeId="0" xr:uid="{00000000-0006-0000-0400-0000BD000000}">
      <text>
        <r>
          <rPr>
            <sz val="11"/>
            <rFont val="Calibri"/>
          </rPr>
          <t>OL 8 must resolve audit information before writing to disk.</t>
        </r>
      </text>
    </comment>
    <comment ref="AS70" authorId="0" shapeId="0" xr:uid="{00000000-0006-0000-0400-0000BE000000}">
      <text>
        <r>
          <rPr>
            <sz val="11"/>
            <rFont val="Calibri"/>
          </rPr>
          <t xml:space="preserve">OL 8 audit logs must have a mode of </t>
        </r>
        <r>
          <rPr>
            <sz val="11"/>
            <color rgb="FF000000"/>
            <rFont val="Calibri"/>
          </rPr>
          <t>"</t>
        </r>
        <r>
          <rPr>
            <b/>
            <sz val="11"/>
            <color rgb="FF000000"/>
            <rFont val="Calibri"/>
          </rPr>
          <t>0600</t>
        </r>
        <r>
          <rPr>
            <sz val="11"/>
            <color rgb="FF000000"/>
            <rFont val="Calibri"/>
          </rPr>
          <t>"</t>
        </r>
        <r>
          <rPr>
            <sz val="11"/>
            <color rgb="FF000000"/>
            <rFont val="Calibri"/>
          </rPr>
          <t xml:space="preserve"> or less permissive to prevent unauthorized read access.</t>
        </r>
      </text>
    </comment>
    <comment ref="AT70" authorId="0" shapeId="0" xr:uid="{00000000-0006-0000-0400-0000BF000000}">
      <text>
        <r>
          <rPr>
            <sz val="11"/>
            <rFont val="Calibri"/>
          </rPr>
          <t>OL 8 audit logs must be owned by root to prevent unauthorized read access.</t>
        </r>
      </text>
    </comment>
    <comment ref="AU70" authorId="0" shapeId="0" xr:uid="{00000000-0006-0000-0400-0000C0000000}">
      <text>
        <r>
          <rPr>
            <sz val="11"/>
            <rFont val="Calibri"/>
          </rPr>
          <t>OL 8 audit logs must be group-owned by root to prevent unauthorized read access.</t>
        </r>
      </text>
    </comment>
    <comment ref="AV70" authorId="0" shapeId="0" xr:uid="{00000000-0006-0000-0400-0000C1000000}">
      <text>
        <r>
          <rPr>
            <sz val="11"/>
            <rFont val="Calibri"/>
          </rPr>
          <t>The OL 8 audit log directory must be owned by root to prevent unauthorized read access.</t>
        </r>
      </text>
    </comment>
    <comment ref="AW70" authorId="0" shapeId="0" xr:uid="{00000000-0006-0000-0400-0000C2000000}">
      <text>
        <r>
          <rPr>
            <sz val="11"/>
            <rFont val="Calibri"/>
          </rPr>
          <t>The OL 8 audit log directory must be group-owned by root to prevent unauthorized read access.</t>
        </r>
      </text>
    </comment>
    <comment ref="J71" authorId="0" shapeId="0" xr:uid="{00000000-0006-0000-0400-0000C3000000}">
      <text>
        <r>
          <rPr>
            <sz val="11"/>
            <rFont val="Calibri"/>
          </rPr>
          <t>The OL 8 System Administrator (SA) and Information System Security Officer (ISSO) (at a minimum) must be alerted of an audit processing failure event.</t>
        </r>
      </text>
    </comment>
    <comment ref="K71" authorId="0" shapeId="0" xr:uid="{00000000-0006-0000-0400-0000C4000000}">
      <text>
        <r>
          <rPr>
            <sz val="11"/>
            <rFont val="Calibri"/>
          </rPr>
          <t>The OL 8 Information System Security Officer (ISSO) and System Administrator (SA) (at a minimum) must have mail aliases to be notified of an audit processing failure.</t>
        </r>
      </text>
    </comment>
    <comment ref="L71" authorId="0" shapeId="0" xr:uid="{00000000-0006-0000-0400-0000C5000000}">
      <text>
        <r>
          <rPr>
            <sz val="11"/>
            <rFont val="Calibri"/>
          </rPr>
          <t>The OL 8 System must take appropriate action when an audit processing failure occurs.</t>
        </r>
      </text>
    </comment>
    <comment ref="M71" authorId="0" shapeId="0" xr:uid="{00000000-0006-0000-0400-0000C6000000}">
      <text>
        <r>
          <rPr>
            <sz val="11"/>
            <rFont val="Calibri"/>
          </rPr>
          <t>The OL 8 audit system must take appropriate action when the audit storage volume is full.</t>
        </r>
      </text>
    </comment>
    <comment ref="N71" authorId="0" shapeId="0" xr:uid="{00000000-0006-0000-0400-0000C7000000}">
      <text>
        <r>
          <rPr>
            <sz val="11"/>
            <rFont val="Calibri"/>
          </rPr>
          <t>OL 8 must allocate audit record storage capacity to store at least one week of audit records when audit records are not immediately sent to a central audit record storage facility.</t>
        </r>
      </text>
    </comment>
    <comment ref="O71" authorId="0" shapeId="0" xr:uid="{00000000-0006-0000-0400-0000C8000000}">
      <text>
        <r>
          <rPr>
            <sz val="11"/>
            <rFont val="Calibri"/>
          </rPr>
          <t>OL 8 must take action when allocated audit record storage volume reaches 75 percent of the repository maximum audit record storage capacity.</t>
        </r>
      </text>
    </comment>
    <comment ref="P71" authorId="0" shapeId="0" xr:uid="{00000000-0006-0000-0400-0000C9000000}">
      <text>
        <r>
          <rPr>
            <sz val="11"/>
            <rFont val="Calibri"/>
          </rPr>
          <t>OL 8 must notify the System Administrator (SA) and Information System Security Officer (ISSO) (at a minimum) when allocated audit record storage volume 75 percent utilization.</t>
        </r>
      </text>
    </comment>
    <comment ref="J72" authorId="0" shapeId="0" xr:uid="{00000000-0006-0000-0400-0000CA000000}">
      <text>
        <r>
          <rPr>
            <sz val="11"/>
            <rFont val="Calibri"/>
          </rPr>
          <t xml:space="preserve">OL 8 must generate audit records for any use of the </t>
        </r>
        <r>
          <rPr>
            <sz val="11"/>
            <color rgb="FF000000"/>
            <rFont val="Calibri"/>
          </rPr>
          <t>"</t>
        </r>
        <r>
          <rPr>
            <b/>
            <sz val="11"/>
            <color rgb="FF000000"/>
            <rFont val="Calibri"/>
          </rPr>
          <t>pam_timestamp_check</t>
        </r>
        <r>
          <rPr>
            <sz val="11"/>
            <color rgb="FF000000"/>
            <rFont val="Calibri"/>
          </rPr>
          <t>"</t>
        </r>
        <r>
          <rPr>
            <sz val="11"/>
            <color rgb="FF000000"/>
            <rFont val="Calibri"/>
          </rPr>
          <t xml:space="preserve"> command.</t>
        </r>
      </text>
    </comment>
    <comment ref="K72" authorId="0" shapeId="0" xr:uid="{00000000-0006-0000-0400-0000CB000000}">
      <text>
        <r>
          <rPr>
            <sz val="11"/>
            <rFont val="Calibri"/>
          </rPr>
          <t>OL 8 must compare internal information system clocks at least every 24 hours with a server synchronized to an authoritative time source, such as the United States Naval Observatory (USNO) time servers, or a time server designated for the appropriate DOD network (NIPRNet/SIPRNet), and/or the Global Positioning System (GPS).</t>
        </r>
      </text>
    </comment>
    <comment ref="L72" authorId="0" shapeId="0" xr:uid="{00000000-0006-0000-0400-0000CC000000}">
      <text>
        <r>
          <rPr>
            <sz val="11"/>
            <rFont val="Calibri"/>
          </rPr>
          <t>OL 8 must disable the chrony daemon from acting as a server.</t>
        </r>
      </text>
    </comment>
    <comment ref="J73" authorId="0" shapeId="0" xr:uid="{00000000-0006-0000-0400-0000CD000000}">
      <text>
        <r>
          <rPr>
            <sz val="11"/>
            <rFont val="Calibri"/>
          </rPr>
          <t>The OL 8 audit system must be configured to audit the execution of privileged functions and prevent all software from executing at higher privilege levels than users executing the software.</t>
        </r>
      </text>
    </comment>
    <comment ref="K73" authorId="0" shapeId="0" xr:uid="{00000000-0006-0000-0400-0000CE000000}">
      <text>
        <r>
          <rPr>
            <sz val="11"/>
            <rFont val="Calibri"/>
          </rPr>
          <t xml:space="preserve">OL 8 must generate audit records for all account creation events that affect </t>
        </r>
        <r>
          <rPr>
            <sz val="11"/>
            <color rgb="FF000000"/>
            <rFont val="Calibri"/>
          </rPr>
          <t>"</t>
        </r>
        <r>
          <rPr>
            <b/>
            <sz val="11"/>
            <color rgb="FF000000"/>
            <rFont val="Calibri"/>
          </rPr>
          <t>/etc/shadow</t>
        </r>
        <r>
          <rPr>
            <sz val="11"/>
            <color rgb="FF000000"/>
            <rFont val="Calibri"/>
          </rPr>
          <t>"</t>
        </r>
        <r>
          <rPr>
            <sz val="11"/>
            <color rgb="FF000000"/>
            <rFont val="Calibri"/>
          </rPr>
          <t>.</t>
        </r>
      </text>
    </comment>
    <comment ref="L73" authorId="0" shapeId="0" xr:uid="{00000000-0006-0000-0400-0000CF000000}">
      <text>
        <r>
          <rPr>
            <sz val="11"/>
            <rFont val="Calibri"/>
          </rPr>
          <t xml:space="preserve">OL 8 must generate audit records for all account creation events that affect </t>
        </r>
        <r>
          <rPr>
            <sz val="11"/>
            <color rgb="FF000000"/>
            <rFont val="Calibri"/>
          </rPr>
          <t>"</t>
        </r>
        <r>
          <rPr>
            <b/>
            <sz val="11"/>
            <color rgb="FF000000"/>
            <rFont val="Calibri"/>
          </rPr>
          <t>/etc/security/opasswd</t>
        </r>
        <r>
          <rPr>
            <sz val="11"/>
            <color rgb="FF000000"/>
            <rFont val="Calibri"/>
          </rPr>
          <t>"</t>
        </r>
        <r>
          <rPr>
            <sz val="11"/>
            <color rgb="FF000000"/>
            <rFont val="Calibri"/>
          </rPr>
          <t>.</t>
        </r>
      </text>
    </comment>
    <comment ref="M73" authorId="0" shapeId="0" xr:uid="{00000000-0006-0000-0400-0000D0000000}">
      <text>
        <r>
          <rPr>
            <sz val="11"/>
            <rFont val="Calibri"/>
          </rPr>
          <t xml:space="preserve">OL 8 must generate audit records for all account creation events that affect </t>
        </r>
        <r>
          <rPr>
            <sz val="11"/>
            <color rgb="FF000000"/>
            <rFont val="Calibri"/>
          </rPr>
          <t>"</t>
        </r>
        <r>
          <rPr>
            <b/>
            <sz val="11"/>
            <color rgb="FF000000"/>
            <rFont val="Calibri"/>
          </rPr>
          <t>/etc/passwd</t>
        </r>
        <r>
          <rPr>
            <sz val="11"/>
            <color rgb="FF000000"/>
            <rFont val="Calibri"/>
          </rPr>
          <t>"</t>
        </r>
        <r>
          <rPr>
            <sz val="11"/>
            <color rgb="FF000000"/>
            <rFont val="Calibri"/>
          </rPr>
          <t>.</t>
        </r>
      </text>
    </comment>
    <comment ref="N73" authorId="0" shapeId="0" xr:uid="{00000000-0006-0000-0400-0000D1000000}">
      <text>
        <r>
          <rPr>
            <sz val="11"/>
            <rFont val="Calibri"/>
          </rPr>
          <t xml:space="preserve">OL 8 must generate audit records for all account creation events that affect </t>
        </r>
        <r>
          <rPr>
            <sz val="11"/>
            <color rgb="FF000000"/>
            <rFont val="Calibri"/>
          </rPr>
          <t>"</t>
        </r>
        <r>
          <rPr>
            <b/>
            <sz val="11"/>
            <color rgb="FF000000"/>
            <rFont val="Calibri"/>
          </rPr>
          <t>/etc/gshadow</t>
        </r>
        <r>
          <rPr>
            <sz val="11"/>
            <color rgb="FF000000"/>
            <rFont val="Calibri"/>
          </rPr>
          <t>"</t>
        </r>
        <r>
          <rPr>
            <sz val="11"/>
            <color rgb="FF000000"/>
            <rFont val="Calibri"/>
          </rPr>
          <t>.</t>
        </r>
      </text>
    </comment>
    <comment ref="O73" authorId="0" shapeId="0" xr:uid="{00000000-0006-0000-0400-0000D2000000}">
      <text>
        <r>
          <rPr>
            <sz val="11"/>
            <rFont val="Calibri"/>
          </rPr>
          <t xml:space="preserve">OL 8 must generate audit records for all account creation events that affect </t>
        </r>
        <r>
          <rPr>
            <sz val="11"/>
            <color rgb="FF000000"/>
            <rFont val="Calibri"/>
          </rPr>
          <t>"</t>
        </r>
        <r>
          <rPr>
            <b/>
            <sz val="11"/>
            <color rgb="FF000000"/>
            <rFont val="Calibri"/>
          </rPr>
          <t>/etc/group</t>
        </r>
        <r>
          <rPr>
            <sz val="11"/>
            <color rgb="FF000000"/>
            <rFont val="Calibri"/>
          </rPr>
          <t>"</t>
        </r>
        <r>
          <rPr>
            <sz val="11"/>
            <color rgb="FF000000"/>
            <rFont val="Calibri"/>
          </rPr>
          <t>.</t>
        </r>
      </text>
    </comment>
    <comment ref="P73" authorId="0" shapeId="0" xr:uid="{00000000-0006-0000-0400-0000D3000000}">
      <text>
        <r>
          <rPr>
            <sz val="11"/>
            <rFont val="Calibri"/>
          </rPr>
          <t xml:space="preserve">OL 8 must generate audit records for all account creations, modifications, disabling, and termination events that affect </t>
        </r>
        <r>
          <rPr>
            <sz val="11"/>
            <color rgb="FF000000"/>
            <rFont val="Calibri"/>
          </rPr>
          <t>"</t>
        </r>
        <r>
          <rPr>
            <b/>
            <sz val="11"/>
            <color rgb="FF000000"/>
            <rFont val="Calibri"/>
          </rPr>
          <t>/etc/sudoers</t>
        </r>
        <r>
          <rPr>
            <sz val="11"/>
            <color rgb="FF000000"/>
            <rFont val="Calibri"/>
          </rPr>
          <t>"</t>
        </r>
        <r>
          <rPr>
            <sz val="11"/>
            <color rgb="FF000000"/>
            <rFont val="Calibri"/>
          </rPr>
          <t>.</t>
        </r>
      </text>
    </comment>
    <comment ref="Q73" authorId="0" shapeId="0" xr:uid="{00000000-0006-0000-0400-0000D4000000}">
      <text>
        <r>
          <rPr>
            <sz val="11"/>
            <rFont val="Calibri"/>
          </rPr>
          <t xml:space="preserve">OL 8 must generate audit records for all account creations, modifications, disabling, and termination events that affect </t>
        </r>
        <r>
          <rPr>
            <sz val="11"/>
            <color rgb="FF000000"/>
            <rFont val="Calibri"/>
          </rPr>
          <t>"</t>
        </r>
        <r>
          <rPr>
            <b/>
            <sz val="11"/>
            <color rgb="FF000000"/>
            <rFont val="Calibri"/>
          </rPr>
          <t>/etc/sudoers.d/</t>
        </r>
        <r>
          <rPr>
            <sz val="11"/>
            <color rgb="FF000000"/>
            <rFont val="Calibri"/>
          </rPr>
          <t>"</t>
        </r>
        <r>
          <rPr>
            <sz val="11"/>
            <color rgb="FF000000"/>
            <rFont val="Calibri"/>
          </rPr>
          <t>.</t>
        </r>
      </text>
    </comment>
    <comment ref="R73" authorId="0" shapeId="0" xr:uid="{00000000-0006-0000-0400-0000D5000000}">
      <text>
        <r>
          <rPr>
            <sz val="11"/>
            <rFont val="Calibri"/>
          </rPr>
          <t xml:space="preserve">The OL 8 audit system must be configured to audit any use of the </t>
        </r>
        <r>
          <rPr>
            <sz val="11"/>
            <color rgb="FF000000"/>
            <rFont val="Calibri"/>
          </rPr>
          <t>"</t>
        </r>
        <r>
          <rPr>
            <b/>
            <sz val="11"/>
            <color rgb="FF000000"/>
            <rFont val="Calibri"/>
          </rPr>
          <t>setxattr</t>
        </r>
        <r>
          <rPr>
            <sz val="11"/>
            <color rgb="FF000000"/>
            <rFont val="Calibri"/>
          </rPr>
          <t>"</t>
        </r>
        <r>
          <rPr>
            <sz val="11"/>
            <color rgb="FF000000"/>
            <rFont val="Calibri"/>
          </rPr>
          <t xml:space="preserve">, </t>
        </r>
        <r>
          <rPr>
            <sz val="11"/>
            <color rgb="FF000000"/>
            <rFont val="Calibri"/>
          </rPr>
          <t>"</t>
        </r>
        <r>
          <rPr>
            <b/>
            <sz val="11"/>
            <color rgb="FF000000"/>
            <rFont val="Calibri"/>
          </rPr>
          <t>fsetxattr</t>
        </r>
        <r>
          <rPr>
            <sz val="11"/>
            <color rgb="FF000000"/>
            <rFont val="Calibri"/>
          </rPr>
          <t>"</t>
        </r>
        <r>
          <rPr>
            <sz val="11"/>
            <color rgb="FF000000"/>
            <rFont val="Calibri"/>
          </rPr>
          <t xml:space="preserve">, </t>
        </r>
        <r>
          <rPr>
            <sz val="11"/>
            <color rgb="FF000000"/>
            <rFont val="Calibri"/>
          </rPr>
          <t>"</t>
        </r>
        <r>
          <rPr>
            <b/>
            <sz val="11"/>
            <color rgb="FF000000"/>
            <rFont val="Calibri"/>
          </rPr>
          <t>lsetxattr</t>
        </r>
        <r>
          <rPr>
            <sz val="11"/>
            <color rgb="FF000000"/>
            <rFont val="Calibri"/>
          </rPr>
          <t>"</t>
        </r>
        <r>
          <rPr>
            <sz val="11"/>
            <color rgb="FF000000"/>
            <rFont val="Calibri"/>
          </rPr>
          <t xml:space="preserve">, </t>
        </r>
        <r>
          <rPr>
            <sz val="11"/>
            <color rgb="FF000000"/>
            <rFont val="Calibri"/>
          </rPr>
          <t>"</t>
        </r>
        <r>
          <rPr>
            <b/>
            <sz val="11"/>
            <color rgb="FF000000"/>
            <rFont val="Calibri"/>
          </rPr>
          <t>removexattr</t>
        </r>
        <r>
          <rPr>
            <sz val="11"/>
            <color rgb="FF000000"/>
            <rFont val="Calibri"/>
          </rPr>
          <t>"</t>
        </r>
        <r>
          <rPr>
            <sz val="11"/>
            <color rgb="FF000000"/>
            <rFont val="Calibri"/>
          </rPr>
          <t xml:space="preserve">, </t>
        </r>
        <r>
          <rPr>
            <sz val="11"/>
            <color rgb="FF000000"/>
            <rFont val="Calibri"/>
          </rPr>
          <t>"</t>
        </r>
        <r>
          <rPr>
            <b/>
            <sz val="11"/>
            <color rgb="FF000000"/>
            <rFont val="Calibri"/>
          </rPr>
          <t>fremovexattr</t>
        </r>
        <r>
          <rPr>
            <sz val="11"/>
            <color rgb="FF000000"/>
            <rFont val="Calibri"/>
          </rPr>
          <t>"</t>
        </r>
        <r>
          <rPr>
            <sz val="11"/>
            <color rgb="FF000000"/>
            <rFont val="Calibri"/>
          </rPr>
          <t xml:space="preserve">, and </t>
        </r>
        <r>
          <rPr>
            <sz val="11"/>
            <color rgb="FF000000"/>
            <rFont val="Calibri"/>
          </rPr>
          <t>"</t>
        </r>
        <r>
          <rPr>
            <b/>
            <sz val="11"/>
            <color rgb="FF000000"/>
            <rFont val="Calibri"/>
          </rPr>
          <t>lremovexattr</t>
        </r>
        <r>
          <rPr>
            <sz val="11"/>
            <color rgb="FF000000"/>
            <rFont val="Calibri"/>
          </rPr>
          <t>"</t>
        </r>
        <r>
          <rPr>
            <sz val="11"/>
            <color rgb="FF000000"/>
            <rFont val="Calibri"/>
          </rPr>
          <t xml:space="preserve"> system calls.</t>
        </r>
      </text>
    </comment>
    <comment ref="S73" authorId="0" shapeId="0" xr:uid="{00000000-0006-0000-0400-0000D6000000}">
      <text>
        <r>
          <rPr>
            <sz val="11"/>
            <rFont val="Calibri"/>
          </rPr>
          <t xml:space="preserve">OL 8 must generate audit records for any use of the </t>
        </r>
        <r>
          <rPr>
            <sz val="11"/>
            <color rgb="FF000000"/>
            <rFont val="Calibri"/>
          </rPr>
          <t>"</t>
        </r>
        <r>
          <rPr>
            <b/>
            <sz val="11"/>
            <color rgb="FF000000"/>
            <rFont val="Calibri"/>
          </rPr>
          <t>chage</t>
        </r>
        <r>
          <rPr>
            <sz val="11"/>
            <color rgb="FF000000"/>
            <rFont val="Calibri"/>
          </rPr>
          <t>"</t>
        </r>
        <r>
          <rPr>
            <sz val="11"/>
            <color rgb="FF000000"/>
            <rFont val="Calibri"/>
          </rPr>
          <t xml:space="preserve"> command.</t>
        </r>
      </text>
    </comment>
    <comment ref="T73" authorId="0" shapeId="0" xr:uid="{00000000-0006-0000-0400-0000D7000000}">
      <text>
        <r>
          <rPr>
            <sz val="11"/>
            <rFont val="Calibri"/>
          </rPr>
          <t xml:space="preserve">OL 8 must generate audit records for any uses of the </t>
        </r>
        <r>
          <rPr>
            <sz val="11"/>
            <color rgb="FF000000"/>
            <rFont val="Calibri"/>
          </rPr>
          <t>"</t>
        </r>
        <r>
          <rPr>
            <b/>
            <sz val="11"/>
            <color rgb="FF000000"/>
            <rFont val="Calibri"/>
          </rPr>
          <t>chcon</t>
        </r>
        <r>
          <rPr>
            <sz val="11"/>
            <color rgb="FF000000"/>
            <rFont val="Calibri"/>
          </rPr>
          <t>"</t>
        </r>
        <r>
          <rPr>
            <sz val="11"/>
            <color rgb="FF000000"/>
            <rFont val="Calibri"/>
          </rPr>
          <t xml:space="preserve"> command.</t>
        </r>
      </text>
    </comment>
    <comment ref="U73" authorId="0" shapeId="0" xr:uid="{00000000-0006-0000-0400-0000D8000000}">
      <text>
        <r>
          <rPr>
            <sz val="11"/>
            <rFont val="Calibri"/>
          </rPr>
          <t xml:space="preserve">OL 8 must generate audit records for any use of the </t>
        </r>
        <r>
          <rPr>
            <sz val="11"/>
            <color rgb="FF000000"/>
            <rFont val="Calibri"/>
          </rPr>
          <t>"</t>
        </r>
        <r>
          <rPr>
            <b/>
            <sz val="11"/>
            <color rgb="FF000000"/>
            <rFont val="Calibri"/>
          </rPr>
          <t>ssh-agent</t>
        </r>
        <r>
          <rPr>
            <sz val="11"/>
            <color rgb="FF000000"/>
            <rFont val="Calibri"/>
          </rPr>
          <t>"</t>
        </r>
        <r>
          <rPr>
            <sz val="11"/>
            <color rgb="FF000000"/>
            <rFont val="Calibri"/>
          </rPr>
          <t xml:space="preserve"> command.</t>
        </r>
      </text>
    </comment>
    <comment ref="V73" authorId="0" shapeId="0" xr:uid="{00000000-0006-0000-0400-0000D9000000}">
      <text>
        <r>
          <rPr>
            <sz val="11"/>
            <rFont val="Calibri"/>
          </rPr>
          <t xml:space="preserve">OL 8 must generate audit records for any use of the </t>
        </r>
        <r>
          <rPr>
            <sz val="11"/>
            <color rgb="FF000000"/>
            <rFont val="Calibri"/>
          </rPr>
          <t>"</t>
        </r>
        <r>
          <rPr>
            <b/>
            <sz val="11"/>
            <color rgb="FF000000"/>
            <rFont val="Calibri"/>
          </rPr>
          <t>mount</t>
        </r>
        <r>
          <rPr>
            <sz val="11"/>
            <color rgb="FF000000"/>
            <rFont val="Calibri"/>
          </rPr>
          <t>"</t>
        </r>
        <r>
          <rPr>
            <sz val="11"/>
            <color rgb="FF000000"/>
            <rFont val="Calibri"/>
          </rPr>
          <t xml:space="preserve"> command.</t>
        </r>
      </text>
    </comment>
    <comment ref="W73" authorId="0" shapeId="0" xr:uid="{00000000-0006-0000-0400-0000DA000000}">
      <text>
        <r>
          <rPr>
            <sz val="11"/>
            <rFont val="Calibri"/>
          </rPr>
          <t xml:space="preserve">OL 8 must generate audit records for any use of the </t>
        </r>
        <r>
          <rPr>
            <sz val="11"/>
            <color rgb="FF000000"/>
            <rFont val="Calibri"/>
          </rPr>
          <t>"</t>
        </r>
        <r>
          <rPr>
            <b/>
            <sz val="11"/>
            <color rgb="FF000000"/>
            <rFont val="Calibri"/>
          </rPr>
          <t>umount</t>
        </r>
        <r>
          <rPr>
            <sz val="11"/>
            <color rgb="FF000000"/>
            <rFont val="Calibri"/>
          </rPr>
          <t>"</t>
        </r>
        <r>
          <rPr>
            <sz val="11"/>
            <color rgb="FF000000"/>
            <rFont val="Calibri"/>
          </rPr>
          <t xml:space="preserve"> command.</t>
        </r>
      </text>
    </comment>
    <comment ref="X73" authorId="0" shapeId="0" xr:uid="{00000000-0006-0000-0400-0000DB000000}">
      <text>
        <r>
          <rPr>
            <sz val="11"/>
            <rFont val="Calibri"/>
          </rPr>
          <t xml:space="preserve">OL 8 must generate audit records for any use of the </t>
        </r>
        <r>
          <rPr>
            <sz val="11"/>
            <color rgb="FF000000"/>
            <rFont val="Calibri"/>
          </rPr>
          <t>"</t>
        </r>
        <r>
          <rPr>
            <b/>
            <sz val="11"/>
            <color rgb="FF000000"/>
            <rFont val="Calibri"/>
          </rPr>
          <t>unix_update</t>
        </r>
        <r>
          <rPr>
            <sz val="11"/>
            <color rgb="FF000000"/>
            <rFont val="Calibri"/>
          </rPr>
          <t>"</t>
        </r>
        <r>
          <rPr>
            <sz val="11"/>
            <color rgb="FF000000"/>
            <rFont val="Calibri"/>
          </rPr>
          <t xml:space="preserve"> command.</t>
        </r>
      </text>
    </comment>
    <comment ref="Y73" authorId="0" shapeId="0" xr:uid="{00000000-0006-0000-0400-0000DC000000}">
      <text>
        <r>
          <rPr>
            <sz val="11"/>
            <rFont val="Calibri"/>
          </rPr>
          <t xml:space="preserve">OL 8 must generate audit records for any use of the </t>
        </r>
        <r>
          <rPr>
            <sz val="11"/>
            <color rgb="FF000000"/>
            <rFont val="Calibri"/>
          </rPr>
          <t>"</t>
        </r>
        <r>
          <rPr>
            <b/>
            <sz val="11"/>
            <color rgb="FF000000"/>
            <rFont val="Calibri"/>
          </rPr>
          <t>postdrop</t>
        </r>
        <r>
          <rPr>
            <sz val="11"/>
            <color rgb="FF000000"/>
            <rFont val="Calibri"/>
          </rPr>
          <t>"</t>
        </r>
        <r>
          <rPr>
            <sz val="11"/>
            <color rgb="FF000000"/>
            <rFont val="Calibri"/>
          </rPr>
          <t xml:space="preserve"> command.</t>
        </r>
      </text>
    </comment>
    <comment ref="Z73" authorId="0" shapeId="0" xr:uid="{00000000-0006-0000-0400-0000DD000000}">
      <text>
        <r>
          <rPr>
            <sz val="11"/>
            <rFont val="Calibri"/>
          </rPr>
          <t xml:space="preserve">OL 8 must generate audit records for any use of the </t>
        </r>
        <r>
          <rPr>
            <sz val="11"/>
            <color rgb="FF000000"/>
            <rFont val="Calibri"/>
          </rPr>
          <t>"</t>
        </r>
        <r>
          <rPr>
            <b/>
            <sz val="11"/>
            <color rgb="FF000000"/>
            <rFont val="Calibri"/>
          </rPr>
          <t>postqueue</t>
        </r>
        <r>
          <rPr>
            <sz val="11"/>
            <color rgb="FF000000"/>
            <rFont val="Calibri"/>
          </rPr>
          <t>"</t>
        </r>
        <r>
          <rPr>
            <sz val="11"/>
            <color rgb="FF000000"/>
            <rFont val="Calibri"/>
          </rPr>
          <t xml:space="preserve"> command.</t>
        </r>
      </text>
    </comment>
    <comment ref="AA73" authorId="0" shapeId="0" xr:uid="{00000000-0006-0000-0400-0000DE000000}">
      <text>
        <r>
          <rPr>
            <sz val="11"/>
            <rFont val="Calibri"/>
          </rPr>
          <t xml:space="preserve">OL 8 must generate audit records for any use of the </t>
        </r>
        <r>
          <rPr>
            <sz val="11"/>
            <color rgb="FF000000"/>
            <rFont val="Calibri"/>
          </rPr>
          <t>"</t>
        </r>
        <r>
          <rPr>
            <b/>
            <sz val="11"/>
            <color rgb="FF000000"/>
            <rFont val="Calibri"/>
          </rPr>
          <t>semanage</t>
        </r>
        <r>
          <rPr>
            <sz val="11"/>
            <color rgb="FF000000"/>
            <rFont val="Calibri"/>
          </rPr>
          <t>"</t>
        </r>
        <r>
          <rPr>
            <sz val="11"/>
            <color rgb="FF000000"/>
            <rFont val="Calibri"/>
          </rPr>
          <t xml:space="preserve"> command.</t>
        </r>
      </text>
    </comment>
    <comment ref="AB73" authorId="0" shapeId="0" xr:uid="{00000000-0006-0000-0400-0000DF000000}">
      <text>
        <r>
          <rPr>
            <sz val="11"/>
            <rFont val="Calibri"/>
          </rPr>
          <t xml:space="preserve">OL 8 must generate audit records for any use of the </t>
        </r>
        <r>
          <rPr>
            <sz val="11"/>
            <color rgb="FF000000"/>
            <rFont val="Calibri"/>
          </rPr>
          <t>"</t>
        </r>
        <r>
          <rPr>
            <b/>
            <sz val="11"/>
            <color rgb="FF000000"/>
            <rFont val="Calibri"/>
          </rPr>
          <t>setfiles</t>
        </r>
        <r>
          <rPr>
            <sz val="11"/>
            <color rgb="FF000000"/>
            <rFont val="Calibri"/>
          </rPr>
          <t>"</t>
        </r>
        <r>
          <rPr>
            <sz val="11"/>
            <color rgb="FF000000"/>
            <rFont val="Calibri"/>
          </rPr>
          <t xml:space="preserve"> command.</t>
        </r>
      </text>
    </comment>
    <comment ref="AC73" authorId="0" shapeId="0" xr:uid="{00000000-0006-0000-0400-0000E0000000}">
      <text>
        <r>
          <rPr>
            <sz val="11"/>
            <rFont val="Calibri"/>
          </rPr>
          <t xml:space="preserve">OL 8 must generate audit records for any use of the </t>
        </r>
        <r>
          <rPr>
            <sz val="11"/>
            <color rgb="FF000000"/>
            <rFont val="Calibri"/>
          </rPr>
          <t>"</t>
        </r>
        <r>
          <rPr>
            <b/>
            <sz val="11"/>
            <color rgb="FF000000"/>
            <rFont val="Calibri"/>
          </rPr>
          <t>userhelper</t>
        </r>
        <r>
          <rPr>
            <sz val="11"/>
            <color rgb="FF000000"/>
            <rFont val="Calibri"/>
          </rPr>
          <t>"</t>
        </r>
        <r>
          <rPr>
            <sz val="11"/>
            <color rgb="FF000000"/>
            <rFont val="Calibri"/>
          </rPr>
          <t xml:space="preserve"> command.</t>
        </r>
      </text>
    </comment>
    <comment ref="AD73" authorId="0" shapeId="0" xr:uid="{00000000-0006-0000-0400-0000E1000000}">
      <text>
        <r>
          <rPr>
            <sz val="11"/>
            <rFont val="Calibri"/>
          </rPr>
          <t xml:space="preserve">OL 8 must generate audit records for any use of the </t>
        </r>
        <r>
          <rPr>
            <sz val="11"/>
            <color rgb="FF000000"/>
            <rFont val="Calibri"/>
          </rPr>
          <t>"</t>
        </r>
        <r>
          <rPr>
            <b/>
            <sz val="11"/>
            <color rgb="FF000000"/>
            <rFont val="Calibri"/>
          </rPr>
          <t>setsebool</t>
        </r>
        <r>
          <rPr>
            <sz val="11"/>
            <color rgb="FF000000"/>
            <rFont val="Calibri"/>
          </rPr>
          <t>"</t>
        </r>
        <r>
          <rPr>
            <sz val="11"/>
            <color rgb="FF000000"/>
            <rFont val="Calibri"/>
          </rPr>
          <t xml:space="preserve"> command.</t>
        </r>
      </text>
    </comment>
    <comment ref="AE73" authorId="0" shapeId="0" xr:uid="{00000000-0006-0000-0400-0000E2000000}">
      <text>
        <r>
          <rPr>
            <sz val="11"/>
            <rFont val="Calibri"/>
          </rPr>
          <t xml:space="preserve">OL 8 must generate audit records for any use of the </t>
        </r>
        <r>
          <rPr>
            <sz val="11"/>
            <color rgb="FF000000"/>
            <rFont val="Calibri"/>
          </rPr>
          <t>"</t>
        </r>
        <r>
          <rPr>
            <b/>
            <sz val="11"/>
            <color rgb="FF000000"/>
            <rFont val="Calibri"/>
          </rPr>
          <t>unix_chkpwd</t>
        </r>
        <r>
          <rPr>
            <sz val="11"/>
            <color rgb="FF000000"/>
            <rFont val="Calibri"/>
          </rPr>
          <t>"</t>
        </r>
        <r>
          <rPr>
            <sz val="11"/>
            <color rgb="FF000000"/>
            <rFont val="Calibri"/>
          </rPr>
          <t xml:space="preserve"> command.</t>
        </r>
      </text>
    </comment>
    <comment ref="AF73" authorId="0" shapeId="0" xr:uid="{00000000-0006-0000-0400-0000E3000000}">
      <text>
        <r>
          <rPr>
            <sz val="11"/>
            <rFont val="Calibri"/>
          </rPr>
          <t xml:space="preserve">OL 8 must generate audit records for any use of the </t>
        </r>
        <r>
          <rPr>
            <sz val="11"/>
            <color rgb="FF000000"/>
            <rFont val="Calibri"/>
          </rPr>
          <t>"</t>
        </r>
        <r>
          <rPr>
            <b/>
            <sz val="11"/>
            <color rgb="FF000000"/>
            <rFont val="Calibri"/>
          </rPr>
          <t>ssh-keysign</t>
        </r>
        <r>
          <rPr>
            <sz val="11"/>
            <color rgb="FF000000"/>
            <rFont val="Calibri"/>
          </rPr>
          <t>"</t>
        </r>
        <r>
          <rPr>
            <sz val="11"/>
            <color rgb="FF000000"/>
            <rFont val="Calibri"/>
          </rPr>
          <t xml:space="preserve"> command.</t>
        </r>
      </text>
    </comment>
    <comment ref="AG73" authorId="0" shapeId="0" xr:uid="{00000000-0006-0000-0400-0000E4000000}">
      <text>
        <r>
          <rPr>
            <sz val="11"/>
            <rFont val="Calibri"/>
          </rPr>
          <t xml:space="preserve">OL 8 must generate audit records for any use of the </t>
        </r>
        <r>
          <rPr>
            <sz val="11"/>
            <color rgb="FF000000"/>
            <rFont val="Calibri"/>
          </rPr>
          <t>"</t>
        </r>
        <r>
          <rPr>
            <b/>
            <sz val="11"/>
            <color rgb="FF000000"/>
            <rFont val="Calibri"/>
          </rPr>
          <t>setfacl</t>
        </r>
        <r>
          <rPr>
            <sz val="11"/>
            <color rgb="FF000000"/>
            <rFont val="Calibri"/>
          </rPr>
          <t>"</t>
        </r>
        <r>
          <rPr>
            <sz val="11"/>
            <color rgb="FF000000"/>
            <rFont val="Calibri"/>
          </rPr>
          <t xml:space="preserve"> command.</t>
        </r>
      </text>
    </comment>
    <comment ref="AH73" authorId="0" shapeId="0" xr:uid="{00000000-0006-0000-0400-0000E5000000}">
      <text>
        <r>
          <rPr>
            <sz val="11"/>
            <rFont val="Calibri"/>
          </rPr>
          <t xml:space="preserve">OL 8 must generate audit records for any use of the </t>
        </r>
        <r>
          <rPr>
            <sz val="11"/>
            <color rgb="FF000000"/>
            <rFont val="Calibri"/>
          </rPr>
          <t>"</t>
        </r>
        <r>
          <rPr>
            <b/>
            <sz val="11"/>
            <color rgb="FF000000"/>
            <rFont val="Calibri"/>
          </rPr>
          <t>newgrp</t>
        </r>
        <r>
          <rPr>
            <sz val="11"/>
            <color rgb="FF000000"/>
            <rFont val="Calibri"/>
          </rPr>
          <t>"</t>
        </r>
        <r>
          <rPr>
            <sz val="11"/>
            <color rgb="FF000000"/>
            <rFont val="Calibri"/>
          </rPr>
          <t xml:space="preserve"> command.</t>
        </r>
      </text>
    </comment>
    <comment ref="AI73" authorId="0" shapeId="0" xr:uid="{00000000-0006-0000-0400-0000E6000000}">
      <text>
        <r>
          <rPr>
            <sz val="11"/>
            <rFont val="Calibri"/>
          </rPr>
          <t xml:space="preserve">OL 8 must generate audit records for any use of the </t>
        </r>
        <r>
          <rPr>
            <sz val="11"/>
            <color rgb="FF000000"/>
            <rFont val="Calibri"/>
          </rPr>
          <t>"</t>
        </r>
        <r>
          <rPr>
            <b/>
            <sz val="11"/>
            <color rgb="FF000000"/>
            <rFont val="Calibri"/>
          </rPr>
          <t>init_module</t>
        </r>
        <r>
          <rPr>
            <sz val="11"/>
            <color rgb="FF000000"/>
            <rFont val="Calibri"/>
          </rPr>
          <t>"</t>
        </r>
        <r>
          <rPr>
            <sz val="11"/>
            <color rgb="FF000000"/>
            <rFont val="Calibri"/>
          </rPr>
          <t xml:space="preserve"> and </t>
        </r>
        <r>
          <rPr>
            <sz val="11"/>
            <color rgb="FF000000"/>
            <rFont val="Calibri"/>
          </rPr>
          <t>"</t>
        </r>
        <r>
          <rPr>
            <b/>
            <sz val="11"/>
            <color rgb="FF000000"/>
            <rFont val="Calibri"/>
          </rPr>
          <t>finit_module</t>
        </r>
        <r>
          <rPr>
            <sz val="11"/>
            <color rgb="FF000000"/>
            <rFont val="Calibri"/>
          </rPr>
          <t>"</t>
        </r>
        <r>
          <rPr>
            <sz val="11"/>
            <color rgb="FF000000"/>
            <rFont val="Calibri"/>
          </rPr>
          <t xml:space="preserve"> system calls.</t>
        </r>
      </text>
    </comment>
    <comment ref="AJ73" authorId="0" shapeId="0" xr:uid="{00000000-0006-0000-0400-0000E7000000}">
      <text>
        <r>
          <rPr>
            <sz val="11"/>
            <rFont val="Calibri"/>
          </rPr>
          <t xml:space="preserve">OL 8 must generate audit records for any use of the </t>
        </r>
        <r>
          <rPr>
            <sz val="11"/>
            <color rgb="FF000000"/>
            <rFont val="Calibri"/>
          </rPr>
          <t>"</t>
        </r>
        <r>
          <rPr>
            <b/>
            <sz val="11"/>
            <color rgb="FF000000"/>
            <rFont val="Calibri"/>
          </rPr>
          <t>rename</t>
        </r>
        <r>
          <rPr>
            <sz val="11"/>
            <color rgb="FF000000"/>
            <rFont val="Calibri"/>
          </rPr>
          <t>"</t>
        </r>
        <r>
          <rPr>
            <sz val="11"/>
            <color rgb="FF000000"/>
            <rFont val="Calibri"/>
          </rPr>
          <t xml:space="preserve">, </t>
        </r>
        <r>
          <rPr>
            <sz val="11"/>
            <color rgb="FF000000"/>
            <rFont val="Calibri"/>
          </rPr>
          <t>"</t>
        </r>
        <r>
          <rPr>
            <b/>
            <sz val="11"/>
            <color rgb="FF000000"/>
            <rFont val="Calibri"/>
          </rPr>
          <t>unlink</t>
        </r>
        <r>
          <rPr>
            <sz val="11"/>
            <color rgb="FF000000"/>
            <rFont val="Calibri"/>
          </rPr>
          <t>"</t>
        </r>
        <r>
          <rPr>
            <sz val="11"/>
            <color rgb="FF000000"/>
            <rFont val="Calibri"/>
          </rPr>
          <t xml:space="preserve">, </t>
        </r>
        <r>
          <rPr>
            <sz val="11"/>
            <color rgb="FF000000"/>
            <rFont val="Calibri"/>
          </rPr>
          <t>"</t>
        </r>
        <r>
          <rPr>
            <b/>
            <sz val="11"/>
            <color rgb="FF000000"/>
            <rFont val="Calibri"/>
          </rPr>
          <t>rmdir</t>
        </r>
        <r>
          <rPr>
            <sz val="11"/>
            <color rgb="FF000000"/>
            <rFont val="Calibri"/>
          </rPr>
          <t>"</t>
        </r>
        <r>
          <rPr>
            <sz val="11"/>
            <color rgb="FF000000"/>
            <rFont val="Calibri"/>
          </rPr>
          <t xml:space="preserve">, </t>
        </r>
        <r>
          <rPr>
            <sz val="11"/>
            <color rgb="FF000000"/>
            <rFont val="Calibri"/>
          </rPr>
          <t>"</t>
        </r>
        <r>
          <rPr>
            <b/>
            <sz val="11"/>
            <color rgb="FF000000"/>
            <rFont val="Calibri"/>
          </rPr>
          <t>renameat</t>
        </r>
        <r>
          <rPr>
            <sz val="11"/>
            <color rgb="FF000000"/>
            <rFont val="Calibri"/>
          </rPr>
          <t>"</t>
        </r>
        <r>
          <rPr>
            <sz val="11"/>
            <color rgb="FF000000"/>
            <rFont val="Calibri"/>
          </rPr>
          <t xml:space="preserve">, and </t>
        </r>
        <r>
          <rPr>
            <sz val="11"/>
            <color rgb="FF000000"/>
            <rFont val="Calibri"/>
          </rPr>
          <t>"</t>
        </r>
        <r>
          <rPr>
            <b/>
            <sz val="11"/>
            <color rgb="FF000000"/>
            <rFont val="Calibri"/>
          </rPr>
          <t>unlinkat</t>
        </r>
        <r>
          <rPr>
            <sz val="11"/>
            <color rgb="FF000000"/>
            <rFont val="Calibri"/>
          </rPr>
          <t>"</t>
        </r>
        <r>
          <rPr>
            <sz val="11"/>
            <color rgb="FF000000"/>
            <rFont val="Calibri"/>
          </rPr>
          <t xml:space="preserve"> system calls.</t>
        </r>
      </text>
    </comment>
    <comment ref="AK73" authorId="0" shapeId="0" xr:uid="{00000000-0006-0000-0400-0000E8000000}">
      <text>
        <r>
          <rPr>
            <sz val="11"/>
            <rFont val="Calibri"/>
          </rPr>
          <t xml:space="preserve">OL 8 must generate audit records for any use of the </t>
        </r>
        <r>
          <rPr>
            <sz val="11"/>
            <color rgb="FF000000"/>
            <rFont val="Calibri"/>
          </rPr>
          <t>"</t>
        </r>
        <r>
          <rPr>
            <b/>
            <sz val="11"/>
            <color rgb="FF000000"/>
            <rFont val="Calibri"/>
          </rPr>
          <t>gpasswd</t>
        </r>
        <r>
          <rPr>
            <sz val="11"/>
            <color rgb="FF000000"/>
            <rFont val="Calibri"/>
          </rPr>
          <t>"</t>
        </r>
        <r>
          <rPr>
            <sz val="11"/>
            <color rgb="FF000000"/>
            <rFont val="Calibri"/>
          </rPr>
          <t xml:space="preserve"> command.</t>
        </r>
      </text>
    </comment>
    <comment ref="AL73" authorId="0" shapeId="0" xr:uid="{00000000-0006-0000-0400-0000E9000000}">
      <text>
        <r>
          <rPr>
            <sz val="11"/>
            <rFont val="Calibri"/>
          </rPr>
          <t>OL 8 must generate audit records for any use of the delete_module syscall.</t>
        </r>
      </text>
    </comment>
    <comment ref="AM73" authorId="0" shapeId="0" xr:uid="{00000000-0006-0000-0400-0000EA000000}">
      <text>
        <r>
          <rPr>
            <sz val="11"/>
            <rFont val="Calibri"/>
          </rPr>
          <t xml:space="preserve">OL 8 must generate audit records for any use of the </t>
        </r>
        <r>
          <rPr>
            <sz val="11"/>
            <color rgb="FF000000"/>
            <rFont val="Calibri"/>
          </rPr>
          <t>"</t>
        </r>
        <r>
          <rPr>
            <b/>
            <sz val="11"/>
            <color rgb="FF000000"/>
            <rFont val="Calibri"/>
          </rPr>
          <t>crontab</t>
        </r>
        <r>
          <rPr>
            <sz val="11"/>
            <color rgb="FF000000"/>
            <rFont val="Calibri"/>
          </rPr>
          <t>"</t>
        </r>
        <r>
          <rPr>
            <sz val="11"/>
            <color rgb="FF000000"/>
            <rFont val="Calibri"/>
          </rPr>
          <t xml:space="preserve"> command.</t>
        </r>
      </text>
    </comment>
    <comment ref="AN73" authorId="0" shapeId="0" xr:uid="{00000000-0006-0000-0400-0000EB000000}">
      <text>
        <r>
          <rPr>
            <sz val="11"/>
            <rFont val="Calibri"/>
          </rPr>
          <t xml:space="preserve">OL 8 must generate audit records for any use of the </t>
        </r>
        <r>
          <rPr>
            <sz val="11"/>
            <color rgb="FF000000"/>
            <rFont val="Calibri"/>
          </rPr>
          <t>"</t>
        </r>
        <r>
          <rPr>
            <b/>
            <sz val="11"/>
            <color rgb="FF000000"/>
            <rFont val="Calibri"/>
          </rPr>
          <t>chsh</t>
        </r>
        <r>
          <rPr>
            <sz val="11"/>
            <color rgb="FF000000"/>
            <rFont val="Calibri"/>
          </rPr>
          <t>"</t>
        </r>
        <r>
          <rPr>
            <sz val="11"/>
            <color rgb="FF000000"/>
            <rFont val="Calibri"/>
          </rPr>
          <t xml:space="preserve"> command.</t>
        </r>
      </text>
    </comment>
    <comment ref="AO73" authorId="0" shapeId="0" xr:uid="{00000000-0006-0000-0400-0000EC000000}">
      <text>
        <r>
          <rPr>
            <sz val="11"/>
            <rFont val="Calibri"/>
          </rPr>
          <t xml:space="preserve">OL 8 must generate audit records for any use of the </t>
        </r>
        <r>
          <rPr>
            <sz val="11"/>
            <color rgb="FF000000"/>
            <rFont val="Calibri"/>
          </rPr>
          <t>"</t>
        </r>
        <r>
          <rPr>
            <b/>
            <sz val="11"/>
            <color rgb="FF000000"/>
            <rFont val="Calibri"/>
          </rPr>
          <t>truncate</t>
        </r>
        <r>
          <rPr>
            <sz val="11"/>
            <color rgb="FF000000"/>
            <rFont val="Calibri"/>
          </rPr>
          <t>"</t>
        </r>
        <r>
          <rPr>
            <sz val="11"/>
            <color rgb="FF000000"/>
            <rFont val="Calibri"/>
          </rPr>
          <t xml:space="preserve">, </t>
        </r>
        <r>
          <rPr>
            <sz val="11"/>
            <color rgb="FF000000"/>
            <rFont val="Calibri"/>
          </rPr>
          <t>"</t>
        </r>
        <r>
          <rPr>
            <b/>
            <sz val="11"/>
            <color rgb="FF000000"/>
            <rFont val="Calibri"/>
          </rPr>
          <t>ftruncate</t>
        </r>
        <r>
          <rPr>
            <sz val="11"/>
            <color rgb="FF000000"/>
            <rFont val="Calibri"/>
          </rPr>
          <t>"</t>
        </r>
        <r>
          <rPr>
            <sz val="11"/>
            <color rgb="FF000000"/>
            <rFont val="Calibri"/>
          </rPr>
          <t xml:space="preserve">, </t>
        </r>
        <r>
          <rPr>
            <sz val="11"/>
            <color rgb="FF000000"/>
            <rFont val="Calibri"/>
          </rPr>
          <t>"</t>
        </r>
        <r>
          <rPr>
            <b/>
            <sz val="11"/>
            <color rgb="FF000000"/>
            <rFont val="Calibri"/>
          </rPr>
          <t>creat</t>
        </r>
        <r>
          <rPr>
            <sz val="11"/>
            <color rgb="FF000000"/>
            <rFont val="Calibri"/>
          </rPr>
          <t>"</t>
        </r>
        <r>
          <rPr>
            <sz val="11"/>
            <color rgb="FF000000"/>
            <rFont val="Calibri"/>
          </rPr>
          <t xml:space="preserve">, </t>
        </r>
        <r>
          <rPr>
            <sz val="11"/>
            <color rgb="FF000000"/>
            <rFont val="Calibri"/>
          </rPr>
          <t>"</t>
        </r>
        <r>
          <rPr>
            <b/>
            <sz val="11"/>
            <color rgb="FF000000"/>
            <rFont val="Calibri"/>
          </rPr>
          <t>open</t>
        </r>
        <r>
          <rPr>
            <sz val="11"/>
            <color rgb="FF000000"/>
            <rFont val="Calibri"/>
          </rPr>
          <t>"</t>
        </r>
        <r>
          <rPr>
            <sz val="11"/>
            <color rgb="FF000000"/>
            <rFont val="Calibri"/>
          </rPr>
          <t xml:space="preserve">, </t>
        </r>
        <r>
          <rPr>
            <sz val="11"/>
            <color rgb="FF000000"/>
            <rFont val="Calibri"/>
          </rPr>
          <t>"</t>
        </r>
        <r>
          <rPr>
            <b/>
            <sz val="11"/>
            <color rgb="FF000000"/>
            <rFont val="Calibri"/>
          </rPr>
          <t>openat</t>
        </r>
        <r>
          <rPr>
            <sz val="11"/>
            <color rgb="FF000000"/>
            <rFont val="Calibri"/>
          </rPr>
          <t>"</t>
        </r>
        <r>
          <rPr>
            <sz val="11"/>
            <color rgb="FF000000"/>
            <rFont val="Calibri"/>
          </rPr>
          <t xml:space="preserve">, and </t>
        </r>
        <r>
          <rPr>
            <sz val="11"/>
            <color rgb="FF000000"/>
            <rFont val="Calibri"/>
          </rPr>
          <t>"</t>
        </r>
        <r>
          <rPr>
            <b/>
            <sz val="11"/>
            <color rgb="FF000000"/>
            <rFont val="Calibri"/>
          </rPr>
          <t>open_by_handle_at</t>
        </r>
        <r>
          <rPr>
            <sz val="11"/>
            <color rgb="FF000000"/>
            <rFont val="Calibri"/>
          </rPr>
          <t>"</t>
        </r>
        <r>
          <rPr>
            <sz val="11"/>
            <color rgb="FF000000"/>
            <rFont val="Calibri"/>
          </rPr>
          <t xml:space="preserve"> system calls.</t>
        </r>
      </text>
    </comment>
    <comment ref="AP73" authorId="0" shapeId="0" xr:uid="{00000000-0006-0000-0400-0000ED000000}">
      <text>
        <r>
          <rPr>
            <sz val="11"/>
            <rFont val="Calibri"/>
          </rPr>
          <t xml:space="preserve">OL 8 must generate audit records for any use of the </t>
        </r>
        <r>
          <rPr>
            <sz val="11"/>
            <color rgb="FF000000"/>
            <rFont val="Calibri"/>
          </rPr>
          <t>"</t>
        </r>
        <r>
          <rPr>
            <b/>
            <sz val="11"/>
            <color rgb="FF000000"/>
            <rFont val="Calibri"/>
          </rPr>
          <t>chown</t>
        </r>
        <r>
          <rPr>
            <sz val="11"/>
            <color rgb="FF000000"/>
            <rFont val="Calibri"/>
          </rPr>
          <t>"</t>
        </r>
        <r>
          <rPr>
            <sz val="11"/>
            <color rgb="FF000000"/>
            <rFont val="Calibri"/>
          </rPr>
          <t xml:space="preserve">, </t>
        </r>
        <r>
          <rPr>
            <sz val="11"/>
            <color rgb="FF000000"/>
            <rFont val="Calibri"/>
          </rPr>
          <t>"</t>
        </r>
        <r>
          <rPr>
            <b/>
            <sz val="11"/>
            <color rgb="FF000000"/>
            <rFont val="Calibri"/>
          </rPr>
          <t>fchown</t>
        </r>
        <r>
          <rPr>
            <sz val="11"/>
            <color rgb="FF000000"/>
            <rFont val="Calibri"/>
          </rPr>
          <t>"</t>
        </r>
        <r>
          <rPr>
            <sz val="11"/>
            <color rgb="FF000000"/>
            <rFont val="Calibri"/>
          </rPr>
          <t xml:space="preserve">, </t>
        </r>
        <r>
          <rPr>
            <sz val="11"/>
            <color rgb="FF000000"/>
            <rFont val="Calibri"/>
          </rPr>
          <t>"</t>
        </r>
        <r>
          <rPr>
            <b/>
            <sz val="11"/>
            <color rgb="FF000000"/>
            <rFont val="Calibri"/>
          </rPr>
          <t>fchownat</t>
        </r>
        <r>
          <rPr>
            <sz val="11"/>
            <color rgb="FF000000"/>
            <rFont val="Calibri"/>
          </rPr>
          <t>"</t>
        </r>
        <r>
          <rPr>
            <sz val="11"/>
            <color rgb="FF000000"/>
            <rFont val="Calibri"/>
          </rPr>
          <t xml:space="preserve">, and </t>
        </r>
        <r>
          <rPr>
            <sz val="11"/>
            <color rgb="FF000000"/>
            <rFont val="Calibri"/>
          </rPr>
          <t>"</t>
        </r>
        <r>
          <rPr>
            <b/>
            <sz val="11"/>
            <color rgb="FF000000"/>
            <rFont val="Calibri"/>
          </rPr>
          <t>lchown</t>
        </r>
        <r>
          <rPr>
            <sz val="11"/>
            <color rgb="FF000000"/>
            <rFont val="Calibri"/>
          </rPr>
          <t>"</t>
        </r>
        <r>
          <rPr>
            <sz val="11"/>
            <color rgb="FF000000"/>
            <rFont val="Calibri"/>
          </rPr>
          <t xml:space="preserve"> system calls.</t>
        </r>
      </text>
    </comment>
    <comment ref="AQ73" authorId="0" shapeId="0" xr:uid="{00000000-0006-0000-0400-0000EE000000}">
      <text>
        <r>
          <rPr>
            <sz val="11"/>
            <rFont val="Calibri"/>
          </rPr>
          <t xml:space="preserve">OL 8 must generate audit records for any use of the </t>
        </r>
        <r>
          <rPr>
            <sz val="11"/>
            <color rgb="FF000000"/>
            <rFont val="Calibri"/>
          </rPr>
          <t>"</t>
        </r>
        <r>
          <rPr>
            <b/>
            <sz val="11"/>
            <color rgb="FF000000"/>
            <rFont val="Calibri"/>
          </rPr>
          <t>chmod</t>
        </r>
        <r>
          <rPr>
            <sz val="11"/>
            <color rgb="FF000000"/>
            <rFont val="Calibri"/>
          </rPr>
          <t>"</t>
        </r>
        <r>
          <rPr>
            <sz val="11"/>
            <color rgb="FF000000"/>
            <rFont val="Calibri"/>
          </rPr>
          <t xml:space="preserve">, </t>
        </r>
        <r>
          <rPr>
            <sz val="11"/>
            <color rgb="FF000000"/>
            <rFont val="Calibri"/>
          </rPr>
          <t>"</t>
        </r>
        <r>
          <rPr>
            <b/>
            <sz val="11"/>
            <color rgb="FF000000"/>
            <rFont val="Calibri"/>
          </rPr>
          <t>fchmod</t>
        </r>
        <r>
          <rPr>
            <sz val="11"/>
            <color rgb="FF000000"/>
            <rFont val="Calibri"/>
          </rPr>
          <t>"</t>
        </r>
        <r>
          <rPr>
            <sz val="11"/>
            <color rgb="FF000000"/>
            <rFont val="Calibri"/>
          </rPr>
          <t xml:space="preserve">, and </t>
        </r>
        <r>
          <rPr>
            <sz val="11"/>
            <color rgb="FF000000"/>
            <rFont val="Calibri"/>
          </rPr>
          <t>"</t>
        </r>
        <r>
          <rPr>
            <b/>
            <sz val="11"/>
            <color rgb="FF000000"/>
            <rFont val="Calibri"/>
          </rPr>
          <t>fchmodat</t>
        </r>
        <r>
          <rPr>
            <sz val="11"/>
            <color rgb="FF000000"/>
            <rFont val="Calibri"/>
          </rPr>
          <t>"</t>
        </r>
        <r>
          <rPr>
            <sz val="11"/>
            <color rgb="FF000000"/>
            <rFont val="Calibri"/>
          </rPr>
          <t xml:space="preserve"> system calls.</t>
        </r>
      </text>
    </comment>
    <comment ref="AR73" authorId="0" shapeId="0" xr:uid="{00000000-0006-0000-0400-0000EF000000}">
      <text>
        <r>
          <rPr>
            <sz val="11"/>
            <rFont val="Calibri"/>
          </rPr>
          <t xml:space="preserve">OL 8 must generate audit records for any use of the </t>
        </r>
        <r>
          <rPr>
            <sz val="11"/>
            <color rgb="FF000000"/>
            <rFont val="Calibri"/>
          </rPr>
          <t>"</t>
        </r>
        <r>
          <rPr>
            <b/>
            <sz val="11"/>
            <color rgb="FF000000"/>
            <rFont val="Calibri"/>
          </rPr>
          <t>usermod</t>
        </r>
        <r>
          <rPr>
            <sz val="11"/>
            <color rgb="FF000000"/>
            <rFont val="Calibri"/>
          </rPr>
          <t>"</t>
        </r>
        <r>
          <rPr>
            <sz val="11"/>
            <color rgb="FF000000"/>
            <rFont val="Calibri"/>
          </rPr>
          <t xml:space="preserve"> command.</t>
        </r>
      </text>
    </comment>
    <comment ref="AS73" authorId="0" shapeId="0" xr:uid="{00000000-0006-0000-0400-0000F0000000}">
      <text>
        <r>
          <rPr>
            <sz val="11"/>
            <rFont val="Calibri"/>
          </rPr>
          <t xml:space="preserve">OL 8 must generate audit records for any use of the </t>
        </r>
        <r>
          <rPr>
            <sz val="11"/>
            <color rgb="FF000000"/>
            <rFont val="Calibri"/>
          </rPr>
          <t>"</t>
        </r>
        <r>
          <rPr>
            <b/>
            <sz val="11"/>
            <color rgb="FF000000"/>
            <rFont val="Calibri"/>
          </rPr>
          <t>chacl</t>
        </r>
        <r>
          <rPr>
            <sz val="11"/>
            <color rgb="FF000000"/>
            <rFont val="Calibri"/>
          </rPr>
          <t>"</t>
        </r>
        <r>
          <rPr>
            <sz val="11"/>
            <color rgb="FF000000"/>
            <rFont val="Calibri"/>
          </rPr>
          <t xml:space="preserve"> command.</t>
        </r>
      </text>
    </comment>
    <comment ref="AT73" authorId="0" shapeId="0" xr:uid="{00000000-0006-0000-0400-0000F1000000}">
      <text>
        <r>
          <rPr>
            <sz val="11"/>
            <rFont val="Calibri"/>
          </rPr>
          <t xml:space="preserve">OL 8 must generate audit records for any use of the </t>
        </r>
        <r>
          <rPr>
            <sz val="11"/>
            <color rgb="FF000000"/>
            <rFont val="Calibri"/>
          </rPr>
          <t>"</t>
        </r>
        <r>
          <rPr>
            <b/>
            <sz val="11"/>
            <color rgb="FF000000"/>
            <rFont val="Calibri"/>
          </rPr>
          <t>kmod</t>
        </r>
        <r>
          <rPr>
            <sz val="11"/>
            <color rgb="FF000000"/>
            <rFont val="Calibri"/>
          </rPr>
          <t>"</t>
        </r>
        <r>
          <rPr>
            <sz val="11"/>
            <color rgb="FF000000"/>
            <rFont val="Calibri"/>
          </rPr>
          <t xml:space="preserve"> command.</t>
        </r>
      </text>
    </comment>
    <comment ref="AU73" authorId="0" shapeId="0" xr:uid="{00000000-0006-0000-0400-0000F2000000}">
      <text>
        <r>
          <rPr>
            <sz val="11"/>
            <rFont val="Calibri"/>
          </rPr>
          <t xml:space="preserve">OL 8 must generate audit records for any attempted modifications to the </t>
        </r>
        <r>
          <rPr>
            <sz val="11"/>
            <color rgb="FF000000"/>
            <rFont val="Calibri"/>
          </rPr>
          <t>"</t>
        </r>
        <r>
          <rPr>
            <b/>
            <sz val="11"/>
            <color rgb="FF000000"/>
            <rFont val="Calibri"/>
          </rPr>
          <t>faillock</t>
        </r>
        <r>
          <rPr>
            <sz val="11"/>
            <color rgb="FF000000"/>
            <rFont val="Calibri"/>
          </rPr>
          <t>"</t>
        </r>
        <r>
          <rPr>
            <sz val="11"/>
            <color rgb="FF000000"/>
            <rFont val="Calibri"/>
          </rPr>
          <t xml:space="preserve"> log file.</t>
        </r>
      </text>
    </comment>
    <comment ref="AV73" authorId="0" shapeId="0" xr:uid="{00000000-0006-0000-0400-0000F3000000}">
      <text>
        <r>
          <rPr>
            <sz val="11"/>
            <rFont val="Calibri"/>
          </rPr>
          <t xml:space="preserve">OL 8 must generate audit records for any attempted modifications to the </t>
        </r>
        <r>
          <rPr>
            <sz val="11"/>
            <color rgb="FF000000"/>
            <rFont val="Calibri"/>
          </rPr>
          <t>"</t>
        </r>
        <r>
          <rPr>
            <b/>
            <sz val="11"/>
            <color rgb="FF000000"/>
            <rFont val="Calibri"/>
          </rPr>
          <t>lastlog</t>
        </r>
        <r>
          <rPr>
            <sz val="11"/>
            <color rgb="FF000000"/>
            <rFont val="Calibri"/>
          </rPr>
          <t>"</t>
        </r>
        <r>
          <rPr>
            <sz val="11"/>
            <color rgb="FF000000"/>
            <rFont val="Calibri"/>
          </rPr>
          <t xml:space="preserve"> file.</t>
        </r>
      </text>
    </comment>
    <comment ref="AW73" authorId="0" shapeId="0" xr:uid="{00000000-0006-0000-0400-0000F4000000}">
      <text>
        <r>
          <rPr>
            <sz val="11"/>
            <rFont val="Calibri"/>
          </rPr>
          <t>OL 8 must enable Linux audit logging for the USBGuard daemon.</t>
        </r>
      </text>
    </comment>
    <comment ref="J74" authorId="0" shapeId="0" xr:uid="{00000000-0006-0000-0400-0000F5000000}">
      <text>
        <r>
          <rPr>
            <sz val="11"/>
            <rFont val="Calibri"/>
          </rPr>
          <t>The OL 8 audit system must protect auditing rules from unauthorized change.</t>
        </r>
      </text>
    </comment>
    <comment ref="K74" authorId="0" shapeId="0" xr:uid="{00000000-0006-0000-0400-0000F6000000}">
      <text>
        <r>
          <rPr>
            <sz val="11"/>
            <rFont val="Calibri"/>
          </rPr>
          <t>The OL 8 audit system must protect logon UIDs from unauthorized change.</t>
        </r>
      </text>
    </comment>
    <comment ref="L74" authorId="0" shapeId="0" xr:uid="{00000000-0006-0000-0400-0000F7000000}">
      <text>
        <r>
          <rPr>
            <sz val="11"/>
            <rFont val="Calibri"/>
          </rPr>
          <t xml:space="preserve">OL 8 audit tools must have a mode of </t>
        </r>
        <r>
          <rPr>
            <sz val="11"/>
            <color rgb="FF000000"/>
            <rFont val="Calibri"/>
          </rPr>
          <t>"</t>
        </r>
        <r>
          <rPr>
            <b/>
            <sz val="11"/>
            <color rgb="FF000000"/>
            <rFont val="Calibri"/>
          </rPr>
          <t>0755</t>
        </r>
        <r>
          <rPr>
            <sz val="11"/>
            <color rgb="FF000000"/>
            <rFont val="Calibri"/>
          </rPr>
          <t>"</t>
        </r>
        <r>
          <rPr>
            <sz val="11"/>
            <color rgb="FF000000"/>
            <rFont val="Calibri"/>
          </rPr>
          <t xml:space="preserve"> or less permissive.</t>
        </r>
      </text>
    </comment>
    <comment ref="M74" authorId="0" shapeId="0" xr:uid="{00000000-0006-0000-0400-0000F8000000}">
      <text>
        <r>
          <rPr>
            <sz val="11"/>
            <rFont val="Calibri"/>
          </rPr>
          <t>OL 8 audit tools must be owned by root.</t>
        </r>
      </text>
    </comment>
    <comment ref="N74" authorId="0" shapeId="0" xr:uid="{00000000-0006-0000-0400-0000F9000000}">
      <text>
        <r>
          <rPr>
            <sz val="11"/>
            <rFont val="Calibri"/>
          </rPr>
          <t>OL 8 audit tools must be group-owned by root.</t>
        </r>
      </text>
    </comment>
    <comment ref="O74" authorId="0" shapeId="0" xr:uid="{00000000-0006-0000-0400-0000FA000000}">
      <text>
        <r>
          <rPr>
            <sz val="11"/>
            <rFont val="Calibri"/>
          </rPr>
          <t>OL 8 must use cryptographic mechanisms to protect the integrity of audit tools.</t>
        </r>
      </text>
    </comment>
    <comment ref="J77" authorId="0" shapeId="0" xr:uid="{00000000-0006-0000-0400-0000FB000000}">
      <text>
        <r>
          <rPr>
            <sz val="11"/>
            <rFont val="Calibri"/>
          </rPr>
          <t>OL 8 must label all offloaded audit logs before sending them to the central log server.</t>
        </r>
      </text>
    </comment>
    <comment ref="K77" authorId="0" shapeId="0" xr:uid="{00000000-0006-0000-0400-0000FC000000}">
      <text>
        <r>
          <rPr>
            <sz val="11"/>
            <rFont val="Calibri"/>
          </rPr>
          <t>OL 8 must have the packages required for offloading audit logs installed.</t>
        </r>
      </text>
    </comment>
    <comment ref="L77" authorId="0" shapeId="0" xr:uid="{00000000-0006-0000-0400-0000FD000000}">
      <text>
        <r>
          <rPr>
            <sz val="11"/>
            <rFont val="Calibri"/>
          </rPr>
          <t>OL 8 must have the packages required for encrypting offloaded audit logs installed.</t>
        </r>
      </text>
    </comment>
    <comment ref="M77" authorId="0" shapeId="0" xr:uid="{00000000-0006-0000-0400-0000FE000000}">
      <text>
        <r>
          <rPr>
            <sz val="11"/>
            <rFont val="Calibri"/>
          </rPr>
          <t>OL 8 must encrypt the transfer of audit records offloaded onto a different system or media from the system being audited.</t>
        </r>
      </text>
    </comment>
    <comment ref="N77" authorId="0" shapeId="0" xr:uid="{00000000-0006-0000-0400-0000FF000000}">
      <text>
        <r>
          <rPr>
            <sz val="11"/>
            <rFont val="Calibri"/>
          </rPr>
          <t>OL 8 must authenticate the remote logging server for offloading audit logs.</t>
        </r>
      </text>
    </comment>
    <comment ref="J91" authorId="0" shapeId="0" xr:uid="{00000000-0006-0000-0400-000000010000}">
      <text>
        <r>
          <rPr>
            <sz val="11"/>
            <rFont val="Calibri"/>
          </rPr>
          <t xml:space="preserve">The OL 8 </t>
        </r>
        <r>
          <rPr>
            <sz val="11"/>
            <color rgb="FF000000"/>
            <rFont val="Calibri"/>
          </rPr>
          <t>"</t>
        </r>
        <r>
          <rPr>
            <b/>
            <sz val="11"/>
            <color rgb="FF000000"/>
            <rFont val="Calibri"/>
          </rPr>
          <t>fapolicy</t>
        </r>
        <r>
          <rPr>
            <sz val="11"/>
            <color rgb="FF000000"/>
            <rFont val="Calibri"/>
          </rPr>
          <t>"</t>
        </r>
        <r>
          <rPr>
            <sz val="11"/>
            <color rgb="FF000000"/>
            <rFont val="Calibri"/>
          </rPr>
          <t xml:space="preserve"> module must be installed.</t>
        </r>
      </text>
    </comment>
    <comment ref="K91" authorId="0" shapeId="0" xr:uid="{00000000-0006-0000-0400-000001010000}">
      <text>
        <r>
          <rPr>
            <sz val="11"/>
            <rFont val="Calibri"/>
          </rPr>
          <t xml:space="preserve">The OL 8 </t>
        </r>
        <r>
          <rPr>
            <sz val="11"/>
            <color rgb="FF000000"/>
            <rFont val="Calibri"/>
          </rPr>
          <t>"</t>
        </r>
        <r>
          <rPr>
            <b/>
            <sz val="11"/>
            <color rgb="FF000000"/>
            <rFont val="Calibri"/>
          </rPr>
          <t>fapolicy</t>
        </r>
        <r>
          <rPr>
            <sz val="11"/>
            <color rgb="FF000000"/>
            <rFont val="Calibri"/>
          </rPr>
          <t>"</t>
        </r>
        <r>
          <rPr>
            <sz val="11"/>
            <color rgb="FF000000"/>
            <rFont val="Calibri"/>
          </rPr>
          <t xml:space="preserve"> module must be enabled.</t>
        </r>
      </text>
    </comment>
    <comment ref="L91" authorId="0" shapeId="0" xr:uid="{00000000-0006-0000-0400-000002010000}">
      <text>
        <r>
          <rPr>
            <sz val="11"/>
            <rFont val="Calibri"/>
          </rPr>
          <t>The OL 8 fapolicy module must be configured to employ a deny-all, permit-by-exception policy to allow the execution of authorized software programs.</t>
        </r>
      </text>
    </comment>
    <comment ref="J94" authorId="0" shapeId="0" xr:uid="{00000000-0006-0000-0400-000003010000}">
      <text>
        <r>
          <rPr>
            <sz val="11"/>
            <rFont val="Calibri"/>
          </rPr>
          <t>OL 8 must implement non-executable data to protect its memory from unauthorized code execution.</t>
        </r>
      </text>
    </comment>
    <comment ref="K94" authorId="0" shapeId="0" xr:uid="{00000000-0006-0000-0400-000004010000}">
      <text>
        <r>
          <rPr>
            <sz val="11"/>
            <rFont val="Calibri"/>
          </rPr>
          <t>OL 8 must clear the page allocator to prevent use-after-free attacks.</t>
        </r>
      </text>
    </comment>
    <comment ref="L94" authorId="0" shapeId="0" xr:uid="{00000000-0006-0000-0400-000005010000}">
      <text>
        <r>
          <rPr>
            <sz val="11"/>
            <rFont val="Calibri"/>
          </rPr>
          <t>OL 8 must clear memory when it is freed to prevent use-after-free attacks.</t>
        </r>
      </text>
    </comment>
    <comment ref="M94" authorId="0" shapeId="0" xr:uid="{00000000-0006-0000-0400-000006010000}">
      <text>
        <r>
          <rPr>
            <sz val="11"/>
            <rFont val="Calibri"/>
          </rPr>
          <t>OL 8 must implement address space layout randomization (ASLR) to protect its memory from unauthorized code execution.</t>
        </r>
      </text>
    </comment>
    <comment ref="N94" authorId="0" shapeId="0" xr:uid="{00000000-0006-0000-0400-000007010000}">
      <text>
        <r>
          <rPr>
            <sz val="11"/>
            <rFont val="Calibri"/>
          </rPr>
          <t>OL 8 must enable mitigations against processor-based vulnerabilities.</t>
        </r>
      </text>
    </comment>
    <comment ref="O94" authorId="0" shapeId="0" xr:uid="{00000000-0006-0000-0400-000008010000}">
      <text>
        <r>
          <rPr>
            <sz val="11"/>
            <rFont val="Calibri"/>
          </rPr>
          <t xml:space="preserve">OL 8 must restrict the use of </t>
        </r>
        <r>
          <rPr>
            <sz val="11"/>
            <color rgb="FF000000"/>
            <rFont val="Calibri"/>
          </rPr>
          <t>"</t>
        </r>
        <r>
          <rPr>
            <b/>
            <sz val="11"/>
            <color rgb="FF000000"/>
            <rFont val="Calibri"/>
          </rPr>
          <t>ptrace</t>
        </r>
        <r>
          <rPr>
            <sz val="11"/>
            <color rgb="FF000000"/>
            <rFont val="Calibri"/>
          </rPr>
          <t>"</t>
        </r>
        <r>
          <rPr>
            <sz val="11"/>
            <color rgb="FF000000"/>
            <rFont val="Calibri"/>
          </rPr>
          <t xml:space="preserve"> to descendant processes.</t>
        </r>
      </text>
    </comment>
    <comment ref="J119" authorId="0" shapeId="0" xr:uid="{00000000-0006-0000-0400-000009010000}">
      <text>
        <r>
          <rPr>
            <sz val="11"/>
            <rFont val="Calibri"/>
          </rPr>
          <t>The OL 8 file integrity tool must notify the system administrator (SA) when changes to the baseline configuration or anomalies in the operation of any security functions are discovered within an organizationally defined frequency.</t>
        </r>
      </text>
    </comment>
    <comment ref="K119" authorId="0" shapeId="0" xr:uid="{00000000-0006-0000-0400-00000A010000}">
      <text>
        <r>
          <rPr>
            <sz val="11"/>
            <rFont val="Calibri"/>
          </rPr>
          <t>The OL 8 file integrity tool must be configured to verify extended attributes.</t>
        </r>
      </text>
    </comment>
    <comment ref="L119" authorId="0" shapeId="0" xr:uid="{00000000-0006-0000-0400-00000B010000}">
      <text>
        <r>
          <rPr>
            <sz val="11"/>
            <rFont val="Calibri"/>
          </rPr>
          <t>The OL 8 file integrity tool must be configured to verify Access Control Lists (ACLs).</t>
        </r>
      </text>
    </comment>
    <comment ref="M119" authorId="0" shapeId="0" xr:uid="{00000000-0006-0000-0400-00000C010000}">
      <text>
        <r>
          <rPr>
            <sz val="11"/>
            <rFont val="Calibri"/>
          </rPr>
          <t>The OL 8 operating system must use a file integrity tool to verify correct operation of all security functions.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OL 8 systems below version 8.2 must automatically lock an account when three unsuccessful logon attempts occur.</t>
        </r>
      </text>
    </comment>
    <comment ref="I2" authorId="0" shapeId="0" xr:uid="{00000000-0006-0000-0500-000018000000}">
      <text>
        <r>
          <rPr>
            <sz val="11"/>
            <rFont val="Calibri"/>
          </rPr>
          <t>OL 8 systems, versions 8.2 and above, must automatically lock an account when three unsuccessful logon attempts occur.</t>
        </r>
      </text>
    </comment>
    <comment ref="J2" authorId="0" shapeId="0" xr:uid="{00000000-0006-0000-0500-000002000000}">
      <text>
        <r>
          <rPr>
            <sz val="11"/>
            <rFont val="Calibri"/>
          </rPr>
          <t>OL 8 systems below version 8.2 must automatically lock an account when three unsuccessful logon attempts occur during a 15-minute time period.</t>
        </r>
      </text>
    </comment>
    <comment ref="K2" authorId="0" shapeId="0" xr:uid="{00000000-0006-0000-0500-000003000000}">
      <text>
        <r>
          <rPr>
            <sz val="11"/>
            <rFont val="Calibri"/>
          </rPr>
          <t>OL 8 systems, versions 8.2 and above, must automatically lock an account when three unsuccessful logon attempts occur during a 15-minute time period.</t>
        </r>
      </text>
    </comment>
    <comment ref="L2" authorId="0" shapeId="0" xr:uid="{00000000-0006-0000-0500-000004000000}">
      <text>
        <r>
          <rPr>
            <sz val="11"/>
            <rFont val="Calibri"/>
          </rPr>
          <t>OL 8 systems below version 8.2 must automatically lock an account until the locked account is released by an administrator when three unsuccessful logon attempts occur during a 15-minute time period.</t>
        </r>
      </text>
    </comment>
    <comment ref="M2" authorId="0" shapeId="0" xr:uid="{00000000-0006-0000-0500-000005000000}">
      <text>
        <r>
          <rPr>
            <sz val="11"/>
            <rFont val="Calibri"/>
          </rPr>
          <t>OL 8 systems, versions 8.2 and above, must automatically lock an account until the locked account is released by an administrator when three unsuccessful logon attempts occur during a 15-minute time period.</t>
        </r>
      </text>
    </comment>
    <comment ref="N2" authorId="0" shapeId="0" xr:uid="{00000000-0006-0000-0500-000006000000}">
      <text>
        <r>
          <rPr>
            <sz val="11"/>
            <rFont val="Calibri"/>
          </rPr>
          <t>OL 8 systems below version 8.2 must ensure account lockouts persist.</t>
        </r>
      </text>
    </comment>
    <comment ref="O2" authorId="0" shapeId="0" xr:uid="{00000000-0006-0000-0500-000007000000}">
      <text>
        <r>
          <rPr>
            <sz val="11"/>
            <rFont val="Calibri"/>
          </rPr>
          <t>OL 8 systems, versions 8.2 and above, must ensure account lockouts persist.</t>
        </r>
      </text>
    </comment>
    <comment ref="P2" authorId="0" shapeId="0" xr:uid="{00000000-0006-0000-0500-000008000000}">
      <text>
        <r>
          <rPr>
            <sz val="11"/>
            <rFont val="Calibri"/>
          </rPr>
          <t>OL 8 systems below version 8.2 must include root when automatically locking an account until the locked account is released by an administrator when three unsuccessful logon attempts occur during a 15-minute time period.</t>
        </r>
      </text>
    </comment>
    <comment ref="Q2" authorId="0" shapeId="0" xr:uid="{00000000-0006-0000-0500-000009000000}">
      <text>
        <r>
          <rPr>
            <sz val="11"/>
            <rFont val="Calibri"/>
          </rPr>
          <t>OL 8 systems, versions 8.2 and above, must include root when automatically locking an account until the locked account is released by an administrator when three unsuccessful logon attempts occur during a 15-minute time period.</t>
        </r>
      </text>
    </comment>
    <comment ref="R2" authorId="0" shapeId="0" xr:uid="{00000000-0006-0000-0500-00000A000000}">
      <text>
        <r>
          <rPr>
            <sz val="11"/>
            <rFont val="Calibri"/>
          </rPr>
          <t>OL 8 must configure the use of the pam_faillock.so module in the /etc/pam.d/system-auth file.</t>
        </r>
      </text>
    </comment>
    <comment ref="S2" authorId="0" shapeId="0" xr:uid="{00000000-0006-0000-0500-00000B000000}">
      <text>
        <r>
          <rPr>
            <sz val="11"/>
            <rFont val="Calibri"/>
          </rPr>
          <t>OL 8 must configure the use of the pam_faillock.so module in the /etc/pam.d/password-auth file.</t>
        </r>
      </text>
    </comment>
    <comment ref="T2" authorId="0" shapeId="0" xr:uid="{00000000-0006-0000-0500-00000C000000}">
      <text>
        <r>
          <rPr>
            <sz val="11"/>
            <rFont val="Calibri"/>
          </rPr>
          <t>OL 8 must enable a user session lock until that user reestablishes access using established identification and authentication procedures for graphical user sessions.</t>
        </r>
      </text>
    </comment>
    <comment ref="U2" authorId="0" shapeId="0" xr:uid="{00000000-0006-0000-0500-00000D000000}">
      <text>
        <r>
          <rPr>
            <sz val="11"/>
            <rFont val="Calibri"/>
          </rPr>
          <t>OL 8 must initiate a session lock for graphical user interfaces when the screensaver is activated.</t>
        </r>
      </text>
    </comment>
    <comment ref="V2" authorId="0" shapeId="0" xr:uid="{00000000-0006-0000-0500-00000E000000}">
      <text>
        <r>
          <rPr>
            <sz val="11"/>
            <rFont val="Calibri"/>
          </rPr>
          <t>OL 8 must enable a user session lock until that user reestablishes access using established identification and authentication procedures for command line sessions.</t>
        </r>
      </text>
    </comment>
    <comment ref="W2" authorId="0" shapeId="0" xr:uid="{00000000-0006-0000-0500-00000F000000}">
      <text>
        <r>
          <rPr>
            <sz val="11"/>
            <rFont val="Calibri"/>
          </rPr>
          <t>OL 8 must be able to initiate directly a session lock for all connection types using smartcard when the smartcard is removed.</t>
        </r>
      </text>
    </comment>
    <comment ref="X2" authorId="0" shapeId="0" xr:uid="{00000000-0006-0000-0500-000010000000}">
      <text>
        <r>
          <rPr>
            <sz val="11"/>
            <rFont val="Calibri"/>
          </rPr>
          <t>OL 8 must automatically lock graphical user sessions after 15 minutes of inactivity.</t>
        </r>
      </text>
    </comment>
    <comment ref="Y2" authorId="0" shapeId="0" xr:uid="{00000000-0006-0000-0500-000011000000}">
      <text>
        <r>
          <rPr>
            <sz val="11"/>
            <rFont val="Calibri"/>
          </rPr>
          <t>OL 8 must prevent a user from overriding the session lock-delay setting for the graphical user interface.</t>
        </r>
      </text>
    </comment>
    <comment ref="Z2" authorId="0" shapeId="0" xr:uid="{00000000-0006-0000-0500-000012000000}">
      <text>
        <r>
          <rPr>
            <sz val="11"/>
            <rFont val="Calibri"/>
          </rPr>
          <t>OL 8 must prevent a user from overriding the session idle-delay setting for the graphical user interface.</t>
        </r>
      </text>
    </comment>
    <comment ref="AA2" authorId="0" shapeId="0" xr:uid="{00000000-0006-0000-0500-000013000000}">
      <text>
        <r>
          <rPr>
            <sz val="11"/>
            <rFont val="Calibri"/>
          </rPr>
          <t>OL 8 must prevent a user from overriding the session lock-enabled setting for the graphical user interface.</t>
        </r>
      </text>
    </comment>
    <comment ref="AB2" authorId="0" shapeId="0" xr:uid="{00000000-0006-0000-0500-000014000000}">
      <text>
        <r>
          <rPr>
            <sz val="11"/>
            <rFont val="Calibri"/>
          </rPr>
          <t>OL 8 must enforce a delay of at least four seconds between logon prompts following a failed logon attempt.</t>
        </r>
      </text>
    </comment>
    <comment ref="AC2" authorId="0" shapeId="0" xr:uid="{00000000-0006-0000-0500-000015000000}">
      <text>
        <r>
          <rPr>
            <sz val="11"/>
            <rFont val="Calibri"/>
          </rPr>
          <t>OL 8 must display the date and time of the last successful account logon upon an SSH logon.</t>
        </r>
      </text>
    </comment>
    <comment ref="AD2" authorId="0" shapeId="0" xr:uid="{00000000-0006-0000-0500-000016000000}">
      <text>
        <r>
          <rPr>
            <sz val="11"/>
            <rFont val="Calibri"/>
          </rPr>
          <t>OL 8 must terminate idle user sessions.</t>
        </r>
      </text>
    </comment>
    <comment ref="AE2" authorId="0" shapeId="0" xr:uid="{00000000-0006-0000-0500-000017000000}">
      <text>
        <r>
          <rPr>
            <sz val="11"/>
            <rFont val="Calibri"/>
          </rPr>
          <t>OL 8 must automatically exit interactive command shell user sessions after 10 minutes of inactivity.</t>
        </r>
      </text>
    </comment>
    <comment ref="H7" authorId="0" shapeId="0" xr:uid="{00000000-0006-0000-0500-000019000000}">
      <text>
        <r>
          <rPr>
            <sz val="11"/>
            <rFont val="Calibri"/>
          </rPr>
          <t>The OL 8 file integrity tool must notify the system administrator (SA) when changes to the baseline configuration or anomalies in the operation of any security functions are discovered within an organizationally defined frequency.</t>
        </r>
      </text>
    </comment>
    <comment ref="I7" authorId="0" shapeId="0" xr:uid="{00000000-0006-0000-0500-00002A000000}">
      <text>
        <r>
          <rPr>
            <sz val="11"/>
            <rFont val="Calibri"/>
          </rPr>
          <t>The OL 8 audit system must be configured to audit the execution of privileged functions and prevent all software from executing at higher privilege levels than users executing the software.</t>
        </r>
      </text>
    </comment>
    <comment ref="J7" authorId="0" shapeId="0" xr:uid="{00000000-0006-0000-0500-00002B000000}">
      <text>
        <r>
          <rPr>
            <sz val="11"/>
            <rFont val="Calibri"/>
          </rPr>
          <t>OL 8 must label all offloaded audit logs before sending them to the central log server.</t>
        </r>
      </text>
    </comment>
    <comment ref="K7" authorId="0" shapeId="0" xr:uid="{00000000-0006-0000-0500-00002C000000}">
      <text>
        <r>
          <rPr>
            <sz val="11"/>
            <rFont val="Calibri"/>
          </rPr>
          <t>The OL 8 audit system must protect auditing rules from unauthorized change.</t>
        </r>
      </text>
    </comment>
    <comment ref="L7" authorId="0" shapeId="0" xr:uid="{00000000-0006-0000-0500-00002D000000}">
      <text>
        <r>
          <rPr>
            <sz val="11"/>
            <rFont val="Calibri"/>
          </rPr>
          <t>The OL 8 audit system must protect logon UIDs from unauthorized change.</t>
        </r>
      </text>
    </comment>
    <comment ref="M7" authorId="0" shapeId="0" xr:uid="{00000000-0006-0000-0500-00002E000000}">
      <text>
        <r>
          <rPr>
            <sz val="11"/>
            <rFont val="Calibri"/>
          </rPr>
          <t xml:space="preserve">OL 8 must generate audit records for all account creation events that affect </t>
        </r>
        <r>
          <rPr>
            <sz val="11"/>
            <color rgb="FF000000"/>
            <rFont val="Calibri"/>
          </rPr>
          <t>"</t>
        </r>
        <r>
          <rPr>
            <b/>
            <sz val="11"/>
            <color rgb="FF000000"/>
            <rFont val="Calibri"/>
          </rPr>
          <t>/etc/shadow</t>
        </r>
        <r>
          <rPr>
            <sz val="11"/>
            <color rgb="FF000000"/>
            <rFont val="Calibri"/>
          </rPr>
          <t>"</t>
        </r>
        <r>
          <rPr>
            <sz val="11"/>
            <color rgb="FF000000"/>
            <rFont val="Calibri"/>
          </rPr>
          <t>.</t>
        </r>
      </text>
    </comment>
    <comment ref="N7" authorId="0" shapeId="0" xr:uid="{00000000-0006-0000-0500-00002F000000}">
      <text>
        <r>
          <rPr>
            <sz val="11"/>
            <rFont val="Calibri"/>
          </rPr>
          <t xml:space="preserve">OL 8 must generate audit records for all account creation events that affect </t>
        </r>
        <r>
          <rPr>
            <sz val="11"/>
            <color rgb="FF000000"/>
            <rFont val="Calibri"/>
          </rPr>
          <t>"</t>
        </r>
        <r>
          <rPr>
            <b/>
            <sz val="11"/>
            <color rgb="FF000000"/>
            <rFont val="Calibri"/>
          </rPr>
          <t>/etc/security/opasswd</t>
        </r>
        <r>
          <rPr>
            <sz val="11"/>
            <color rgb="FF000000"/>
            <rFont val="Calibri"/>
          </rPr>
          <t>"</t>
        </r>
        <r>
          <rPr>
            <sz val="11"/>
            <color rgb="FF000000"/>
            <rFont val="Calibri"/>
          </rPr>
          <t>.</t>
        </r>
      </text>
    </comment>
    <comment ref="O7" authorId="0" shapeId="0" xr:uid="{00000000-0006-0000-0500-000030000000}">
      <text>
        <r>
          <rPr>
            <sz val="11"/>
            <rFont val="Calibri"/>
          </rPr>
          <t xml:space="preserve">OL 8 must generate audit records for all account creation events that affect </t>
        </r>
        <r>
          <rPr>
            <sz val="11"/>
            <color rgb="FF000000"/>
            <rFont val="Calibri"/>
          </rPr>
          <t>"</t>
        </r>
        <r>
          <rPr>
            <b/>
            <sz val="11"/>
            <color rgb="FF000000"/>
            <rFont val="Calibri"/>
          </rPr>
          <t>/etc/passwd</t>
        </r>
        <r>
          <rPr>
            <sz val="11"/>
            <color rgb="FF000000"/>
            <rFont val="Calibri"/>
          </rPr>
          <t>"</t>
        </r>
        <r>
          <rPr>
            <sz val="11"/>
            <color rgb="FF000000"/>
            <rFont val="Calibri"/>
          </rPr>
          <t>.</t>
        </r>
      </text>
    </comment>
    <comment ref="P7" authorId="0" shapeId="0" xr:uid="{00000000-0006-0000-0500-000031000000}">
      <text>
        <r>
          <rPr>
            <sz val="11"/>
            <rFont val="Calibri"/>
          </rPr>
          <t xml:space="preserve">OL 8 must generate audit records for all account creation events that affect </t>
        </r>
        <r>
          <rPr>
            <sz val="11"/>
            <color rgb="FF000000"/>
            <rFont val="Calibri"/>
          </rPr>
          <t>"</t>
        </r>
        <r>
          <rPr>
            <b/>
            <sz val="11"/>
            <color rgb="FF000000"/>
            <rFont val="Calibri"/>
          </rPr>
          <t>/etc/gshadow</t>
        </r>
        <r>
          <rPr>
            <sz val="11"/>
            <color rgb="FF000000"/>
            <rFont val="Calibri"/>
          </rPr>
          <t>"</t>
        </r>
        <r>
          <rPr>
            <sz val="11"/>
            <color rgb="FF000000"/>
            <rFont val="Calibri"/>
          </rPr>
          <t>.</t>
        </r>
      </text>
    </comment>
    <comment ref="Q7" authorId="0" shapeId="0" xr:uid="{00000000-0006-0000-0500-000032000000}">
      <text>
        <r>
          <rPr>
            <sz val="11"/>
            <rFont val="Calibri"/>
          </rPr>
          <t xml:space="preserve">OL 8 must generate audit records for all account creation events that affect </t>
        </r>
        <r>
          <rPr>
            <sz val="11"/>
            <color rgb="FF000000"/>
            <rFont val="Calibri"/>
          </rPr>
          <t>"</t>
        </r>
        <r>
          <rPr>
            <b/>
            <sz val="11"/>
            <color rgb="FF000000"/>
            <rFont val="Calibri"/>
          </rPr>
          <t>/etc/group</t>
        </r>
        <r>
          <rPr>
            <sz val="11"/>
            <color rgb="FF000000"/>
            <rFont val="Calibri"/>
          </rPr>
          <t>"</t>
        </r>
        <r>
          <rPr>
            <sz val="11"/>
            <color rgb="FF000000"/>
            <rFont val="Calibri"/>
          </rPr>
          <t>.</t>
        </r>
      </text>
    </comment>
    <comment ref="R7" authorId="0" shapeId="0" xr:uid="{00000000-0006-0000-0500-000033000000}">
      <text>
        <r>
          <rPr>
            <sz val="11"/>
            <rFont val="Calibri"/>
          </rPr>
          <t xml:space="preserve">OL 8 must generate audit records for all account creations, modifications, disabling, and termination events that affect </t>
        </r>
        <r>
          <rPr>
            <sz val="11"/>
            <color rgb="FF000000"/>
            <rFont val="Calibri"/>
          </rPr>
          <t>"</t>
        </r>
        <r>
          <rPr>
            <b/>
            <sz val="11"/>
            <color rgb="FF000000"/>
            <rFont val="Calibri"/>
          </rPr>
          <t>/etc/sudoers</t>
        </r>
        <r>
          <rPr>
            <sz val="11"/>
            <color rgb="FF000000"/>
            <rFont val="Calibri"/>
          </rPr>
          <t>"</t>
        </r>
        <r>
          <rPr>
            <sz val="11"/>
            <color rgb="FF000000"/>
            <rFont val="Calibri"/>
          </rPr>
          <t>.</t>
        </r>
      </text>
    </comment>
    <comment ref="S7" authorId="0" shapeId="0" xr:uid="{00000000-0006-0000-0500-000034000000}">
      <text>
        <r>
          <rPr>
            <sz val="11"/>
            <rFont val="Calibri"/>
          </rPr>
          <t xml:space="preserve">OL 8 must generate audit records for all account creations, modifications, disabling, and termination events that affect </t>
        </r>
        <r>
          <rPr>
            <sz val="11"/>
            <color rgb="FF000000"/>
            <rFont val="Calibri"/>
          </rPr>
          <t>"</t>
        </r>
        <r>
          <rPr>
            <b/>
            <sz val="11"/>
            <color rgb="FF000000"/>
            <rFont val="Calibri"/>
          </rPr>
          <t>/etc/sudoers.d/</t>
        </r>
        <r>
          <rPr>
            <sz val="11"/>
            <color rgb="FF000000"/>
            <rFont val="Calibri"/>
          </rPr>
          <t>"</t>
        </r>
        <r>
          <rPr>
            <sz val="11"/>
            <color rgb="FF000000"/>
            <rFont val="Calibri"/>
          </rPr>
          <t>.</t>
        </r>
      </text>
    </comment>
    <comment ref="T7" authorId="0" shapeId="0" xr:uid="{00000000-0006-0000-0500-000035000000}">
      <text>
        <r>
          <rPr>
            <sz val="11"/>
            <rFont val="Calibri"/>
          </rPr>
          <t xml:space="preserve">The OL 8 audit system must be configured to audit any use of the </t>
        </r>
        <r>
          <rPr>
            <sz val="11"/>
            <color rgb="FF000000"/>
            <rFont val="Calibri"/>
          </rPr>
          <t>"</t>
        </r>
        <r>
          <rPr>
            <b/>
            <sz val="11"/>
            <color rgb="FF000000"/>
            <rFont val="Calibri"/>
          </rPr>
          <t>setxattr</t>
        </r>
        <r>
          <rPr>
            <sz val="11"/>
            <color rgb="FF000000"/>
            <rFont val="Calibri"/>
          </rPr>
          <t>"</t>
        </r>
        <r>
          <rPr>
            <sz val="11"/>
            <color rgb="FF000000"/>
            <rFont val="Calibri"/>
          </rPr>
          <t xml:space="preserve">, </t>
        </r>
        <r>
          <rPr>
            <sz val="11"/>
            <color rgb="FF000000"/>
            <rFont val="Calibri"/>
          </rPr>
          <t>"</t>
        </r>
        <r>
          <rPr>
            <b/>
            <sz val="11"/>
            <color rgb="FF000000"/>
            <rFont val="Calibri"/>
          </rPr>
          <t>fsetxattr</t>
        </r>
        <r>
          <rPr>
            <sz val="11"/>
            <color rgb="FF000000"/>
            <rFont val="Calibri"/>
          </rPr>
          <t>"</t>
        </r>
        <r>
          <rPr>
            <sz val="11"/>
            <color rgb="FF000000"/>
            <rFont val="Calibri"/>
          </rPr>
          <t xml:space="preserve">, </t>
        </r>
        <r>
          <rPr>
            <sz val="11"/>
            <color rgb="FF000000"/>
            <rFont val="Calibri"/>
          </rPr>
          <t>"</t>
        </r>
        <r>
          <rPr>
            <b/>
            <sz val="11"/>
            <color rgb="FF000000"/>
            <rFont val="Calibri"/>
          </rPr>
          <t>lsetxattr</t>
        </r>
        <r>
          <rPr>
            <sz val="11"/>
            <color rgb="FF000000"/>
            <rFont val="Calibri"/>
          </rPr>
          <t>"</t>
        </r>
        <r>
          <rPr>
            <sz val="11"/>
            <color rgb="FF000000"/>
            <rFont val="Calibri"/>
          </rPr>
          <t xml:space="preserve">, </t>
        </r>
        <r>
          <rPr>
            <sz val="11"/>
            <color rgb="FF000000"/>
            <rFont val="Calibri"/>
          </rPr>
          <t>"</t>
        </r>
        <r>
          <rPr>
            <b/>
            <sz val="11"/>
            <color rgb="FF000000"/>
            <rFont val="Calibri"/>
          </rPr>
          <t>removexattr</t>
        </r>
        <r>
          <rPr>
            <sz val="11"/>
            <color rgb="FF000000"/>
            <rFont val="Calibri"/>
          </rPr>
          <t>"</t>
        </r>
        <r>
          <rPr>
            <sz val="11"/>
            <color rgb="FF000000"/>
            <rFont val="Calibri"/>
          </rPr>
          <t xml:space="preserve">, </t>
        </r>
        <r>
          <rPr>
            <sz val="11"/>
            <color rgb="FF000000"/>
            <rFont val="Calibri"/>
          </rPr>
          <t>"</t>
        </r>
        <r>
          <rPr>
            <b/>
            <sz val="11"/>
            <color rgb="FF000000"/>
            <rFont val="Calibri"/>
          </rPr>
          <t>fremovexattr</t>
        </r>
        <r>
          <rPr>
            <sz val="11"/>
            <color rgb="FF000000"/>
            <rFont val="Calibri"/>
          </rPr>
          <t>"</t>
        </r>
        <r>
          <rPr>
            <sz val="11"/>
            <color rgb="FF000000"/>
            <rFont val="Calibri"/>
          </rPr>
          <t xml:space="preserve">, and </t>
        </r>
        <r>
          <rPr>
            <sz val="11"/>
            <color rgb="FF000000"/>
            <rFont val="Calibri"/>
          </rPr>
          <t>"</t>
        </r>
        <r>
          <rPr>
            <b/>
            <sz val="11"/>
            <color rgb="FF000000"/>
            <rFont val="Calibri"/>
          </rPr>
          <t>lremovexattr</t>
        </r>
        <r>
          <rPr>
            <sz val="11"/>
            <color rgb="FF000000"/>
            <rFont val="Calibri"/>
          </rPr>
          <t>"</t>
        </r>
        <r>
          <rPr>
            <sz val="11"/>
            <color rgb="FF000000"/>
            <rFont val="Calibri"/>
          </rPr>
          <t xml:space="preserve"> system calls.</t>
        </r>
      </text>
    </comment>
    <comment ref="U7" authorId="0" shapeId="0" xr:uid="{00000000-0006-0000-0500-000036000000}">
      <text>
        <r>
          <rPr>
            <sz val="11"/>
            <rFont val="Calibri"/>
          </rPr>
          <t xml:space="preserve">OL 8 must generate audit records for any use of the </t>
        </r>
        <r>
          <rPr>
            <sz val="11"/>
            <color rgb="FF000000"/>
            <rFont val="Calibri"/>
          </rPr>
          <t>"</t>
        </r>
        <r>
          <rPr>
            <b/>
            <sz val="11"/>
            <color rgb="FF000000"/>
            <rFont val="Calibri"/>
          </rPr>
          <t>chage</t>
        </r>
        <r>
          <rPr>
            <sz val="11"/>
            <color rgb="FF000000"/>
            <rFont val="Calibri"/>
          </rPr>
          <t>"</t>
        </r>
        <r>
          <rPr>
            <sz val="11"/>
            <color rgb="FF000000"/>
            <rFont val="Calibri"/>
          </rPr>
          <t xml:space="preserve"> command.</t>
        </r>
      </text>
    </comment>
    <comment ref="V7" authorId="0" shapeId="0" xr:uid="{00000000-0006-0000-0500-000037000000}">
      <text>
        <r>
          <rPr>
            <sz val="11"/>
            <rFont val="Calibri"/>
          </rPr>
          <t xml:space="preserve">OL 8 must generate audit records for any uses of the </t>
        </r>
        <r>
          <rPr>
            <sz val="11"/>
            <color rgb="FF000000"/>
            <rFont val="Calibri"/>
          </rPr>
          <t>"</t>
        </r>
        <r>
          <rPr>
            <b/>
            <sz val="11"/>
            <color rgb="FF000000"/>
            <rFont val="Calibri"/>
          </rPr>
          <t>chcon</t>
        </r>
        <r>
          <rPr>
            <sz val="11"/>
            <color rgb="FF000000"/>
            <rFont val="Calibri"/>
          </rPr>
          <t>"</t>
        </r>
        <r>
          <rPr>
            <sz val="11"/>
            <color rgb="FF000000"/>
            <rFont val="Calibri"/>
          </rPr>
          <t xml:space="preserve"> command.</t>
        </r>
      </text>
    </comment>
    <comment ref="W7" authorId="0" shapeId="0" xr:uid="{00000000-0006-0000-0500-000038000000}">
      <text>
        <r>
          <rPr>
            <sz val="11"/>
            <rFont val="Calibri"/>
          </rPr>
          <t xml:space="preserve">OL 8 must generate audit records for any use of the </t>
        </r>
        <r>
          <rPr>
            <sz val="11"/>
            <color rgb="FF000000"/>
            <rFont val="Calibri"/>
          </rPr>
          <t>"</t>
        </r>
        <r>
          <rPr>
            <b/>
            <sz val="11"/>
            <color rgb="FF000000"/>
            <rFont val="Calibri"/>
          </rPr>
          <t>ssh-agent</t>
        </r>
        <r>
          <rPr>
            <sz val="11"/>
            <color rgb="FF000000"/>
            <rFont val="Calibri"/>
          </rPr>
          <t>"</t>
        </r>
        <r>
          <rPr>
            <sz val="11"/>
            <color rgb="FF000000"/>
            <rFont val="Calibri"/>
          </rPr>
          <t xml:space="preserve"> command.</t>
        </r>
      </text>
    </comment>
    <comment ref="X7" authorId="0" shapeId="0" xr:uid="{00000000-0006-0000-0500-000039000000}">
      <text>
        <r>
          <rPr>
            <sz val="11"/>
            <rFont val="Calibri"/>
          </rPr>
          <t xml:space="preserve">OL 8 must generate audit records for any use of the </t>
        </r>
        <r>
          <rPr>
            <sz val="11"/>
            <color rgb="FF000000"/>
            <rFont val="Calibri"/>
          </rPr>
          <t>"</t>
        </r>
        <r>
          <rPr>
            <b/>
            <sz val="11"/>
            <color rgb="FF000000"/>
            <rFont val="Calibri"/>
          </rPr>
          <t>mount</t>
        </r>
        <r>
          <rPr>
            <sz val="11"/>
            <color rgb="FF000000"/>
            <rFont val="Calibri"/>
          </rPr>
          <t>"</t>
        </r>
        <r>
          <rPr>
            <sz val="11"/>
            <color rgb="FF000000"/>
            <rFont val="Calibri"/>
          </rPr>
          <t xml:space="preserve"> command.</t>
        </r>
      </text>
    </comment>
    <comment ref="Y7" authorId="0" shapeId="0" xr:uid="{00000000-0006-0000-0500-00003A000000}">
      <text>
        <r>
          <rPr>
            <sz val="11"/>
            <rFont val="Calibri"/>
          </rPr>
          <t xml:space="preserve">OL 8 must generate audit records for any use of the </t>
        </r>
        <r>
          <rPr>
            <sz val="11"/>
            <color rgb="FF000000"/>
            <rFont val="Calibri"/>
          </rPr>
          <t>"</t>
        </r>
        <r>
          <rPr>
            <b/>
            <sz val="11"/>
            <color rgb="FF000000"/>
            <rFont val="Calibri"/>
          </rPr>
          <t>umount</t>
        </r>
        <r>
          <rPr>
            <sz val="11"/>
            <color rgb="FF000000"/>
            <rFont val="Calibri"/>
          </rPr>
          <t>"</t>
        </r>
        <r>
          <rPr>
            <sz val="11"/>
            <color rgb="FF000000"/>
            <rFont val="Calibri"/>
          </rPr>
          <t xml:space="preserve"> command.</t>
        </r>
      </text>
    </comment>
    <comment ref="Z7" authorId="0" shapeId="0" xr:uid="{00000000-0006-0000-0500-00003B000000}">
      <text>
        <r>
          <rPr>
            <sz val="11"/>
            <rFont val="Calibri"/>
          </rPr>
          <t xml:space="preserve">OL 8 must generate audit records for any use of the </t>
        </r>
        <r>
          <rPr>
            <sz val="11"/>
            <color rgb="FF000000"/>
            <rFont val="Calibri"/>
          </rPr>
          <t>"</t>
        </r>
        <r>
          <rPr>
            <b/>
            <sz val="11"/>
            <color rgb="FF000000"/>
            <rFont val="Calibri"/>
          </rPr>
          <t>unix_update</t>
        </r>
        <r>
          <rPr>
            <sz val="11"/>
            <color rgb="FF000000"/>
            <rFont val="Calibri"/>
          </rPr>
          <t>"</t>
        </r>
        <r>
          <rPr>
            <sz val="11"/>
            <color rgb="FF000000"/>
            <rFont val="Calibri"/>
          </rPr>
          <t xml:space="preserve"> command.</t>
        </r>
      </text>
    </comment>
    <comment ref="AA7" authorId="0" shapeId="0" xr:uid="{00000000-0006-0000-0500-00003C000000}">
      <text>
        <r>
          <rPr>
            <sz val="11"/>
            <rFont val="Calibri"/>
          </rPr>
          <t xml:space="preserve">OL 8 must generate audit records for any use of the </t>
        </r>
        <r>
          <rPr>
            <sz val="11"/>
            <color rgb="FF000000"/>
            <rFont val="Calibri"/>
          </rPr>
          <t>"</t>
        </r>
        <r>
          <rPr>
            <b/>
            <sz val="11"/>
            <color rgb="FF000000"/>
            <rFont val="Calibri"/>
          </rPr>
          <t>postdrop</t>
        </r>
        <r>
          <rPr>
            <sz val="11"/>
            <color rgb="FF000000"/>
            <rFont val="Calibri"/>
          </rPr>
          <t>"</t>
        </r>
        <r>
          <rPr>
            <sz val="11"/>
            <color rgb="FF000000"/>
            <rFont val="Calibri"/>
          </rPr>
          <t xml:space="preserve"> command.</t>
        </r>
      </text>
    </comment>
    <comment ref="AB7" authorId="0" shapeId="0" xr:uid="{00000000-0006-0000-0500-00003D000000}">
      <text>
        <r>
          <rPr>
            <sz val="11"/>
            <rFont val="Calibri"/>
          </rPr>
          <t xml:space="preserve">OL 8 must generate audit records for any use of the </t>
        </r>
        <r>
          <rPr>
            <sz val="11"/>
            <color rgb="FF000000"/>
            <rFont val="Calibri"/>
          </rPr>
          <t>"</t>
        </r>
        <r>
          <rPr>
            <b/>
            <sz val="11"/>
            <color rgb="FF000000"/>
            <rFont val="Calibri"/>
          </rPr>
          <t>postqueue</t>
        </r>
        <r>
          <rPr>
            <sz val="11"/>
            <color rgb="FF000000"/>
            <rFont val="Calibri"/>
          </rPr>
          <t>"</t>
        </r>
        <r>
          <rPr>
            <sz val="11"/>
            <color rgb="FF000000"/>
            <rFont val="Calibri"/>
          </rPr>
          <t xml:space="preserve"> command.</t>
        </r>
      </text>
    </comment>
    <comment ref="AC7" authorId="0" shapeId="0" xr:uid="{00000000-0006-0000-0500-00003E000000}">
      <text>
        <r>
          <rPr>
            <sz val="11"/>
            <rFont val="Calibri"/>
          </rPr>
          <t xml:space="preserve">OL 8 must generate audit records for any use of the </t>
        </r>
        <r>
          <rPr>
            <sz val="11"/>
            <color rgb="FF000000"/>
            <rFont val="Calibri"/>
          </rPr>
          <t>"</t>
        </r>
        <r>
          <rPr>
            <b/>
            <sz val="11"/>
            <color rgb="FF000000"/>
            <rFont val="Calibri"/>
          </rPr>
          <t>semanage</t>
        </r>
        <r>
          <rPr>
            <sz val="11"/>
            <color rgb="FF000000"/>
            <rFont val="Calibri"/>
          </rPr>
          <t>"</t>
        </r>
        <r>
          <rPr>
            <sz val="11"/>
            <color rgb="FF000000"/>
            <rFont val="Calibri"/>
          </rPr>
          <t xml:space="preserve"> command.</t>
        </r>
      </text>
    </comment>
    <comment ref="AD7" authorId="0" shapeId="0" xr:uid="{00000000-0006-0000-0500-00003F000000}">
      <text>
        <r>
          <rPr>
            <sz val="11"/>
            <rFont val="Calibri"/>
          </rPr>
          <t xml:space="preserve">OL 8 must generate audit records for any use of the </t>
        </r>
        <r>
          <rPr>
            <sz val="11"/>
            <color rgb="FF000000"/>
            <rFont val="Calibri"/>
          </rPr>
          <t>"</t>
        </r>
        <r>
          <rPr>
            <b/>
            <sz val="11"/>
            <color rgb="FF000000"/>
            <rFont val="Calibri"/>
          </rPr>
          <t>setfiles</t>
        </r>
        <r>
          <rPr>
            <sz val="11"/>
            <color rgb="FF000000"/>
            <rFont val="Calibri"/>
          </rPr>
          <t>"</t>
        </r>
        <r>
          <rPr>
            <sz val="11"/>
            <color rgb="FF000000"/>
            <rFont val="Calibri"/>
          </rPr>
          <t xml:space="preserve"> command.</t>
        </r>
      </text>
    </comment>
    <comment ref="AE7" authorId="0" shapeId="0" xr:uid="{00000000-0006-0000-0500-000040000000}">
      <text>
        <r>
          <rPr>
            <sz val="11"/>
            <rFont val="Calibri"/>
          </rPr>
          <t xml:space="preserve">OL 8 must generate audit records for any use of the </t>
        </r>
        <r>
          <rPr>
            <sz val="11"/>
            <color rgb="FF000000"/>
            <rFont val="Calibri"/>
          </rPr>
          <t>"</t>
        </r>
        <r>
          <rPr>
            <b/>
            <sz val="11"/>
            <color rgb="FF000000"/>
            <rFont val="Calibri"/>
          </rPr>
          <t>userhelper</t>
        </r>
        <r>
          <rPr>
            <sz val="11"/>
            <color rgb="FF000000"/>
            <rFont val="Calibri"/>
          </rPr>
          <t>"</t>
        </r>
        <r>
          <rPr>
            <sz val="11"/>
            <color rgb="FF000000"/>
            <rFont val="Calibri"/>
          </rPr>
          <t xml:space="preserve"> command.</t>
        </r>
      </text>
    </comment>
    <comment ref="AF7" authorId="0" shapeId="0" xr:uid="{00000000-0006-0000-0500-00001A000000}">
      <text>
        <r>
          <rPr>
            <sz val="11"/>
            <rFont val="Calibri"/>
          </rPr>
          <t xml:space="preserve">OL 8 must generate audit records for any use of the </t>
        </r>
        <r>
          <rPr>
            <sz val="11"/>
            <color rgb="FF000000"/>
            <rFont val="Calibri"/>
          </rPr>
          <t>"</t>
        </r>
        <r>
          <rPr>
            <b/>
            <sz val="11"/>
            <color rgb="FF000000"/>
            <rFont val="Calibri"/>
          </rPr>
          <t>setsebool</t>
        </r>
        <r>
          <rPr>
            <sz val="11"/>
            <color rgb="FF000000"/>
            <rFont val="Calibri"/>
          </rPr>
          <t>"</t>
        </r>
        <r>
          <rPr>
            <sz val="11"/>
            <color rgb="FF000000"/>
            <rFont val="Calibri"/>
          </rPr>
          <t xml:space="preserve"> command.</t>
        </r>
      </text>
    </comment>
    <comment ref="AG7" authorId="0" shapeId="0" xr:uid="{00000000-0006-0000-0500-00001B000000}">
      <text>
        <r>
          <rPr>
            <sz val="11"/>
            <rFont val="Calibri"/>
          </rPr>
          <t xml:space="preserve">OL 8 must generate audit records for any use of the </t>
        </r>
        <r>
          <rPr>
            <sz val="11"/>
            <color rgb="FF000000"/>
            <rFont val="Calibri"/>
          </rPr>
          <t>"</t>
        </r>
        <r>
          <rPr>
            <b/>
            <sz val="11"/>
            <color rgb="FF000000"/>
            <rFont val="Calibri"/>
          </rPr>
          <t>unix_chkpwd</t>
        </r>
        <r>
          <rPr>
            <sz val="11"/>
            <color rgb="FF000000"/>
            <rFont val="Calibri"/>
          </rPr>
          <t>"</t>
        </r>
        <r>
          <rPr>
            <sz val="11"/>
            <color rgb="FF000000"/>
            <rFont val="Calibri"/>
          </rPr>
          <t xml:space="preserve"> command.</t>
        </r>
      </text>
    </comment>
    <comment ref="AH7" authorId="0" shapeId="0" xr:uid="{00000000-0006-0000-0500-00001C000000}">
      <text>
        <r>
          <rPr>
            <sz val="11"/>
            <rFont val="Calibri"/>
          </rPr>
          <t xml:space="preserve">OL 8 must generate audit records for any use of the </t>
        </r>
        <r>
          <rPr>
            <sz val="11"/>
            <color rgb="FF000000"/>
            <rFont val="Calibri"/>
          </rPr>
          <t>"</t>
        </r>
        <r>
          <rPr>
            <b/>
            <sz val="11"/>
            <color rgb="FF000000"/>
            <rFont val="Calibri"/>
          </rPr>
          <t>ssh-keysign</t>
        </r>
        <r>
          <rPr>
            <sz val="11"/>
            <color rgb="FF000000"/>
            <rFont val="Calibri"/>
          </rPr>
          <t>"</t>
        </r>
        <r>
          <rPr>
            <sz val="11"/>
            <color rgb="FF000000"/>
            <rFont val="Calibri"/>
          </rPr>
          <t xml:space="preserve"> command.</t>
        </r>
      </text>
    </comment>
    <comment ref="AI7" authorId="0" shapeId="0" xr:uid="{00000000-0006-0000-0500-00001D000000}">
      <text>
        <r>
          <rPr>
            <sz val="11"/>
            <rFont val="Calibri"/>
          </rPr>
          <t xml:space="preserve">OL 8 must generate audit records for any use of the </t>
        </r>
        <r>
          <rPr>
            <sz val="11"/>
            <color rgb="FF000000"/>
            <rFont val="Calibri"/>
          </rPr>
          <t>"</t>
        </r>
        <r>
          <rPr>
            <b/>
            <sz val="11"/>
            <color rgb="FF000000"/>
            <rFont val="Calibri"/>
          </rPr>
          <t>setfacl</t>
        </r>
        <r>
          <rPr>
            <sz val="11"/>
            <color rgb="FF000000"/>
            <rFont val="Calibri"/>
          </rPr>
          <t>"</t>
        </r>
        <r>
          <rPr>
            <sz val="11"/>
            <color rgb="FF000000"/>
            <rFont val="Calibri"/>
          </rPr>
          <t xml:space="preserve"> command.</t>
        </r>
      </text>
    </comment>
    <comment ref="AJ7" authorId="0" shapeId="0" xr:uid="{00000000-0006-0000-0500-00001E000000}">
      <text>
        <r>
          <rPr>
            <sz val="11"/>
            <rFont val="Calibri"/>
          </rPr>
          <t xml:space="preserve">OL 8 must generate audit records for any use of the </t>
        </r>
        <r>
          <rPr>
            <sz val="11"/>
            <color rgb="FF000000"/>
            <rFont val="Calibri"/>
          </rPr>
          <t>"</t>
        </r>
        <r>
          <rPr>
            <b/>
            <sz val="11"/>
            <color rgb="FF000000"/>
            <rFont val="Calibri"/>
          </rPr>
          <t>newgrp</t>
        </r>
        <r>
          <rPr>
            <sz val="11"/>
            <color rgb="FF000000"/>
            <rFont val="Calibri"/>
          </rPr>
          <t>"</t>
        </r>
        <r>
          <rPr>
            <sz val="11"/>
            <color rgb="FF000000"/>
            <rFont val="Calibri"/>
          </rPr>
          <t xml:space="preserve"> command.</t>
        </r>
      </text>
    </comment>
    <comment ref="AK7" authorId="0" shapeId="0" xr:uid="{00000000-0006-0000-0500-00001F000000}">
      <text>
        <r>
          <rPr>
            <sz val="11"/>
            <rFont val="Calibri"/>
          </rPr>
          <t xml:space="preserve">OL 8 must generate audit records for any use of the </t>
        </r>
        <r>
          <rPr>
            <sz val="11"/>
            <color rgb="FF000000"/>
            <rFont val="Calibri"/>
          </rPr>
          <t>"</t>
        </r>
        <r>
          <rPr>
            <b/>
            <sz val="11"/>
            <color rgb="FF000000"/>
            <rFont val="Calibri"/>
          </rPr>
          <t>init_module</t>
        </r>
        <r>
          <rPr>
            <sz val="11"/>
            <color rgb="FF000000"/>
            <rFont val="Calibri"/>
          </rPr>
          <t>"</t>
        </r>
        <r>
          <rPr>
            <sz val="11"/>
            <color rgb="FF000000"/>
            <rFont val="Calibri"/>
          </rPr>
          <t xml:space="preserve"> and </t>
        </r>
        <r>
          <rPr>
            <sz val="11"/>
            <color rgb="FF000000"/>
            <rFont val="Calibri"/>
          </rPr>
          <t>"</t>
        </r>
        <r>
          <rPr>
            <b/>
            <sz val="11"/>
            <color rgb="FF000000"/>
            <rFont val="Calibri"/>
          </rPr>
          <t>finit_module</t>
        </r>
        <r>
          <rPr>
            <sz val="11"/>
            <color rgb="FF000000"/>
            <rFont val="Calibri"/>
          </rPr>
          <t>"</t>
        </r>
        <r>
          <rPr>
            <sz val="11"/>
            <color rgb="FF000000"/>
            <rFont val="Calibri"/>
          </rPr>
          <t xml:space="preserve"> system calls.</t>
        </r>
      </text>
    </comment>
    <comment ref="AL7" authorId="0" shapeId="0" xr:uid="{00000000-0006-0000-0500-000020000000}">
      <text>
        <r>
          <rPr>
            <sz val="11"/>
            <rFont val="Calibri"/>
          </rPr>
          <t xml:space="preserve">OL 8 must generate audit records for any use of the </t>
        </r>
        <r>
          <rPr>
            <sz val="11"/>
            <color rgb="FF000000"/>
            <rFont val="Calibri"/>
          </rPr>
          <t>"</t>
        </r>
        <r>
          <rPr>
            <b/>
            <sz val="11"/>
            <color rgb="FF000000"/>
            <rFont val="Calibri"/>
          </rPr>
          <t>rename</t>
        </r>
        <r>
          <rPr>
            <sz val="11"/>
            <color rgb="FF000000"/>
            <rFont val="Calibri"/>
          </rPr>
          <t>"</t>
        </r>
        <r>
          <rPr>
            <sz val="11"/>
            <color rgb="FF000000"/>
            <rFont val="Calibri"/>
          </rPr>
          <t xml:space="preserve">, </t>
        </r>
        <r>
          <rPr>
            <sz val="11"/>
            <color rgb="FF000000"/>
            <rFont val="Calibri"/>
          </rPr>
          <t>"</t>
        </r>
        <r>
          <rPr>
            <b/>
            <sz val="11"/>
            <color rgb="FF000000"/>
            <rFont val="Calibri"/>
          </rPr>
          <t>unlink</t>
        </r>
        <r>
          <rPr>
            <sz val="11"/>
            <color rgb="FF000000"/>
            <rFont val="Calibri"/>
          </rPr>
          <t>"</t>
        </r>
        <r>
          <rPr>
            <sz val="11"/>
            <color rgb="FF000000"/>
            <rFont val="Calibri"/>
          </rPr>
          <t xml:space="preserve">, </t>
        </r>
        <r>
          <rPr>
            <sz val="11"/>
            <color rgb="FF000000"/>
            <rFont val="Calibri"/>
          </rPr>
          <t>"</t>
        </r>
        <r>
          <rPr>
            <b/>
            <sz val="11"/>
            <color rgb="FF000000"/>
            <rFont val="Calibri"/>
          </rPr>
          <t>rmdir</t>
        </r>
        <r>
          <rPr>
            <sz val="11"/>
            <color rgb="FF000000"/>
            <rFont val="Calibri"/>
          </rPr>
          <t>"</t>
        </r>
        <r>
          <rPr>
            <sz val="11"/>
            <color rgb="FF000000"/>
            <rFont val="Calibri"/>
          </rPr>
          <t xml:space="preserve">, </t>
        </r>
        <r>
          <rPr>
            <sz val="11"/>
            <color rgb="FF000000"/>
            <rFont val="Calibri"/>
          </rPr>
          <t>"</t>
        </r>
        <r>
          <rPr>
            <b/>
            <sz val="11"/>
            <color rgb="FF000000"/>
            <rFont val="Calibri"/>
          </rPr>
          <t>renameat</t>
        </r>
        <r>
          <rPr>
            <sz val="11"/>
            <color rgb="FF000000"/>
            <rFont val="Calibri"/>
          </rPr>
          <t>"</t>
        </r>
        <r>
          <rPr>
            <sz val="11"/>
            <color rgb="FF000000"/>
            <rFont val="Calibri"/>
          </rPr>
          <t xml:space="preserve">, and </t>
        </r>
        <r>
          <rPr>
            <sz val="11"/>
            <color rgb="FF000000"/>
            <rFont val="Calibri"/>
          </rPr>
          <t>"</t>
        </r>
        <r>
          <rPr>
            <b/>
            <sz val="11"/>
            <color rgb="FF000000"/>
            <rFont val="Calibri"/>
          </rPr>
          <t>unlinkat</t>
        </r>
        <r>
          <rPr>
            <sz val="11"/>
            <color rgb="FF000000"/>
            <rFont val="Calibri"/>
          </rPr>
          <t>"</t>
        </r>
        <r>
          <rPr>
            <sz val="11"/>
            <color rgb="FF000000"/>
            <rFont val="Calibri"/>
          </rPr>
          <t xml:space="preserve"> system calls.</t>
        </r>
      </text>
    </comment>
    <comment ref="AM7" authorId="0" shapeId="0" xr:uid="{00000000-0006-0000-0500-000021000000}">
      <text>
        <r>
          <rPr>
            <sz val="11"/>
            <rFont val="Calibri"/>
          </rPr>
          <t xml:space="preserve">OL 8 must generate audit records for any use of the </t>
        </r>
        <r>
          <rPr>
            <sz val="11"/>
            <color rgb="FF000000"/>
            <rFont val="Calibri"/>
          </rPr>
          <t>"</t>
        </r>
        <r>
          <rPr>
            <b/>
            <sz val="11"/>
            <color rgb="FF000000"/>
            <rFont val="Calibri"/>
          </rPr>
          <t>gpasswd</t>
        </r>
        <r>
          <rPr>
            <sz val="11"/>
            <color rgb="FF000000"/>
            <rFont val="Calibri"/>
          </rPr>
          <t>"</t>
        </r>
        <r>
          <rPr>
            <sz val="11"/>
            <color rgb="FF000000"/>
            <rFont val="Calibri"/>
          </rPr>
          <t xml:space="preserve"> command.</t>
        </r>
      </text>
    </comment>
    <comment ref="AN7" authorId="0" shapeId="0" xr:uid="{00000000-0006-0000-0500-000022000000}">
      <text>
        <r>
          <rPr>
            <sz val="11"/>
            <rFont val="Calibri"/>
          </rPr>
          <t>OL 8 must generate audit records for any use of the delete_module syscall.</t>
        </r>
      </text>
    </comment>
    <comment ref="AO7" authorId="0" shapeId="0" xr:uid="{00000000-0006-0000-0500-000023000000}">
      <text>
        <r>
          <rPr>
            <sz val="11"/>
            <rFont val="Calibri"/>
          </rPr>
          <t xml:space="preserve">OL 8 must generate audit records for any use of the </t>
        </r>
        <r>
          <rPr>
            <sz val="11"/>
            <color rgb="FF000000"/>
            <rFont val="Calibri"/>
          </rPr>
          <t>"</t>
        </r>
        <r>
          <rPr>
            <b/>
            <sz val="11"/>
            <color rgb="FF000000"/>
            <rFont val="Calibri"/>
          </rPr>
          <t>crontab</t>
        </r>
        <r>
          <rPr>
            <sz val="11"/>
            <color rgb="FF000000"/>
            <rFont val="Calibri"/>
          </rPr>
          <t>"</t>
        </r>
        <r>
          <rPr>
            <sz val="11"/>
            <color rgb="FF000000"/>
            <rFont val="Calibri"/>
          </rPr>
          <t xml:space="preserve"> command.</t>
        </r>
      </text>
    </comment>
    <comment ref="AP7" authorId="0" shapeId="0" xr:uid="{00000000-0006-0000-0500-000024000000}">
      <text>
        <r>
          <rPr>
            <sz val="11"/>
            <rFont val="Calibri"/>
          </rPr>
          <t xml:space="preserve">OL 8 must generate audit records for any use of the </t>
        </r>
        <r>
          <rPr>
            <sz val="11"/>
            <color rgb="FF000000"/>
            <rFont val="Calibri"/>
          </rPr>
          <t>"</t>
        </r>
        <r>
          <rPr>
            <b/>
            <sz val="11"/>
            <color rgb="FF000000"/>
            <rFont val="Calibri"/>
          </rPr>
          <t>chsh</t>
        </r>
        <r>
          <rPr>
            <sz val="11"/>
            <color rgb="FF000000"/>
            <rFont val="Calibri"/>
          </rPr>
          <t>"</t>
        </r>
        <r>
          <rPr>
            <sz val="11"/>
            <color rgb="FF000000"/>
            <rFont val="Calibri"/>
          </rPr>
          <t xml:space="preserve"> command.</t>
        </r>
      </text>
    </comment>
    <comment ref="AQ7" authorId="0" shapeId="0" xr:uid="{00000000-0006-0000-0500-000025000000}">
      <text>
        <r>
          <rPr>
            <sz val="11"/>
            <rFont val="Calibri"/>
          </rPr>
          <t xml:space="preserve">OL 8 must generate audit records for any use of the </t>
        </r>
        <r>
          <rPr>
            <sz val="11"/>
            <color rgb="FF000000"/>
            <rFont val="Calibri"/>
          </rPr>
          <t>"</t>
        </r>
        <r>
          <rPr>
            <b/>
            <sz val="11"/>
            <color rgb="FF000000"/>
            <rFont val="Calibri"/>
          </rPr>
          <t>truncate</t>
        </r>
        <r>
          <rPr>
            <sz val="11"/>
            <color rgb="FF000000"/>
            <rFont val="Calibri"/>
          </rPr>
          <t>"</t>
        </r>
        <r>
          <rPr>
            <sz val="11"/>
            <color rgb="FF000000"/>
            <rFont val="Calibri"/>
          </rPr>
          <t xml:space="preserve">, </t>
        </r>
        <r>
          <rPr>
            <sz val="11"/>
            <color rgb="FF000000"/>
            <rFont val="Calibri"/>
          </rPr>
          <t>"</t>
        </r>
        <r>
          <rPr>
            <b/>
            <sz val="11"/>
            <color rgb="FF000000"/>
            <rFont val="Calibri"/>
          </rPr>
          <t>ftruncate</t>
        </r>
        <r>
          <rPr>
            <sz val="11"/>
            <color rgb="FF000000"/>
            <rFont val="Calibri"/>
          </rPr>
          <t>"</t>
        </r>
        <r>
          <rPr>
            <sz val="11"/>
            <color rgb="FF000000"/>
            <rFont val="Calibri"/>
          </rPr>
          <t xml:space="preserve">, </t>
        </r>
        <r>
          <rPr>
            <sz val="11"/>
            <color rgb="FF000000"/>
            <rFont val="Calibri"/>
          </rPr>
          <t>"</t>
        </r>
        <r>
          <rPr>
            <b/>
            <sz val="11"/>
            <color rgb="FF000000"/>
            <rFont val="Calibri"/>
          </rPr>
          <t>creat</t>
        </r>
        <r>
          <rPr>
            <sz val="11"/>
            <color rgb="FF000000"/>
            <rFont val="Calibri"/>
          </rPr>
          <t>"</t>
        </r>
        <r>
          <rPr>
            <sz val="11"/>
            <color rgb="FF000000"/>
            <rFont val="Calibri"/>
          </rPr>
          <t xml:space="preserve">, </t>
        </r>
        <r>
          <rPr>
            <sz val="11"/>
            <color rgb="FF000000"/>
            <rFont val="Calibri"/>
          </rPr>
          <t>"</t>
        </r>
        <r>
          <rPr>
            <b/>
            <sz val="11"/>
            <color rgb="FF000000"/>
            <rFont val="Calibri"/>
          </rPr>
          <t>open</t>
        </r>
        <r>
          <rPr>
            <sz val="11"/>
            <color rgb="FF000000"/>
            <rFont val="Calibri"/>
          </rPr>
          <t>"</t>
        </r>
        <r>
          <rPr>
            <sz val="11"/>
            <color rgb="FF000000"/>
            <rFont val="Calibri"/>
          </rPr>
          <t xml:space="preserve">, </t>
        </r>
        <r>
          <rPr>
            <sz val="11"/>
            <color rgb="FF000000"/>
            <rFont val="Calibri"/>
          </rPr>
          <t>"</t>
        </r>
        <r>
          <rPr>
            <b/>
            <sz val="11"/>
            <color rgb="FF000000"/>
            <rFont val="Calibri"/>
          </rPr>
          <t>openat</t>
        </r>
        <r>
          <rPr>
            <sz val="11"/>
            <color rgb="FF000000"/>
            <rFont val="Calibri"/>
          </rPr>
          <t>"</t>
        </r>
        <r>
          <rPr>
            <sz val="11"/>
            <color rgb="FF000000"/>
            <rFont val="Calibri"/>
          </rPr>
          <t xml:space="preserve">, and </t>
        </r>
        <r>
          <rPr>
            <sz val="11"/>
            <color rgb="FF000000"/>
            <rFont val="Calibri"/>
          </rPr>
          <t>"</t>
        </r>
        <r>
          <rPr>
            <b/>
            <sz val="11"/>
            <color rgb="FF000000"/>
            <rFont val="Calibri"/>
          </rPr>
          <t>open_by_handle_at</t>
        </r>
        <r>
          <rPr>
            <sz val="11"/>
            <color rgb="FF000000"/>
            <rFont val="Calibri"/>
          </rPr>
          <t>"</t>
        </r>
        <r>
          <rPr>
            <sz val="11"/>
            <color rgb="FF000000"/>
            <rFont val="Calibri"/>
          </rPr>
          <t xml:space="preserve"> system calls.</t>
        </r>
      </text>
    </comment>
    <comment ref="AR7" authorId="0" shapeId="0" xr:uid="{00000000-0006-0000-0500-000026000000}">
      <text>
        <r>
          <rPr>
            <sz val="11"/>
            <rFont val="Calibri"/>
          </rPr>
          <t xml:space="preserve">OL 8 must generate audit records for any use of the </t>
        </r>
        <r>
          <rPr>
            <sz val="11"/>
            <color rgb="FF000000"/>
            <rFont val="Calibri"/>
          </rPr>
          <t>"</t>
        </r>
        <r>
          <rPr>
            <b/>
            <sz val="11"/>
            <color rgb="FF000000"/>
            <rFont val="Calibri"/>
          </rPr>
          <t>chown</t>
        </r>
        <r>
          <rPr>
            <sz val="11"/>
            <color rgb="FF000000"/>
            <rFont val="Calibri"/>
          </rPr>
          <t>"</t>
        </r>
        <r>
          <rPr>
            <sz val="11"/>
            <color rgb="FF000000"/>
            <rFont val="Calibri"/>
          </rPr>
          <t xml:space="preserve">, </t>
        </r>
        <r>
          <rPr>
            <sz val="11"/>
            <color rgb="FF000000"/>
            <rFont val="Calibri"/>
          </rPr>
          <t>"</t>
        </r>
        <r>
          <rPr>
            <b/>
            <sz val="11"/>
            <color rgb="FF000000"/>
            <rFont val="Calibri"/>
          </rPr>
          <t>fchown</t>
        </r>
        <r>
          <rPr>
            <sz val="11"/>
            <color rgb="FF000000"/>
            <rFont val="Calibri"/>
          </rPr>
          <t>"</t>
        </r>
        <r>
          <rPr>
            <sz val="11"/>
            <color rgb="FF000000"/>
            <rFont val="Calibri"/>
          </rPr>
          <t xml:space="preserve">, </t>
        </r>
        <r>
          <rPr>
            <sz val="11"/>
            <color rgb="FF000000"/>
            <rFont val="Calibri"/>
          </rPr>
          <t>"</t>
        </r>
        <r>
          <rPr>
            <b/>
            <sz val="11"/>
            <color rgb="FF000000"/>
            <rFont val="Calibri"/>
          </rPr>
          <t>fchownat</t>
        </r>
        <r>
          <rPr>
            <sz val="11"/>
            <color rgb="FF000000"/>
            <rFont val="Calibri"/>
          </rPr>
          <t>"</t>
        </r>
        <r>
          <rPr>
            <sz val="11"/>
            <color rgb="FF000000"/>
            <rFont val="Calibri"/>
          </rPr>
          <t xml:space="preserve">, and </t>
        </r>
        <r>
          <rPr>
            <sz val="11"/>
            <color rgb="FF000000"/>
            <rFont val="Calibri"/>
          </rPr>
          <t>"</t>
        </r>
        <r>
          <rPr>
            <b/>
            <sz val="11"/>
            <color rgb="FF000000"/>
            <rFont val="Calibri"/>
          </rPr>
          <t>lchown</t>
        </r>
        <r>
          <rPr>
            <sz val="11"/>
            <color rgb="FF000000"/>
            <rFont val="Calibri"/>
          </rPr>
          <t>"</t>
        </r>
        <r>
          <rPr>
            <sz val="11"/>
            <color rgb="FF000000"/>
            <rFont val="Calibri"/>
          </rPr>
          <t xml:space="preserve"> system calls.</t>
        </r>
      </text>
    </comment>
    <comment ref="AS7" authorId="0" shapeId="0" xr:uid="{00000000-0006-0000-0500-000027000000}">
      <text>
        <r>
          <rPr>
            <sz val="11"/>
            <rFont val="Calibri"/>
          </rPr>
          <t xml:space="preserve">OL 8 must generate audit records for any use of the </t>
        </r>
        <r>
          <rPr>
            <sz val="11"/>
            <color rgb="FF000000"/>
            <rFont val="Calibri"/>
          </rPr>
          <t>"</t>
        </r>
        <r>
          <rPr>
            <b/>
            <sz val="11"/>
            <color rgb="FF000000"/>
            <rFont val="Calibri"/>
          </rPr>
          <t>chmod</t>
        </r>
        <r>
          <rPr>
            <sz val="11"/>
            <color rgb="FF000000"/>
            <rFont val="Calibri"/>
          </rPr>
          <t>"</t>
        </r>
        <r>
          <rPr>
            <sz val="11"/>
            <color rgb="FF000000"/>
            <rFont val="Calibri"/>
          </rPr>
          <t xml:space="preserve">, </t>
        </r>
        <r>
          <rPr>
            <sz val="11"/>
            <color rgb="FF000000"/>
            <rFont val="Calibri"/>
          </rPr>
          <t>"</t>
        </r>
        <r>
          <rPr>
            <b/>
            <sz val="11"/>
            <color rgb="FF000000"/>
            <rFont val="Calibri"/>
          </rPr>
          <t>fchmod</t>
        </r>
        <r>
          <rPr>
            <sz val="11"/>
            <color rgb="FF000000"/>
            <rFont val="Calibri"/>
          </rPr>
          <t>"</t>
        </r>
        <r>
          <rPr>
            <sz val="11"/>
            <color rgb="FF000000"/>
            <rFont val="Calibri"/>
          </rPr>
          <t xml:space="preserve">, and </t>
        </r>
        <r>
          <rPr>
            <sz val="11"/>
            <color rgb="FF000000"/>
            <rFont val="Calibri"/>
          </rPr>
          <t>"</t>
        </r>
        <r>
          <rPr>
            <b/>
            <sz val="11"/>
            <color rgb="FF000000"/>
            <rFont val="Calibri"/>
          </rPr>
          <t>fchmodat</t>
        </r>
        <r>
          <rPr>
            <sz val="11"/>
            <color rgb="FF000000"/>
            <rFont val="Calibri"/>
          </rPr>
          <t>"</t>
        </r>
        <r>
          <rPr>
            <sz val="11"/>
            <color rgb="FF000000"/>
            <rFont val="Calibri"/>
          </rPr>
          <t xml:space="preserve"> system calls.</t>
        </r>
      </text>
    </comment>
    <comment ref="AT7" authorId="0" shapeId="0" xr:uid="{00000000-0006-0000-0500-000028000000}">
      <text>
        <r>
          <rPr>
            <sz val="11"/>
            <rFont val="Calibri"/>
          </rPr>
          <t xml:space="preserve">OL 8 must generate audit records for any use of the </t>
        </r>
        <r>
          <rPr>
            <sz val="11"/>
            <color rgb="FF000000"/>
            <rFont val="Calibri"/>
          </rPr>
          <t>"</t>
        </r>
        <r>
          <rPr>
            <b/>
            <sz val="11"/>
            <color rgb="FF000000"/>
            <rFont val="Calibri"/>
          </rPr>
          <t>usermod</t>
        </r>
        <r>
          <rPr>
            <sz val="11"/>
            <color rgb="FF000000"/>
            <rFont val="Calibri"/>
          </rPr>
          <t>"</t>
        </r>
        <r>
          <rPr>
            <sz val="11"/>
            <color rgb="FF000000"/>
            <rFont val="Calibri"/>
          </rPr>
          <t xml:space="preserve"> command.</t>
        </r>
      </text>
    </comment>
    <comment ref="AU7" authorId="0" shapeId="0" xr:uid="{00000000-0006-0000-0500-000029000000}">
      <text>
        <r>
          <rPr>
            <sz val="11"/>
            <rFont val="Calibri"/>
          </rPr>
          <t xml:space="preserve">OL 8 must generate audit records for any use of the </t>
        </r>
        <r>
          <rPr>
            <sz val="11"/>
            <color rgb="FF000000"/>
            <rFont val="Calibri"/>
          </rPr>
          <t>"</t>
        </r>
        <r>
          <rPr>
            <b/>
            <sz val="11"/>
            <color rgb="FF000000"/>
            <rFont val="Calibri"/>
          </rPr>
          <t>chacl</t>
        </r>
        <r>
          <rPr>
            <sz val="11"/>
            <color rgb="FF000000"/>
            <rFont val="Calibri"/>
          </rPr>
          <t>"</t>
        </r>
        <r>
          <rPr>
            <sz val="11"/>
            <color rgb="FF000000"/>
            <rFont val="Calibri"/>
          </rPr>
          <t xml:space="preserve"> command.</t>
        </r>
      </text>
    </comment>
    <comment ref="H9" authorId="0" shapeId="0" xr:uid="{00000000-0006-0000-0500-000041000000}">
      <text>
        <r>
          <rPr>
            <sz val="11"/>
            <rFont val="Calibri"/>
          </rPr>
          <t>OL 8 operating systems booted with United Extensible Firmware Interface (UEFI) must require authentication upon booting into single-user mode and maintenance.</t>
        </r>
      </text>
    </comment>
    <comment ref="I9" authorId="0" shapeId="0" xr:uid="{00000000-0006-0000-0500-000042000000}">
      <text>
        <r>
          <rPr>
            <sz val="11"/>
            <rFont val="Calibri"/>
          </rPr>
          <t>OL 8 operating systems booted with a BIOS must require authentication upon booting into single-user and maintenance modes.</t>
        </r>
      </text>
    </comment>
    <comment ref="J9" authorId="0" shapeId="0" xr:uid="{00000000-0006-0000-0500-000043000000}">
      <text>
        <r>
          <rPr>
            <sz val="11"/>
            <rFont val="Calibri"/>
          </rPr>
          <t>OL 8 operating systems must require authentication upon booting into emergency mode.</t>
        </r>
      </text>
    </comment>
    <comment ref="H10" authorId="0" shapeId="0" xr:uid="{00000000-0006-0000-0500-000044000000}">
      <text>
        <r>
          <rPr>
            <sz val="11"/>
            <rFont val="Calibri"/>
          </rPr>
          <t>YUM must be configured to prevent the installation of patches, service packs, device drivers, or OL 8 system components that have not been digitally signed using a certificate that is recognized and approved by the organization.</t>
        </r>
      </text>
    </comment>
    <comment ref="H14" authorId="0" shapeId="0" xr:uid="{00000000-0006-0000-0500-000045000000}">
      <text>
        <r>
          <rPr>
            <sz val="11"/>
            <rFont val="Calibri"/>
          </rPr>
          <t>OL 8 must prevent system daemons from using Kerberos for authentication.</t>
        </r>
      </text>
    </comment>
    <comment ref="I14" authorId="0" shapeId="0" xr:uid="{00000000-0006-0000-0500-000046000000}">
      <text>
        <r>
          <rPr>
            <sz val="11"/>
            <rFont val="Calibri"/>
          </rPr>
          <t>OL 8 must prevent the loading of a new kernel for later execution.</t>
        </r>
      </text>
    </comment>
    <comment ref="J14" authorId="0" shapeId="0" xr:uid="{00000000-0006-0000-0500-000047000000}">
      <text>
        <r>
          <rPr>
            <sz val="11"/>
            <rFont val="Calibri"/>
          </rPr>
          <t>YUM must remove all software components after updated versions have been installed on OL 8.</t>
        </r>
      </text>
    </comment>
    <comment ref="K14" authorId="0" shapeId="0" xr:uid="{00000000-0006-0000-0500-000048000000}">
      <text>
        <r>
          <rPr>
            <sz val="11"/>
            <rFont val="Calibri"/>
          </rPr>
          <t>Unattended or automatic logon via the OL 8 graphical user interface must not be allowed.</t>
        </r>
      </text>
    </comment>
    <comment ref="L14" authorId="0" shapeId="0" xr:uid="{00000000-0006-0000-0500-000049000000}">
      <text>
        <r>
          <rPr>
            <sz val="11"/>
            <rFont val="Calibri"/>
          </rPr>
          <t>OL 8 must disable the user list at logon for graphical user interfaces.</t>
        </r>
      </text>
    </comment>
    <comment ref="M14" authorId="0" shapeId="0" xr:uid="{00000000-0006-0000-0500-00004A000000}">
      <text>
        <r>
          <rPr>
            <sz val="11"/>
            <rFont val="Calibri"/>
          </rPr>
          <t>OL 8 must not have the telnet-server package installed.</t>
        </r>
      </text>
    </comment>
    <comment ref="N14" authorId="0" shapeId="0" xr:uid="{00000000-0006-0000-0500-00004B000000}">
      <text>
        <r>
          <rPr>
            <sz val="11"/>
            <rFont val="Calibri"/>
          </rPr>
          <t>OL 8 must not install packages from the Extra Packages for Enterprise Linux (EPEL) repository.</t>
        </r>
      </text>
    </comment>
    <comment ref="O14" authorId="0" shapeId="0" xr:uid="{00000000-0006-0000-0500-00004C000000}">
      <text>
        <r>
          <rPr>
            <sz val="11"/>
            <rFont val="Calibri"/>
          </rPr>
          <t>OL 8 must cover or disable the built-in or attached camera when not in use.</t>
        </r>
      </text>
    </comment>
    <comment ref="P14" authorId="0" shapeId="0" xr:uid="{00000000-0006-0000-0500-00004D000000}">
      <text>
        <r>
          <rPr>
            <sz val="11"/>
            <rFont val="Calibri"/>
          </rPr>
          <t>OL 8 must not have the asynchronous transfer mode (ATM) kernel module installed if not required for operational support.</t>
        </r>
      </text>
    </comment>
    <comment ref="Q14" authorId="0" shapeId="0" xr:uid="{00000000-0006-0000-0500-00004E000000}">
      <text>
        <r>
          <rPr>
            <sz val="11"/>
            <rFont val="Calibri"/>
          </rPr>
          <t>OL 8 must not have the Controller Area Network (CAN) kernel module installed if not required for operational support.</t>
        </r>
      </text>
    </comment>
    <comment ref="R14" authorId="0" shapeId="0" xr:uid="{00000000-0006-0000-0500-00004F000000}">
      <text>
        <r>
          <rPr>
            <sz val="11"/>
            <rFont val="Calibri"/>
          </rPr>
          <t>OL 8 must not have the stream control transmission protocol (SCTP) kernel module installed if not required for operational support.</t>
        </r>
      </text>
    </comment>
    <comment ref="S14" authorId="0" shapeId="0" xr:uid="{00000000-0006-0000-0500-000050000000}">
      <text>
        <r>
          <rPr>
            <sz val="11"/>
            <rFont val="Calibri"/>
          </rPr>
          <t>OL 8 must disable the transparent inter-process communication (TIPC) protocol.</t>
        </r>
      </text>
    </comment>
    <comment ref="T14" authorId="0" shapeId="0" xr:uid="{00000000-0006-0000-0500-000051000000}">
      <text>
        <r>
          <rPr>
            <sz val="11"/>
            <rFont val="Calibri"/>
          </rPr>
          <t>OL 8 must disable mounting of cramfs.</t>
        </r>
      </text>
    </comment>
    <comment ref="U14" authorId="0" shapeId="0" xr:uid="{00000000-0006-0000-0500-000052000000}">
      <text>
        <r>
          <rPr>
            <sz val="11"/>
            <rFont val="Calibri"/>
          </rPr>
          <t>OL 8 must disable IEEE 1394 (FireWire) Support.</t>
        </r>
      </text>
    </comment>
    <comment ref="V14" authorId="0" shapeId="0" xr:uid="{00000000-0006-0000-0500-000053000000}">
      <text>
        <r>
          <rPr>
            <sz val="11"/>
            <rFont val="Calibri"/>
          </rPr>
          <t>The OL 8 file system automounter must be disabled.</t>
        </r>
      </text>
    </comment>
    <comment ref="W14" authorId="0" shapeId="0" xr:uid="{00000000-0006-0000-0500-000054000000}">
      <text>
        <r>
          <rPr>
            <sz val="11"/>
            <rFont val="Calibri"/>
          </rPr>
          <t>OL 8 must be configured to disable the ability to use USB mass storage devices.</t>
        </r>
      </text>
    </comment>
    <comment ref="X14" authorId="0" shapeId="0" xr:uid="{00000000-0006-0000-0500-000055000000}">
      <text>
        <r>
          <rPr>
            <sz val="11"/>
            <rFont val="Calibri"/>
          </rPr>
          <t>OL 8 wireless network adapters must be disabled.</t>
        </r>
      </text>
    </comment>
    <comment ref="Y14" authorId="0" shapeId="0" xr:uid="{00000000-0006-0000-0500-000056000000}">
      <text>
        <r>
          <rPr>
            <sz val="11"/>
            <rFont val="Calibri"/>
          </rPr>
          <t>OL 8 Bluetooth must be disabled.</t>
        </r>
      </text>
    </comment>
    <comment ref="Z14" authorId="0" shapeId="0" xr:uid="{00000000-0006-0000-0500-000057000000}">
      <text>
        <r>
          <rPr>
            <sz val="11"/>
            <rFont val="Calibri"/>
          </rPr>
          <t xml:space="preserve">The OL 8 </t>
        </r>
        <r>
          <rPr>
            <sz val="11"/>
            <color rgb="FF000000"/>
            <rFont val="Calibri"/>
          </rPr>
          <t>"</t>
        </r>
        <r>
          <rPr>
            <b/>
            <sz val="11"/>
            <color rgb="FF000000"/>
            <rFont val="Calibri"/>
          </rPr>
          <t>fapolicy</t>
        </r>
        <r>
          <rPr>
            <sz val="11"/>
            <color rgb="FF000000"/>
            <rFont val="Calibri"/>
          </rPr>
          <t>"</t>
        </r>
        <r>
          <rPr>
            <sz val="11"/>
            <color rgb="FF000000"/>
            <rFont val="Calibri"/>
          </rPr>
          <t xml:space="preserve"> module must be installed.</t>
        </r>
      </text>
    </comment>
    <comment ref="AA14" authorId="0" shapeId="0" xr:uid="{00000000-0006-0000-0500-000058000000}">
      <text>
        <r>
          <rPr>
            <sz val="11"/>
            <rFont val="Calibri"/>
          </rPr>
          <t xml:space="preserve">The OL 8 </t>
        </r>
        <r>
          <rPr>
            <sz val="11"/>
            <color rgb="FF000000"/>
            <rFont val="Calibri"/>
          </rPr>
          <t>"</t>
        </r>
        <r>
          <rPr>
            <b/>
            <sz val="11"/>
            <color rgb="FF000000"/>
            <rFont val="Calibri"/>
          </rPr>
          <t>fapolicy</t>
        </r>
        <r>
          <rPr>
            <sz val="11"/>
            <color rgb="FF000000"/>
            <rFont val="Calibri"/>
          </rPr>
          <t>"</t>
        </r>
        <r>
          <rPr>
            <sz val="11"/>
            <color rgb="FF000000"/>
            <rFont val="Calibri"/>
          </rPr>
          <t xml:space="preserve"> module must be enabled.</t>
        </r>
      </text>
    </comment>
    <comment ref="AB14" authorId="0" shapeId="0" xr:uid="{00000000-0006-0000-0500-000059000000}">
      <text>
        <r>
          <rPr>
            <sz val="11"/>
            <rFont val="Calibri"/>
          </rPr>
          <t>The OL 8 fapolicy module must be configured to employ a deny-all, permit-by-exception policy to allow the execution of authorized software programs.</t>
        </r>
      </text>
    </comment>
    <comment ref="AC14" authorId="0" shapeId="0" xr:uid="{00000000-0006-0000-0500-00005A000000}">
      <text>
        <r>
          <rPr>
            <sz val="11"/>
            <rFont val="Calibri"/>
          </rPr>
          <t>OL 8 must have the USBGuard installed.</t>
        </r>
      </text>
    </comment>
    <comment ref="AD14" authorId="0" shapeId="0" xr:uid="{00000000-0006-0000-0500-00005B000000}">
      <text>
        <r>
          <rPr>
            <sz val="11"/>
            <rFont val="Calibri"/>
          </rPr>
          <t>OL 8 must block unauthorized peripherals before establishing a connection.</t>
        </r>
      </text>
    </comment>
    <comment ref="AE14" authorId="0" shapeId="0" xr:uid="{00000000-0006-0000-0500-00005C000000}">
      <text>
        <r>
          <rPr>
            <sz val="11"/>
            <rFont val="Calibri"/>
          </rPr>
          <t>OL 8 must enable the USBGuard.</t>
        </r>
      </text>
    </comment>
    <comment ref="AF14" authorId="0" shapeId="0" xr:uid="{00000000-0006-0000-0500-00005D000000}">
      <text>
        <r>
          <rPr>
            <sz val="11"/>
            <rFont val="Calibri"/>
          </rPr>
          <t>The x86 Ctrl-Alt-Delete key sequence must be disabled on OL 8.</t>
        </r>
      </text>
    </comment>
    <comment ref="AG14" authorId="0" shapeId="0" xr:uid="{00000000-0006-0000-0500-00005E000000}">
      <text>
        <r>
          <rPr>
            <sz val="11"/>
            <rFont val="Calibri"/>
          </rPr>
          <t>The x86 Ctrl-Alt-Delete key sequence in OL 8 must be disabled if a graphical user interface is installed.</t>
        </r>
      </text>
    </comment>
    <comment ref="AH14" authorId="0" shapeId="0" xr:uid="{00000000-0006-0000-0500-00005F000000}">
      <text>
        <r>
          <rPr>
            <sz val="11"/>
            <rFont val="Calibri"/>
          </rPr>
          <t>OL 8 must disable the systemd Ctrl-Alt-Delete burst key sequence.</t>
        </r>
      </text>
    </comment>
    <comment ref="AI14" authorId="0" shapeId="0" xr:uid="{00000000-0006-0000-0500-000060000000}">
      <text>
        <r>
          <rPr>
            <sz val="11"/>
            <rFont val="Calibri"/>
          </rPr>
          <t>OL 8 must disable the debug-shell systemd service.</t>
        </r>
      </text>
    </comment>
    <comment ref="AJ14" authorId="0" shapeId="0" xr:uid="{00000000-0006-0000-0500-000061000000}">
      <text>
        <r>
          <rPr>
            <sz val="11"/>
            <rFont val="Calibri"/>
          </rPr>
          <t>The Trivial File Transfer Protocol (TFTP) server package must not be installed if not required for OL 8 operational support.</t>
        </r>
      </text>
    </comment>
    <comment ref="AK14" authorId="0" shapeId="0" xr:uid="{00000000-0006-0000-0500-000062000000}">
      <text>
        <r>
          <rPr>
            <sz val="11"/>
            <rFont val="Calibri"/>
          </rPr>
          <t>OL 8 must disable the use of user namespaces.</t>
        </r>
      </text>
    </comment>
    <comment ref="AL14" authorId="0" shapeId="0" xr:uid="{00000000-0006-0000-0500-000063000000}">
      <text>
        <r>
          <rPr>
            <sz val="11"/>
            <rFont val="Calibri"/>
          </rPr>
          <t>OL 8 must be configured to prevent unrestricted mail relaying.</t>
        </r>
      </text>
    </comment>
    <comment ref="AM14" authorId="0" shapeId="0" xr:uid="{00000000-0006-0000-0500-000064000000}">
      <text>
        <r>
          <rPr>
            <sz val="11"/>
            <rFont val="Calibri"/>
          </rPr>
          <t>The graphical display manager must not be installed on OL 8 unless approved.</t>
        </r>
      </text>
    </comment>
    <comment ref="AN14" authorId="0" shapeId="0" xr:uid="{00000000-0006-0000-0500-000065000000}">
      <text>
        <r>
          <rPr>
            <sz val="11"/>
            <rFont val="Calibri"/>
          </rPr>
          <t>OL 8 remote X connections for interactive users must be disabled unless to fulfill documented and validated mission requirements.</t>
        </r>
      </text>
    </comment>
    <comment ref="AO14" authorId="0" shapeId="0" xr:uid="{00000000-0006-0000-0500-000066000000}">
      <text>
        <r>
          <rPr>
            <sz val="11"/>
            <rFont val="Calibri"/>
          </rPr>
          <t>The OL 8 SSH daemon must prevent remote hosts from connecting to the proxy display.</t>
        </r>
      </text>
    </comment>
    <comment ref="AP14" authorId="0" shapeId="0" xr:uid="{00000000-0006-0000-0500-000067000000}">
      <text>
        <r>
          <rPr>
            <sz val="11"/>
            <rFont val="Calibri"/>
          </rPr>
          <t>If the Trivial File Transfer Protocol (TFTP) server is required, the OL 8 TFTP daemon must be configured to operate in secure mode.</t>
        </r>
      </text>
    </comment>
    <comment ref="AQ14" authorId="0" shapeId="0" xr:uid="{00000000-0006-0000-0500-000068000000}">
      <text>
        <r>
          <rPr>
            <sz val="11"/>
            <rFont val="Calibri"/>
          </rPr>
          <t>A File Transfer Protocol (FTP) server package must not be installed unless mission essential on OL 8.</t>
        </r>
      </text>
    </comment>
    <comment ref="AR14" authorId="0" shapeId="0" xr:uid="{00000000-0006-0000-0500-000069000000}">
      <text>
        <r>
          <rPr>
            <sz val="11"/>
            <rFont val="Calibri"/>
          </rPr>
          <t xml:space="preserve">OL 8 must not have the </t>
        </r>
        <r>
          <rPr>
            <sz val="11"/>
            <color rgb="FF000000"/>
            <rFont val="Calibri"/>
          </rPr>
          <t>"</t>
        </r>
        <r>
          <rPr>
            <b/>
            <sz val="11"/>
            <color rgb="FF000000"/>
            <rFont val="Calibri"/>
          </rPr>
          <t>gssproxy</t>
        </r>
        <r>
          <rPr>
            <sz val="11"/>
            <color rgb="FF000000"/>
            <rFont val="Calibri"/>
          </rPr>
          <t>"</t>
        </r>
        <r>
          <rPr>
            <sz val="11"/>
            <color rgb="FF000000"/>
            <rFont val="Calibri"/>
          </rPr>
          <t xml:space="preserve"> package installed if not required for operational support.</t>
        </r>
      </text>
    </comment>
    <comment ref="AS14" authorId="0" shapeId="0" xr:uid="{00000000-0006-0000-0500-00006A000000}">
      <text>
        <r>
          <rPr>
            <sz val="11"/>
            <rFont val="Calibri"/>
          </rPr>
          <t xml:space="preserve">OL 8 must not have the </t>
        </r>
        <r>
          <rPr>
            <sz val="11"/>
            <color rgb="FF000000"/>
            <rFont val="Calibri"/>
          </rPr>
          <t>"</t>
        </r>
        <r>
          <rPr>
            <b/>
            <sz val="11"/>
            <color rgb="FF000000"/>
            <rFont val="Calibri"/>
          </rPr>
          <t>iprutils</t>
        </r>
        <r>
          <rPr>
            <sz val="11"/>
            <color rgb="FF000000"/>
            <rFont val="Calibri"/>
          </rPr>
          <t>"</t>
        </r>
        <r>
          <rPr>
            <sz val="11"/>
            <color rgb="FF000000"/>
            <rFont val="Calibri"/>
          </rPr>
          <t xml:space="preserve"> package installed if not required for operational support.</t>
        </r>
      </text>
    </comment>
    <comment ref="AT14" authorId="0" shapeId="0" xr:uid="{00000000-0006-0000-0500-00006B000000}">
      <text>
        <r>
          <rPr>
            <sz val="11"/>
            <rFont val="Calibri"/>
          </rPr>
          <t xml:space="preserve">OL 8 must not have the </t>
        </r>
        <r>
          <rPr>
            <sz val="11"/>
            <color rgb="FF000000"/>
            <rFont val="Calibri"/>
          </rPr>
          <t>"</t>
        </r>
        <r>
          <rPr>
            <b/>
            <sz val="11"/>
            <color rgb="FF000000"/>
            <rFont val="Calibri"/>
          </rPr>
          <t>tuned</t>
        </r>
        <r>
          <rPr>
            <sz val="11"/>
            <color rgb="FF000000"/>
            <rFont val="Calibri"/>
          </rPr>
          <t>"</t>
        </r>
        <r>
          <rPr>
            <sz val="11"/>
            <color rgb="FF000000"/>
            <rFont val="Calibri"/>
          </rPr>
          <t xml:space="preserve"> package installed if not required for operational support.</t>
        </r>
      </text>
    </comment>
    <comment ref="H16" authorId="0" shapeId="0" xr:uid="{00000000-0006-0000-0500-00006C000000}">
      <text>
        <r>
          <rPr>
            <sz val="11"/>
            <rFont val="Calibri"/>
          </rPr>
          <t>OL 8 must implement NIST FIPS-validated cryptography for the following: To provision digital signatures, to generate cryptographic hashes, and to protect data requiring data-at-rest protections in accordance with applicable federal laws, Executive Orders, directives, policies, regulations, and standards.</t>
        </r>
      </text>
    </comment>
    <comment ref="I16" authorId="0" shapeId="0" xr:uid="{00000000-0006-0000-0500-00006D000000}">
      <text>
        <r>
          <rPr>
            <sz val="11"/>
            <rFont val="Calibri"/>
          </rPr>
          <t>All OL 8 local disk partitions must implement cryptographic mechanisms to prevent unauthorized disclosure or modification of all information that requires at-rest protection.</t>
        </r>
      </text>
    </comment>
    <comment ref="J16" authorId="0" shapeId="0" xr:uid="{00000000-0006-0000-0500-00006E000000}">
      <text>
        <r>
          <rPr>
            <sz val="11"/>
            <rFont val="Calibri"/>
          </rPr>
          <t>OL 8 must encrypt all stored passwords with a FIPS 140-2 approved cryptographic hashing algorithm.</t>
        </r>
      </text>
    </comment>
    <comment ref="K16" authorId="0" shapeId="0" xr:uid="{00000000-0006-0000-0500-00006F000000}">
      <text>
        <r>
          <rPr>
            <sz val="11"/>
            <rFont val="Calibri"/>
          </rPr>
          <t>OL 8 must employ FIPS 140-2 approved cryptographic hashing algorithms for all stored passwords.</t>
        </r>
      </text>
    </comment>
    <comment ref="L16" authorId="0" shapeId="0" xr:uid="{00000000-0006-0000-0500-000070000000}">
      <text>
        <r>
          <rPr>
            <sz val="11"/>
            <rFont val="Calibri"/>
          </rPr>
          <t>The OL 8 shadow password suite must be configured to use a sufficient number of hashing rounds.</t>
        </r>
      </text>
    </comment>
    <comment ref="M16" authorId="0" shapeId="0" xr:uid="{00000000-0006-0000-0500-000071000000}">
      <text>
        <r>
          <rPr>
            <sz val="11"/>
            <rFont val="Calibri"/>
          </rPr>
          <t xml:space="preserve">The OL 8 </t>
        </r>
        <r>
          <rPr>
            <sz val="11"/>
            <color rgb="FF000000"/>
            <rFont val="Calibri"/>
          </rPr>
          <t>"</t>
        </r>
        <r>
          <rPr>
            <b/>
            <sz val="11"/>
            <color rgb="FF000000"/>
            <rFont val="Calibri"/>
          </rPr>
          <t>pam_unix.so</t>
        </r>
        <r>
          <rPr>
            <sz val="11"/>
            <color rgb="FF000000"/>
            <rFont val="Calibri"/>
          </rPr>
          <t>"</t>
        </r>
        <r>
          <rPr>
            <sz val="11"/>
            <color rgb="FF000000"/>
            <rFont val="Calibri"/>
          </rPr>
          <t xml:space="preserve"> module must be configured in the system-auth file to use a FIPS 140-2 approved cryptographic hashing algorithm for system authentication.</t>
        </r>
      </text>
    </comment>
    <comment ref="N16" authorId="0" shapeId="0" xr:uid="{00000000-0006-0000-0500-000072000000}">
      <text>
        <r>
          <rPr>
            <sz val="11"/>
            <rFont val="Calibri"/>
          </rPr>
          <t xml:space="preserve">The OL 8 </t>
        </r>
        <r>
          <rPr>
            <sz val="11"/>
            <color rgb="FF000000"/>
            <rFont val="Calibri"/>
          </rPr>
          <t>"</t>
        </r>
        <r>
          <rPr>
            <b/>
            <sz val="11"/>
            <color rgb="FF000000"/>
            <rFont val="Calibri"/>
          </rPr>
          <t>pam_unix.so</t>
        </r>
        <r>
          <rPr>
            <sz val="11"/>
            <color rgb="FF000000"/>
            <rFont val="Calibri"/>
          </rPr>
          <t>"</t>
        </r>
        <r>
          <rPr>
            <sz val="11"/>
            <color rgb="FF000000"/>
            <rFont val="Calibri"/>
          </rPr>
          <t xml:space="preserve"> module must be configured in the password-auth file to use a FIPS 140-2 approved cryptographic hashing algorithm for system authentication.</t>
        </r>
      </text>
    </comment>
    <comment ref="O16" authorId="0" shapeId="0" xr:uid="{00000000-0006-0000-0500-000073000000}">
      <text>
        <r>
          <rPr>
            <sz val="11"/>
            <rFont val="Calibri"/>
          </rPr>
          <t>OL 8 must be configured so that all network connections associated with SSH traffic terminate after becoming unresponsive.</t>
        </r>
      </text>
    </comment>
    <comment ref="P16" authorId="0" shapeId="0" xr:uid="{00000000-0006-0000-0500-000074000000}">
      <text>
        <r>
          <rPr>
            <sz val="11"/>
            <rFont val="Calibri"/>
          </rPr>
          <t>OL 8 must be configured so that all network connections associated with SSH traffic are terminated after 10 minutes of becoming unresponsive.</t>
        </r>
      </text>
    </comment>
    <comment ref="Q16" authorId="0" shapeId="0" xr:uid="{00000000-0006-0000-0500-000075000000}">
      <text>
        <r>
          <rPr>
            <sz val="11"/>
            <rFont val="Calibri"/>
          </rPr>
          <t>The OL 8 SSH server must be configured to use strong entropy.</t>
        </r>
      </text>
    </comment>
    <comment ref="R16" authorId="0" shapeId="0" xr:uid="{00000000-0006-0000-0500-000076000000}">
      <text>
        <r>
          <rPr>
            <sz val="11"/>
            <rFont val="Calibri"/>
          </rPr>
          <t>OL 8 must enable the hardware random number generator entropy gatherer service.</t>
        </r>
      </text>
    </comment>
    <comment ref="S16" authorId="0" shapeId="0" xr:uid="{00000000-0006-0000-0500-000077000000}">
      <text>
        <r>
          <rPr>
            <sz val="11"/>
            <rFont val="Calibri"/>
          </rPr>
          <t>OL 8 must have the packages required to use the hardware random number generator entropy gatherer service.</t>
        </r>
      </text>
    </comment>
    <comment ref="T16" authorId="0" shapeId="0" xr:uid="{00000000-0006-0000-0500-000078000000}">
      <text>
        <r>
          <rPr>
            <sz val="11"/>
            <rFont val="Calibri"/>
          </rPr>
          <t>For OL 8 systems using Domain Name Servers (DNS) resolution, at least two name servers must be configured.</t>
        </r>
      </text>
    </comment>
    <comment ref="U16" authorId="0" shapeId="0" xr:uid="{00000000-0006-0000-0500-000079000000}">
      <text>
        <r>
          <rPr>
            <sz val="11"/>
            <rFont val="Calibri"/>
          </rPr>
          <t>All OL 8 networked systems must have SSH installed.</t>
        </r>
      </text>
    </comment>
    <comment ref="V16" authorId="0" shapeId="0" xr:uid="{00000000-0006-0000-0500-00007A000000}">
      <text>
        <r>
          <rPr>
            <sz val="11"/>
            <rFont val="Calibri"/>
          </rPr>
          <t>All OL 8 networked systems must have and implement SSH to protect the confidentiality and integrity of transmitted and received information, as well as information during preparation for transmission.</t>
        </r>
      </text>
    </comment>
    <comment ref="W16" authorId="0" shapeId="0" xr:uid="{00000000-0006-0000-0500-00007B000000}">
      <text>
        <r>
          <rPr>
            <sz val="11"/>
            <rFont val="Calibri"/>
          </rPr>
          <t>OL 8 must force a frequent session key renegotiation for SSH connections to the server.</t>
        </r>
      </text>
    </comment>
    <comment ref="X16" authorId="0" shapeId="0" xr:uid="{00000000-0006-0000-0500-00007C000000}">
      <text>
        <r>
          <rPr>
            <sz val="11"/>
            <rFont val="Calibri"/>
          </rPr>
          <t>OL 8 must have the crypto-policies package installed.</t>
        </r>
      </text>
    </comment>
    <comment ref="Y16" authorId="0" shapeId="0" xr:uid="{00000000-0006-0000-0500-00007D000000}">
      <text>
        <r>
          <rPr>
            <sz val="11"/>
            <rFont val="Calibri"/>
          </rPr>
          <t>OL 8 must implement a FIPS 140-3-compliant systemwide cryptographic policy.</t>
        </r>
      </text>
    </comment>
    <comment ref="Z16" authorId="0" shapeId="0" xr:uid="{00000000-0006-0000-0500-00007E000000}">
      <text>
        <r>
          <rPr>
            <sz val="11"/>
            <rFont val="Calibri"/>
          </rPr>
          <t>OL 8 must implement NIST FIPS-validated cryptography for the following: To provision digital signatures, to generate cryptographic hashes, and to protect data requiring data-at-rest protections in accordance with applicable federal laws, Executive Orders, directives, policies, regulations, and standards.</t>
        </r>
      </text>
    </comment>
    <comment ref="AA16" authorId="0" shapeId="0" xr:uid="{00000000-0006-0000-0500-00007F000000}">
      <text>
        <r>
          <rPr>
            <sz val="11"/>
            <rFont val="Calibri"/>
          </rPr>
          <t>OL 8 cryptographic policy must not be overridden.</t>
        </r>
      </text>
    </comment>
    <comment ref="AB16" authorId="0" shapeId="0" xr:uid="{00000000-0006-0000-0500-000080000000}">
      <text>
        <r>
          <rPr>
            <sz val="11"/>
            <rFont val="Calibri"/>
          </rPr>
          <t>The OL 8 SSH client must be configured to use only DOD-approved encryption ciphers employing FIPS 140-3-validated cryptographic hash algorithms to protect the confidentiality of SSH client connections.</t>
        </r>
      </text>
    </comment>
    <comment ref="AC16" authorId="0" shapeId="0" xr:uid="{00000000-0006-0000-0500-000081000000}">
      <text>
        <r>
          <rPr>
            <sz val="11"/>
            <rFont val="Calibri"/>
          </rPr>
          <t>The OL 8 SSH client must be configured to use only DOD-approved Message Authentication Codes (MACs) employing FIPS 140-3-validated cryptographic hash algorithms to protect the confidentiality of SSH client connections.</t>
        </r>
      </text>
    </comment>
    <comment ref="AD16" authorId="0" shapeId="0" xr:uid="{00000000-0006-0000-0500-000082000000}">
      <text>
        <r>
          <rPr>
            <sz val="11"/>
            <rFont val="Calibri"/>
          </rPr>
          <t>OL 8 IP tunnels must use FIPS 140-3-approved cryptographic algorithms.</t>
        </r>
      </text>
    </comment>
    <comment ref="AE16" authorId="0" shapeId="0" xr:uid="{00000000-0006-0000-0500-000083000000}">
      <text>
        <r>
          <rPr>
            <sz val="11"/>
            <rFont val="Calibri"/>
          </rPr>
          <t>OL 8 must implement DOD-approved encryption in the bind package.</t>
        </r>
      </text>
    </comment>
    <comment ref="AF16" authorId="0" shapeId="0" xr:uid="{00000000-0006-0000-0500-000084000000}">
      <text>
        <r>
          <rPr>
            <sz val="11"/>
            <rFont val="Calibri"/>
          </rPr>
          <t>The OL 8 SSH server must be configured to use only Message Authentication Codes (MACs) employing FIPS 140-3 validated cryptographic hash algorithms to protect the confidentiality of SSH server connections.</t>
        </r>
      </text>
    </comment>
    <comment ref="AG16" authorId="0" shapeId="0" xr:uid="{00000000-0006-0000-0500-000085000000}">
      <text>
        <r>
          <rPr>
            <sz val="11"/>
            <rFont val="Calibri"/>
          </rPr>
          <t>The OL 8 SSH server must be configured to use only DOD-approved encryption ciphers employing FIPS 140-3 validated cryptographic hash algorithms to protect the confidentiality of SSH server connections.</t>
        </r>
      </text>
    </comment>
    <comment ref="H18" authorId="0" shapeId="0" xr:uid="{00000000-0006-0000-0500-000086000000}">
      <text>
        <r>
          <rPr>
            <sz val="11"/>
            <rFont val="Calibri"/>
          </rPr>
          <t xml:space="preserve">The OL 8 </t>
        </r>
        <r>
          <rPr>
            <sz val="11"/>
            <color rgb="FF000000"/>
            <rFont val="Calibri"/>
          </rPr>
          <t>"</t>
        </r>
        <r>
          <rPr>
            <b/>
            <sz val="11"/>
            <color rgb="FF000000"/>
            <rFont val="Calibri"/>
          </rPr>
          <t>fapolicy</t>
        </r>
        <r>
          <rPr>
            <sz val="11"/>
            <color rgb="FF000000"/>
            <rFont val="Calibri"/>
          </rPr>
          <t>"</t>
        </r>
        <r>
          <rPr>
            <sz val="11"/>
            <color rgb="FF000000"/>
            <rFont val="Calibri"/>
          </rPr>
          <t xml:space="preserve"> module must be installed.</t>
        </r>
      </text>
    </comment>
    <comment ref="I18" authorId="0" shapeId="0" xr:uid="{00000000-0006-0000-0500-000087000000}">
      <text>
        <r>
          <rPr>
            <sz val="11"/>
            <rFont val="Calibri"/>
          </rPr>
          <t xml:space="preserve">The OL 8 </t>
        </r>
        <r>
          <rPr>
            <sz val="11"/>
            <color rgb="FF000000"/>
            <rFont val="Calibri"/>
          </rPr>
          <t>"</t>
        </r>
        <r>
          <rPr>
            <b/>
            <sz val="11"/>
            <color rgb="FF000000"/>
            <rFont val="Calibri"/>
          </rPr>
          <t>fapolicy</t>
        </r>
        <r>
          <rPr>
            <sz val="11"/>
            <color rgb="FF000000"/>
            <rFont val="Calibri"/>
          </rPr>
          <t>"</t>
        </r>
        <r>
          <rPr>
            <sz val="11"/>
            <color rgb="FF000000"/>
            <rFont val="Calibri"/>
          </rPr>
          <t xml:space="preserve"> module must be enabled.</t>
        </r>
      </text>
    </comment>
    <comment ref="J18" authorId="0" shapeId="0" xr:uid="{00000000-0006-0000-0500-000088000000}">
      <text>
        <r>
          <rPr>
            <sz val="11"/>
            <rFont val="Calibri"/>
          </rPr>
          <t>The OL 8 fapolicy module must be configured to employ a deny-all, permit-by-exception policy to allow the execution of authorized software programs.</t>
        </r>
      </text>
    </comment>
    <comment ref="H19" authorId="0" shapeId="0" xr:uid="{00000000-0006-0000-0500-000089000000}">
      <text>
        <r>
          <rPr>
            <sz val="11"/>
            <rFont val="Calibri"/>
          </rPr>
          <t>OL 8 must implement non-executable data to protect its memory from unauthorized code execution.</t>
        </r>
      </text>
    </comment>
    <comment ref="I19" authorId="0" shapeId="0" xr:uid="{00000000-0006-0000-0500-00008A000000}">
      <text>
        <r>
          <rPr>
            <sz val="11"/>
            <rFont val="Calibri"/>
          </rPr>
          <t>OL 8 must clear the page allocator to prevent use-after-free attacks.</t>
        </r>
      </text>
    </comment>
    <comment ref="J19" authorId="0" shapeId="0" xr:uid="{00000000-0006-0000-0500-00008B000000}">
      <text>
        <r>
          <rPr>
            <sz val="11"/>
            <rFont val="Calibri"/>
          </rPr>
          <t>OL 8 must clear memory when it is freed to prevent use-after-free attacks.</t>
        </r>
      </text>
    </comment>
    <comment ref="K19" authorId="0" shapeId="0" xr:uid="{00000000-0006-0000-0500-00008C000000}">
      <text>
        <r>
          <rPr>
            <sz val="11"/>
            <rFont val="Calibri"/>
          </rPr>
          <t>OL 8 must implement address space layout randomization (ASLR) to protect its memory from unauthorized code execution.</t>
        </r>
      </text>
    </comment>
    <comment ref="L19" authorId="0" shapeId="0" xr:uid="{00000000-0006-0000-0500-00008D000000}">
      <text>
        <r>
          <rPr>
            <sz val="11"/>
            <rFont val="Calibri"/>
          </rPr>
          <t>OL 8 must enable mitigations against processor-based vulnerabilities.</t>
        </r>
      </text>
    </comment>
    <comment ref="H20" authorId="0" shapeId="0" xr:uid="{00000000-0006-0000-0500-00008E000000}">
      <text>
        <r>
          <rPr>
            <sz val="11"/>
            <rFont val="Calibri"/>
          </rPr>
          <t>An OL 8 firewall must employ a deny-all, allow-by-exception policy for allowing connections to other systems.</t>
        </r>
      </text>
    </comment>
    <comment ref="I20" authorId="0" shapeId="0" xr:uid="{00000000-0006-0000-0500-00008F000000}">
      <text>
        <r>
          <rPr>
            <sz val="11"/>
            <rFont val="Calibri"/>
          </rPr>
          <t>A firewall must be able to protect against or limit the effects of denial-of-service (DoS) attacks by ensuring OL 8 can implement rate-limiting measures on impacted network interfaces.</t>
        </r>
      </text>
    </comment>
    <comment ref="J20" authorId="0" shapeId="0" xr:uid="{00000000-0006-0000-0500-000090000000}">
      <text>
        <r>
          <rPr>
            <sz val="11"/>
            <rFont val="Calibri"/>
          </rPr>
          <t>OL 8 network interfaces must not be in promiscuous mode.</t>
        </r>
      </text>
    </comment>
    <comment ref="H22" authorId="0" shapeId="0" xr:uid="{00000000-0006-0000-0500-000091000000}">
      <text>
        <r>
          <rPr>
            <sz val="11"/>
            <rFont val="Calibri"/>
          </rPr>
          <t>OL 8 must cover or disable the built-in or attached camera when not in use.</t>
        </r>
      </text>
    </comment>
    <comment ref="I22" authorId="0" shapeId="0" xr:uid="{00000000-0006-0000-0500-000092000000}">
      <text>
        <r>
          <rPr>
            <sz val="11"/>
            <rFont val="Calibri"/>
          </rPr>
          <t>The OL 8 file system automounter must be disabled.</t>
        </r>
      </text>
    </comment>
    <comment ref="J22" authorId="0" shapeId="0" xr:uid="{00000000-0006-0000-0500-000093000000}">
      <text>
        <r>
          <rPr>
            <sz val="11"/>
            <rFont val="Calibri"/>
          </rPr>
          <t>OL 8 must be configured to disable the ability to use USB mass storage devices.</t>
        </r>
      </text>
    </comment>
    <comment ref="K22" authorId="0" shapeId="0" xr:uid="{00000000-0006-0000-0500-000094000000}">
      <text>
        <r>
          <rPr>
            <sz val="11"/>
            <rFont val="Calibri"/>
          </rPr>
          <t>OL 8 must have the USBGuard installed.</t>
        </r>
      </text>
    </comment>
    <comment ref="L22" authorId="0" shapeId="0" xr:uid="{00000000-0006-0000-0500-000095000000}">
      <text>
        <r>
          <rPr>
            <sz val="11"/>
            <rFont val="Calibri"/>
          </rPr>
          <t>OL 8 must block unauthorized peripherals before establishing a connection.</t>
        </r>
      </text>
    </comment>
    <comment ref="M22" authorId="0" shapeId="0" xr:uid="{00000000-0006-0000-0500-000096000000}">
      <text>
        <r>
          <rPr>
            <sz val="11"/>
            <rFont val="Calibri"/>
          </rPr>
          <t>OL 8 must enable the USBGuard.</t>
        </r>
      </text>
    </comment>
    <comment ref="H24" authorId="0" shapeId="0" xr:uid="{00000000-0006-0000-0500-000097000000}">
      <text>
        <r>
          <rPr>
            <sz val="11"/>
            <rFont val="Calibri"/>
          </rPr>
          <t>OL 8 must prevent the installation of software, patches, service packs, device drivers, or operating system components of local packages without verification they have been digitally signed using a certificate that is issued by a Certificate Authority (CA) that is recognized and approved by the organization.</t>
        </r>
      </text>
    </comment>
    <comment ref="I24" authorId="0" shapeId="0" xr:uid="{00000000-0006-0000-0500-000098000000}">
      <text>
        <r>
          <rPr>
            <sz val="11"/>
            <rFont val="Calibri"/>
          </rPr>
          <t>OL 8 must have the package required for multifactor authentication installed.</t>
        </r>
      </text>
    </comment>
    <comment ref="J24" authorId="0" shapeId="0" xr:uid="{00000000-0006-0000-0500-000099000000}">
      <text>
        <r>
          <rPr>
            <sz val="11"/>
            <rFont val="Calibri"/>
          </rPr>
          <t>OL 8 must implement certificate status checking for multifactor authentication.</t>
        </r>
      </text>
    </comment>
    <comment ref="K24" authorId="0" shapeId="0" xr:uid="{00000000-0006-0000-0500-00009A000000}">
      <text>
        <r>
          <rPr>
            <sz val="11"/>
            <rFont val="Calibri"/>
          </rPr>
          <t>OL 8 must accept Personal Identity Verification (PIV) credentials.</t>
        </r>
      </text>
    </comment>
    <comment ref="L24" authorId="0" shapeId="0" xr:uid="{00000000-0006-0000-0500-00009B000000}">
      <text>
        <r>
          <rPr>
            <sz val="11"/>
            <rFont val="Calibri"/>
          </rPr>
          <t>OL 8 must map the authenticated identity to the user or group account for PKI-based authentication.</t>
        </r>
      </text>
    </comment>
    <comment ref="M24" authorId="0" shapeId="0" xr:uid="{00000000-0006-0000-0500-00009C000000}">
      <text>
        <r>
          <rPr>
            <sz val="11"/>
            <rFont val="Calibri"/>
          </rPr>
          <t>OL 8 must implement multifactor authentication for access to interactive accounts.</t>
        </r>
      </text>
    </comment>
    <comment ref="N24" authorId="0" shapeId="0" xr:uid="{00000000-0006-0000-0500-00009D000000}">
      <text>
        <r>
          <rPr>
            <sz val="11"/>
            <rFont val="Calibri"/>
          </rPr>
          <t>OL 8 must prohibit the use of cached authentications after one day.</t>
        </r>
      </text>
    </comment>
    <comment ref="H25" authorId="0" shapeId="0" xr:uid="{00000000-0006-0000-0500-00009E000000}">
      <text>
        <r>
          <rPr>
            <sz val="11"/>
            <rFont val="Calibri"/>
          </rPr>
          <t>OL 8 must not respond to Internet Control Message Protocol (ICMP) echoes sent to a broadcast address.</t>
        </r>
      </text>
    </comment>
    <comment ref="I25" authorId="0" shapeId="0" xr:uid="{00000000-0006-0000-0500-00009F000000}">
      <text>
        <r>
          <rPr>
            <sz val="11"/>
            <rFont val="Calibri"/>
          </rPr>
          <t>OL 8 must not forward IPv4 source-routed packets.</t>
        </r>
      </text>
    </comment>
    <comment ref="J25" authorId="0" shapeId="0" xr:uid="{00000000-0006-0000-0500-0000A0000000}">
      <text>
        <r>
          <rPr>
            <sz val="11"/>
            <rFont val="Calibri"/>
          </rPr>
          <t>OL 8 must not forward IPv6 source-routed packets.</t>
        </r>
      </text>
    </comment>
    <comment ref="K25" authorId="0" shapeId="0" xr:uid="{00000000-0006-0000-0500-0000A1000000}">
      <text>
        <r>
          <rPr>
            <sz val="11"/>
            <rFont val="Calibri"/>
          </rPr>
          <t>OL 8 must not forward IPv4 source-routed packets by default.</t>
        </r>
      </text>
    </comment>
    <comment ref="L25" authorId="0" shapeId="0" xr:uid="{00000000-0006-0000-0500-0000A2000000}">
      <text>
        <r>
          <rPr>
            <sz val="11"/>
            <rFont val="Calibri"/>
          </rPr>
          <t>OL 8 must not forward IPv6 source-routed packets by default.</t>
        </r>
      </text>
    </comment>
    <comment ref="M25" authorId="0" shapeId="0" xr:uid="{00000000-0006-0000-0500-0000A3000000}">
      <text>
        <r>
          <rPr>
            <sz val="11"/>
            <rFont val="Calibri"/>
          </rPr>
          <t>OL 8 must not accept router advertisements on all IPv6 interfaces.</t>
        </r>
      </text>
    </comment>
    <comment ref="N25" authorId="0" shapeId="0" xr:uid="{00000000-0006-0000-0500-0000A4000000}">
      <text>
        <r>
          <rPr>
            <sz val="11"/>
            <rFont val="Calibri"/>
          </rPr>
          <t>OL 8 must not accept router advertisements on all IPv6 interfaces by default.</t>
        </r>
      </text>
    </comment>
    <comment ref="O25" authorId="0" shapeId="0" xr:uid="{00000000-0006-0000-0500-0000A5000000}">
      <text>
        <r>
          <rPr>
            <sz val="11"/>
            <rFont val="Calibri"/>
          </rPr>
          <t>OL 8 must ignore IPv4 Internet Control Message Protocol (ICMP) redirect messages.</t>
        </r>
      </text>
    </comment>
    <comment ref="P25" authorId="0" shapeId="0" xr:uid="{00000000-0006-0000-0500-0000A6000000}">
      <text>
        <r>
          <rPr>
            <sz val="11"/>
            <rFont val="Calibri"/>
          </rPr>
          <t>OL 8 must ignore IPv6 Internet Control Message Protocol (ICMP) redirect messages.</t>
        </r>
      </text>
    </comment>
    <comment ref="Q25" authorId="0" shapeId="0" xr:uid="{00000000-0006-0000-0500-0000A7000000}">
      <text>
        <r>
          <rPr>
            <sz val="11"/>
            <rFont val="Calibri"/>
          </rPr>
          <t>OL 8 must use reverse path filtering on all IPv4 interfaces.</t>
        </r>
      </text>
    </comment>
    <comment ref="H26" authorId="0" shapeId="0" xr:uid="{00000000-0006-0000-0500-0000A8000000}">
      <text>
        <r>
          <rPr>
            <sz val="11"/>
            <rFont val="Calibri"/>
          </rPr>
          <t>OL 8 must not send Internet Control Message Protocol (ICMP) redirects.</t>
        </r>
      </text>
    </comment>
    <comment ref="I26" authorId="0" shapeId="0" xr:uid="{00000000-0006-0000-0500-0000A9000000}">
      <text>
        <r>
          <rPr>
            <sz val="11"/>
            <rFont val="Calibri"/>
          </rPr>
          <t>OL 8 must not enable IPv6 packet forwarding unless the system is a router.</t>
        </r>
      </text>
    </comment>
    <comment ref="J26" authorId="0" shapeId="0" xr:uid="{00000000-0006-0000-0500-0000AA000000}">
      <text>
        <r>
          <rPr>
            <sz val="11"/>
            <rFont val="Calibri"/>
          </rPr>
          <t>The OL 8 SSH daemon must prevent remote hosts from connecting to the proxy display.</t>
        </r>
      </text>
    </comment>
    <comment ref="K26" authorId="0" shapeId="0" xr:uid="{00000000-0006-0000-0500-0000AB000000}">
      <text>
        <r>
          <rPr>
            <sz val="11"/>
            <rFont val="Calibri"/>
          </rPr>
          <t>OL 8 must not enable IPv4 packet forwarding unless the system is a router.</t>
        </r>
      </text>
    </comment>
    <comment ref="H27" authorId="0" shapeId="0" xr:uid="{00000000-0006-0000-0500-0000AC000000}">
      <text>
        <r>
          <rPr>
            <sz val="11"/>
            <rFont val="Calibri"/>
          </rPr>
          <t>OL 8 must enable kernel parameters to enforce Discretionary Access Control (DAC) on symlinks.</t>
        </r>
      </text>
    </comment>
    <comment ref="I27" authorId="0" shapeId="0" xr:uid="{00000000-0006-0000-0500-0000AD000000}">
      <text>
        <r>
          <rPr>
            <sz val="11"/>
            <rFont val="Calibri"/>
          </rPr>
          <t>OL 8 must enable kernel parameters to enforce Discretionary Access Control (DAC) on hardlinks.</t>
        </r>
      </text>
    </comment>
    <comment ref="J27" authorId="0" shapeId="0" xr:uid="{00000000-0006-0000-0500-0000AE000000}">
      <text>
        <r>
          <rPr>
            <sz val="11"/>
            <rFont val="Calibri"/>
          </rPr>
          <t>OL 8 must restrict access to the kernel message buffer.</t>
        </r>
      </text>
    </comment>
    <comment ref="K27" authorId="0" shapeId="0" xr:uid="{00000000-0006-0000-0500-0000AF000000}">
      <text>
        <r>
          <rPr>
            <sz val="11"/>
            <rFont val="Calibri"/>
          </rPr>
          <t>OL 8 must prevent kernel profiling by nonprivileged users.</t>
        </r>
      </text>
    </comment>
    <comment ref="L27" authorId="0" shapeId="0" xr:uid="{00000000-0006-0000-0500-0000B0000000}">
      <text>
        <r>
          <rPr>
            <sz val="11"/>
            <rFont val="Calibri"/>
          </rPr>
          <t>OL 8 must enable the SELinux targeted policy.</t>
        </r>
      </text>
    </comment>
    <comment ref="M27" authorId="0" shapeId="0" xr:uid="{00000000-0006-0000-0500-0000B1000000}">
      <text>
        <r>
          <rPr>
            <sz val="11"/>
            <rFont val="Calibri"/>
          </rPr>
          <t>OL 8 must prevent files with the setuid and setgid bit set from being executed on the /boot directory.</t>
        </r>
      </text>
    </comment>
    <comment ref="N27" authorId="0" shapeId="0" xr:uid="{00000000-0006-0000-0500-0000B2000000}">
      <text>
        <r>
          <rPr>
            <sz val="11"/>
            <rFont val="Calibri"/>
          </rPr>
          <t>OL 8 must prevent files with the setuid and setgid bit set from being executed on the /boot/efi directory.</t>
        </r>
      </text>
    </comment>
    <comment ref="O27" authorId="0" shapeId="0" xr:uid="{00000000-0006-0000-0500-0000B3000000}">
      <text>
        <r>
          <rPr>
            <sz val="11"/>
            <rFont val="Calibri"/>
          </rPr>
          <t>OL 8 must prevent files with the setuid and setgid bit set from being executed on file systems that are used with removable media.</t>
        </r>
      </text>
    </comment>
    <comment ref="P27" authorId="0" shapeId="0" xr:uid="{00000000-0006-0000-0500-0000B4000000}">
      <text>
        <r>
          <rPr>
            <sz val="11"/>
            <rFont val="Calibri"/>
          </rPr>
          <t>OL 8 must prevent files with the setuid and setgid bit set from being executed on file systems that are imported via Network File System (NFS).</t>
        </r>
      </text>
    </comment>
    <comment ref="Q27" authorId="0" shapeId="0" xr:uid="{00000000-0006-0000-0500-0000B5000000}">
      <text>
        <r>
          <rPr>
            <sz val="11"/>
            <rFont val="Calibri"/>
          </rPr>
          <t>OL 8 must not allow users to override SSH environment variables.</t>
        </r>
      </text>
    </comment>
    <comment ref="R27" authorId="0" shapeId="0" xr:uid="{00000000-0006-0000-0500-0000B6000000}">
      <text>
        <r>
          <rPr>
            <sz val="11"/>
            <rFont val="Calibri"/>
          </rPr>
          <t xml:space="preserve">OL 8 must mount </t>
        </r>
        <r>
          <rPr>
            <sz val="11"/>
            <color rgb="FF000000"/>
            <rFont val="Calibri"/>
          </rPr>
          <t>"</t>
        </r>
        <r>
          <rPr>
            <b/>
            <sz val="11"/>
            <color rgb="FF000000"/>
            <rFont val="Calibri"/>
          </rPr>
          <t>/dev/shm</t>
        </r>
        <r>
          <rPr>
            <sz val="11"/>
            <color rgb="FF000000"/>
            <rFont val="Calibri"/>
          </rPr>
          <t>"</t>
        </r>
        <r>
          <rPr>
            <sz val="11"/>
            <color rgb="FF000000"/>
            <rFont val="Calibri"/>
          </rPr>
          <t xml:space="preserve"> with the </t>
        </r>
        <r>
          <rPr>
            <sz val="11"/>
            <color rgb="FF000000"/>
            <rFont val="Calibri"/>
          </rPr>
          <t>"</t>
        </r>
        <r>
          <rPr>
            <b/>
            <sz val="11"/>
            <color rgb="FF000000"/>
            <rFont val="Calibri"/>
          </rPr>
          <t>nodev</t>
        </r>
        <r>
          <rPr>
            <sz val="11"/>
            <color rgb="FF000000"/>
            <rFont val="Calibri"/>
          </rPr>
          <t>"</t>
        </r>
        <r>
          <rPr>
            <sz val="11"/>
            <color rgb="FF000000"/>
            <rFont val="Calibri"/>
          </rPr>
          <t xml:space="preserve"> option.</t>
        </r>
      </text>
    </comment>
    <comment ref="S27" authorId="0" shapeId="0" xr:uid="{00000000-0006-0000-0500-0000B7000000}">
      <text>
        <r>
          <rPr>
            <sz val="11"/>
            <rFont val="Calibri"/>
          </rPr>
          <t xml:space="preserve">OL 8 must mount </t>
        </r>
        <r>
          <rPr>
            <sz val="11"/>
            <color rgb="FF000000"/>
            <rFont val="Calibri"/>
          </rPr>
          <t>"</t>
        </r>
        <r>
          <rPr>
            <b/>
            <sz val="11"/>
            <color rgb="FF000000"/>
            <rFont val="Calibri"/>
          </rPr>
          <t>/dev/shm</t>
        </r>
        <r>
          <rPr>
            <sz val="11"/>
            <color rgb="FF000000"/>
            <rFont val="Calibri"/>
          </rPr>
          <t>"</t>
        </r>
        <r>
          <rPr>
            <sz val="11"/>
            <color rgb="FF000000"/>
            <rFont val="Calibri"/>
          </rPr>
          <t xml:space="preserve"> with the </t>
        </r>
        <r>
          <rPr>
            <sz val="11"/>
            <color rgb="FF000000"/>
            <rFont val="Calibri"/>
          </rPr>
          <t>"</t>
        </r>
        <r>
          <rPr>
            <b/>
            <sz val="11"/>
            <color rgb="FF000000"/>
            <rFont val="Calibri"/>
          </rPr>
          <t>nosuid</t>
        </r>
        <r>
          <rPr>
            <sz val="11"/>
            <color rgb="FF000000"/>
            <rFont val="Calibri"/>
          </rPr>
          <t>"</t>
        </r>
        <r>
          <rPr>
            <sz val="11"/>
            <color rgb="FF000000"/>
            <rFont val="Calibri"/>
          </rPr>
          <t xml:space="preserve"> option.</t>
        </r>
      </text>
    </comment>
    <comment ref="T27" authorId="0" shapeId="0" xr:uid="{00000000-0006-0000-0500-0000B8000000}">
      <text>
        <r>
          <rPr>
            <sz val="11"/>
            <rFont val="Calibri"/>
          </rPr>
          <t xml:space="preserve">OL 8 must mount </t>
        </r>
        <r>
          <rPr>
            <sz val="11"/>
            <color rgb="FF000000"/>
            <rFont val="Calibri"/>
          </rPr>
          <t>"</t>
        </r>
        <r>
          <rPr>
            <b/>
            <sz val="11"/>
            <color rgb="FF000000"/>
            <rFont val="Calibri"/>
          </rPr>
          <t>/dev/shm</t>
        </r>
        <r>
          <rPr>
            <sz val="11"/>
            <color rgb="FF000000"/>
            <rFont val="Calibri"/>
          </rPr>
          <t>"</t>
        </r>
        <r>
          <rPr>
            <sz val="11"/>
            <color rgb="FF000000"/>
            <rFont val="Calibri"/>
          </rPr>
          <t xml:space="preserve"> with the </t>
        </r>
        <r>
          <rPr>
            <sz val="11"/>
            <color rgb="FF000000"/>
            <rFont val="Calibri"/>
          </rPr>
          <t>"</t>
        </r>
        <r>
          <rPr>
            <b/>
            <sz val="11"/>
            <color rgb="FF000000"/>
            <rFont val="Calibri"/>
          </rPr>
          <t>noexec</t>
        </r>
        <r>
          <rPr>
            <sz val="11"/>
            <color rgb="FF000000"/>
            <rFont val="Calibri"/>
          </rPr>
          <t>"</t>
        </r>
        <r>
          <rPr>
            <sz val="11"/>
            <color rgb="FF000000"/>
            <rFont val="Calibri"/>
          </rPr>
          <t xml:space="preserve"> option.</t>
        </r>
      </text>
    </comment>
    <comment ref="U27" authorId="0" shapeId="0" xr:uid="{00000000-0006-0000-0500-0000B9000000}">
      <text>
        <r>
          <rPr>
            <sz val="11"/>
            <rFont val="Calibri"/>
          </rPr>
          <t xml:space="preserve">OL 8 must mount </t>
        </r>
        <r>
          <rPr>
            <sz val="11"/>
            <color rgb="FF000000"/>
            <rFont val="Calibri"/>
          </rPr>
          <t>"</t>
        </r>
        <r>
          <rPr>
            <b/>
            <sz val="11"/>
            <color rgb="FF000000"/>
            <rFont val="Calibri"/>
          </rPr>
          <t>/tmp</t>
        </r>
        <r>
          <rPr>
            <sz val="11"/>
            <color rgb="FF000000"/>
            <rFont val="Calibri"/>
          </rPr>
          <t>"</t>
        </r>
        <r>
          <rPr>
            <sz val="11"/>
            <color rgb="FF000000"/>
            <rFont val="Calibri"/>
          </rPr>
          <t xml:space="preserve"> with the </t>
        </r>
        <r>
          <rPr>
            <sz val="11"/>
            <color rgb="FF000000"/>
            <rFont val="Calibri"/>
          </rPr>
          <t>"</t>
        </r>
        <r>
          <rPr>
            <b/>
            <sz val="11"/>
            <color rgb="FF000000"/>
            <rFont val="Calibri"/>
          </rPr>
          <t>nodev</t>
        </r>
        <r>
          <rPr>
            <sz val="11"/>
            <color rgb="FF000000"/>
            <rFont val="Calibri"/>
          </rPr>
          <t>"</t>
        </r>
        <r>
          <rPr>
            <sz val="11"/>
            <color rgb="FF000000"/>
            <rFont val="Calibri"/>
          </rPr>
          <t xml:space="preserve"> option.</t>
        </r>
      </text>
    </comment>
    <comment ref="V27" authorId="0" shapeId="0" xr:uid="{00000000-0006-0000-0500-0000BA000000}">
      <text>
        <r>
          <rPr>
            <sz val="11"/>
            <rFont val="Calibri"/>
          </rPr>
          <t xml:space="preserve">OL 8 must mount </t>
        </r>
        <r>
          <rPr>
            <sz val="11"/>
            <color rgb="FF000000"/>
            <rFont val="Calibri"/>
          </rPr>
          <t>"</t>
        </r>
        <r>
          <rPr>
            <b/>
            <sz val="11"/>
            <color rgb="FF000000"/>
            <rFont val="Calibri"/>
          </rPr>
          <t>/tmp</t>
        </r>
        <r>
          <rPr>
            <sz val="11"/>
            <color rgb="FF000000"/>
            <rFont val="Calibri"/>
          </rPr>
          <t>"</t>
        </r>
        <r>
          <rPr>
            <sz val="11"/>
            <color rgb="FF000000"/>
            <rFont val="Calibri"/>
          </rPr>
          <t xml:space="preserve"> with the </t>
        </r>
        <r>
          <rPr>
            <sz val="11"/>
            <color rgb="FF000000"/>
            <rFont val="Calibri"/>
          </rPr>
          <t>"</t>
        </r>
        <r>
          <rPr>
            <b/>
            <sz val="11"/>
            <color rgb="FF000000"/>
            <rFont val="Calibri"/>
          </rPr>
          <t>nosuid</t>
        </r>
        <r>
          <rPr>
            <sz val="11"/>
            <color rgb="FF000000"/>
            <rFont val="Calibri"/>
          </rPr>
          <t>"</t>
        </r>
        <r>
          <rPr>
            <sz val="11"/>
            <color rgb="FF000000"/>
            <rFont val="Calibri"/>
          </rPr>
          <t xml:space="preserve"> option.</t>
        </r>
      </text>
    </comment>
    <comment ref="W27" authorId="0" shapeId="0" xr:uid="{00000000-0006-0000-0500-0000BB000000}">
      <text>
        <r>
          <rPr>
            <sz val="11"/>
            <rFont val="Calibri"/>
          </rPr>
          <t xml:space="preserve">OL 8 must mount </t>
        </r>
        <r>
          <rPr>
            <sz val="11"/>
            <color rgb="FF000000"/>
            <rFont val="Calibri"/>
          </rPr>
          <t>"</t>
        </r>
        <r>
          <rPr>
            <b/>
            <sz val="11"/>
            <color rgb="FF000000"/>
            <rFont val="Calibri"/>
          </rPr>
          <t>/tmp</t>
        </r>
        <r>
          <rPr>
            <sz val="11"/>
            <color rgb="FF000000"/>
            <rFont val="Calibri"/>
          </rPr>
          <t>"</t>
        </r>
        <r>
          <rPr>
            <sz val="11"/>
            <color rgb="FF000000"/>
            <rFont val="Calibri"/>
          </rPr>
          <t xml:space="preserve"> with the </t>
        </r>
        <r>
          <rPr>
            <sz val="11"/>
            <color rgb="FF000000"/>
            <rFont val="Calibri"/>
          </rPr>
          <t>"</t>
        </r>
        <r>
          <rPr>
            <b/>
            <sz val="11"/>
            <color rgb="FF000000"/>
            <rFont val="Calibri"/>
          </rPr>
          <t>noexec</t>
        </r>
        <r>
          <rPr>
            <sz val="11"/>
            <color rgb="FF000000"/>
            <rFont val="Calibri"/>
          </rPr>
          <t>"</t>
        </r>
        <r>
          <rPr>
            <sz val="11"/>
            <color rgb="FF000000"/>
            <rFont val="Calibri"/>
          </rPr>
          <t xml:space="preserve"> option.</t>
        </r>
      </text>
    </comment>
    <comment ref="X27" authorId="0" shapeId="0" xr:uid="{00000000-0006-0000-0500-0000BC000000}">
      <text>
        <r>
          <rPr>
            <sz val="11"/>
            <rFont val="Calibri"/>
          </rPr>
          <t xml:space="preserve">OL 8 must mount </t>
        </r>
        <r>
          <rPr>
            <sz val="11"/>
            <color rgb="FF000000"/>
            <rFont val="Calibri"/>
          </rPr>
          <t>"</t>
        </r>
        <r>
          <rPr>
            <b/>
            <sz val="11"/>
            <color rgb="FF000000"/>
            <rFont val="Calibri"/>
          </rPr>
          <t>/var/log</t>
        </r>
        <r>
          <rPr>
            <sz val="11"/>
            <color rgb="FF000000"/>
            <rFont val="Calibri"/>
          </rPr>
          <t>"</t>
        </r>
        <r>
          <rPr>
            <sz val="11"/>
            <color rgb="FF000000"/>
            <rFont val="Calibri"/>
          </rPr>
          <t xml:space="preserve"> with the </t>
        </r>
        <r>
          <rPr>
            <sz val="11"/>
            <color rgb="FF000000"/>
            <rFont val="Calibri"/>
          </rPr>
          <t>"</t>
        </r>
        <r>
          <rPr>
            <b/>
            <sz val="11"/>
            <color rgb="FF000000"/>
            <rFont val="Calibri"/>
          </rPr>
          <t>nodev</t>
        </r>
        <r>
          <rPr>
            <sz val="11"/>
            <color rgb="FF000000"/>
            <rFont val="Calibri"/>
          </rPr>
          <t>"</t>
        </r>
        <r>
          <rPr>
            <sz val="11"/>
            <color rgb="FF000000"/>
            <rFont val="Calibri"/>
          </rPr>
          <t xml:space="preserve"> option.</t>
        </r>
      </text>
    </comment>
    <comment ref="Y27" authorId="0" shapeId="0" xr:uid="{00000000-0006-0000-0500-0000BD000000}">
      <text>
        <r>
          <rPr>
            <sz val="11"/>
            <rFont val="Calibri"/>
          </rPr>
          <t xml:space="preserve">OL 8 must mount </t>
        </r>
        <r>
          <rPr>
            <sz val="11"/>
            <color rgb="FF000000"/>
            <rFont val="Calibri"/>
          </rPr>
          <t>"</t>
        </r>
        <r>
          <rPr>
            <b/>
            <sz val="11"/>
            <color rgb="FF000000"/>
            <rFont val="Calibri"/>
          </rPr>
          <t>/var/log</t>
        </r>
        <r>
          <rPr>
            <sz val="11"/>
            <color rgb="FF000000"/>
            <rFont val="Calibri"/>
          </rPr>
          <t>"</t>
        </r>
        <r>
          <rPr>
            <sz val="11"/>
            <color rgb="FF000000"/>
            <rFont val="Calibri"/>
          </rPr>
          <t xml:space="preserve"> with the </t>
        </r>
        <r>
          <rPr>
            <sz val="11"/>
            <color rgb="FF000000"/>
            <rFont val="Calibri"/>
          </rPr>
          <t>"</t>
        </r>
        <r>
          <rPr>
            <b/>
            <sz val="11"/>
            <color rgb="FF000000"/>
            <rFont val="Calibri"/>
          </rPr>
          <t>nosuid</t>
        </r>
        <r>
          <rPr>
            <sz val="11"/>
            <color rgb="FF000000"/>
            <rFont val="Calibri"/>
          </rPr>
          <t>"</t>
        </r>
        <r>
          <rPr>
            <sz val="11"/>
            <color rgb="FF000000"/>
            <rFont val="Calibri"/>
          </rPr>
          <t xml:space="preserve"> option.</t>
        </r>
      </text>
    </comment>
    <comment ref="Z27" authorId="0" shapeId="0" xr:uid="{00000000-0006-0000-0500-0000BE000000}">
      <text>
        <r>
          <rPr>
            <sz val="11"/>
            <rFont val="Calibri"/>
          </rPr>
          <t xml:space="preserve">OL 8 must mount </t>
        </r>
        <r>
          <rPr>
            <sz val="11"/>
            <color rgb="FF000000"/>
            <rFont val="Calibri"/>
          </rPr>
          <t>"</t>
        </r>
        <r>
          <rPr>
            <b/>
            <sz val="11"/>
            <color rgb="FF000000"/>
            <rFont val="Calibri"/>
          </rPr>
          <t>/var/log</t>
        </r>
        <r>
          <rPr>
            <sz val="11"/>
            <color rgb="FF000000"/>
            <rFont val="Calibri"/>
          </rPr>
          <t>"</t>
        </r>
        <r>
          <rPr>
            <sz val="11"/>
            <color rgb="FF000000"/>
            <rFont val="Calibri"/>
          </rPr>
          <t xml:space="preserve"> with the </t>
        </r>
        <r>
          <rPr>
            <sz val="11"/>
            <color rgb="FF000000"/>
            <rFont val="Calibri"/>
          </rPr>
          <t>"</t>
        </r>
        <r>
          <rPr>
            <b/>
            <sz val="11"/>
            <color rgb="FF000000"/>
            <rFont val="Calibri"/>
          </rPr>
          <t>noexec</t>
        </r>
        <r>
          <rPr>
            <sz val="11"/>
            <color rgb="FF000000"/>
            <rFont val="Calibri"/>
          </rPr>
          <t>"</t>
        </r>
        <r>
          <rPr>
            <sz val="11"/>
            <color rgb="FF000000"/>
            <rFont val="Calibri"/>
          </rPr>
          <t xml:space="preserve"> option.</t>
        </r>
      </text>
    </comment>
    <comment ref="AA27" authorId="0" shapeId="0" xr:uid="{00000000-0006-0000-0500-0000BF000000}">
      <text>
        <r>
          <rPr>
            <sz val="11"/>
            <rFont val="Calibri"/>
          </rPr>
          <t xml:space="preserve">OL 8 must mount </t>
        </r>
        <r>
          <rPr>
            <sz val="11"/>
            <color rgb="FF000000"/>
            <rFont val="Calibri"/>
          </rPr>
          <t>"</t>
        </r>
        <r>
          <rPr>
            <b/>
            <sz val="11"/>
            <color rgb="FF000000"/>
            <rFont val="Calibri"/>
          </rPr>
          <t>/var/tmp</t>
        </r>
        <r>
          <rPr>
            <sz val="11"/>
            <color rgb="FF000000"/>
            <rFont val="Calibri"/>
          </rPr>
          <t>"</t>
        </r>
        <r>
          <rPr>
            <sz val="11"/>
            <color rgb="FF000000"/>
            <rFont val="Calibri"/>
          </rPr>
          <t xml:space="preserve"> with the </t>
        </r>
        <r>
          <rPr>
            <sz val="11"/>
            <color rgb="FF000000"/>
            <rFont val="Calibri"/>
          </rPr>
          <t>"</t>
        </r>
        <r>
          <rPr>
            <b/>
            <sz val="11"/>
            <color rgb="FF000000"/>
            <rFont val="Calibri"/>
          </rPr>
          <t>nodev</t>
        </r>
        <r>
          <rPr>
            <sz val="11"/>
            <color rgb="FF000000"/>
            <rFont val="Calibri"/>
          </rPr>
          <t>"</t>
        </r>
        <r>
          <rPr>
            <sz val="11"/>
            <color rgb="FF000000"/>
            <rFont val="Calibri"/>
          </rPr>
          <t xml:space="preserve"> option.</t>
        </r>
      </text>
    </comment>
    <comment ref="AB27" authorId="0" shapeId="0" xr:uid="{00000000-0006-0000-0500-0000C0000000}">
      <text>
        <r>
          <rPr>
            <sz val="11"/>
            <rFont val="Calibri"/>
          </rPr>
          <t xml:space="preserve">OL 8 must mount </t>
        </r>
        <r>
          <rPr>
            <sz val="11"/>
            <color rgb="FF000000"/>
            <rFont val="Calibri"/>
          </rPr>
          <t>"</t>
        </r>
        <r>
          <rPr>
            <b/>
            <sz val="11"/>
            <color rgb="FF000000"/>
            <rFont val="Calibri"/>
          </rPr>
          <t>/var/tmp</t>
        </r>
        <r>
          <rPr>
            <sz val="11"/>
            <color rgb="FF000000"/>
            <rFont val="Calibri"/>
          </rPr>
          <t>"</t>
        </r>
        <r>
          <rPr>
            <sz val="11"/>
            <color rgb="FF000000"/>
            <rFont val="Calibri"/>
          </rPr>
          <t xml:space="preserve"> with the </t>
        </r>
        <r>
          <rPr>
            <sz val="11"/>
            <color rgb="FF000000"/>
            <rFont val="Calibri"/>
          </rPr>
          <t>"</t>
        </r>
        <r>
          <rPr>
            <b/>
            <sz val="11"/>
            <color rgb="FF000000"/>
            <rFont val="Calibri"/>
          </rPr>
          <t>nosuid</t>
        </r>
        <r>
          <rPr>
            <sz val="11"/>
            <color rgb="FF000000"/>
            <rFont val="Calibri"/>
          </rPr>
          <t>"</t>
        </r>
        <r>
          <rPr>
            <sz val="11"/>
            <color rgb="FF000000"/>
            <rFont val="Calibri"/>
          </rPr>
          <t xml:space="preserve"> option.</t>
        </r>
      </text>
    </comment>
    <comment ref="AC27" authorId="0" shapeId="0" xr:uid="{00000000-0006-0000-0500-0000C1000000}">
      <text>
        <r>
          <rPr>
            <sz val="11"/>
            <rFont val="Calibri"/>
          </rPr>
          <t xml:space="preserve">OL 8 must mount </t>
        </r>
        <r>
          <rPr>
            <sz val="11"/>
            <color rgb="FF000000"/>
            <rFont val="Calibri"/>
          </rPr>
          <t>"</t>
        </r>
        <r>
          <rPr>
            <b/>
            <sz val="11"/>
            <color rgb="FF000000"/>
            <rFont val="Calibri"/>
          </rPr>
          <t>/var/tmp</t>
        </r>
        <r>
          <rPr>
            <sz val="11"/>
            <color rgb="FF000000"/>
            <rFont val="Calibri"/>
          </rPr>
          <t>"</t>
        </r>
        <r>
          <rPr>
            <sz val="11"/>
            <color rgb="FF000000"/>
            <rFont val="Calibri"/>
          </rPr>
          <t xml:space="preserve"> with the </t>
        </r>
        <r>
          <rPr>
            <sz val="11"/>
            <color rgb="FF000000"/>
            <rFont val="Calibri"/>
          </rPr>
          <t>"</t>
        </r>
        <r>
          <rPr>
            <b/>
            <sz val="11"/>
            <color rgb="FF000000"/>
            <rFont val="Calibri"/>
          </rPr>
          <t>noexec</t>
        </r>
        <r>
          <rPr>
            <sz val="11"/>
            <color rgb="FF000000"/>
            <rFont val="Calibri"/>
          </rPr>
          <t>"</t>
        </r>
        <r>
          <rPr>
            <sz val="11"/>
            <color rgb="FF000000"/>
            <rFont val="Calibri"/>
          </rPr>
          <t xml:space="preserve"> option.</t>
        </r>
      </text>
    </comment>
    <comment ref="AD27" authorId="0" shapeId="0" xr:uid="{00000000-0006-0000-0500-0000C2000000}">
      <text>
        <r>
          <rPr>
            <sz val="11"/>
            <rFont val="Calibri"/>
          </rPr>
          <t xml:space="preserve">OL 8 must disable access to the network </t>
        </r>
        <r>
          <rPr>
            <sz val="11"/>
            <color rgb="FF000000"/>
            <rFont val="Calibri"/>
          </rPr>
          <t>"</t>
        </r>
        <r>
          <rPr>
            <b/>
            <sz val="11"/>
            <color rgb="FF000000"/>
            <rFont val="Calibri"/>
          </rPr>
          <t>bpf</t>
        </r>
        <r>
          <rPr>
            <sz val="11"/>
            <color rgb="FF000000"/>
            <rFont val="Calibri"/>
          </rPr>
          <t>"</t>
        </r>
        <r>
          <rPr>
            <sz val="11"/>
            <color rgb="FF000000"/>
            <rFont val="Calibri"/>
          </rPr>
          <t xml:space="preserve"> syscall from nonprivileged processes.</t>
        </r>
      </text>
    </comment>
    <comment ref="AE27" authorId="0" shapeId="0" xr:uid="{00000000-0006-0000-0500-0000C3000000}">
      <text>
        <r>
          <rPr>
            <sz val="11"/>
            <rFont val="Calibri"/>
          </rPr>
          <t>OL 8 must restrict exposed kernel pointer addresses access.</t>
        </r>
      </text>
    </comment>
    <comment ref="H29" authorId="0" shapeId="0" xr:uid="{00000000-0006-0000-0500-0000C4000000}">
      <text>
        <r>
          <rPr>
            <sz val="11"/>
            <rFont val="Calibri"/>
          </rPr>
          <t xml:space="preserve">There must be no </t>
        </r>
        <r>
          <rPr>
            <sz val="11"/>
            <color rgb="FF000000"/>
            <rFont val="Calibri"/>
          </rPr>
          <t>"</t>
        </r>
        <r>
          <rPr>
            <b/>
            <sz val="11"/>
            <color rgb="FF000000"/>
            <rFont val="Calibri"/>
          </rPr>
          <t>shosts.equiv</t>
        </r>
        <r>
          <rPr>
            <sz val="11"/>
            <color rgb="FF000000"/>
            <rFont val="Calibri"/>
          </rPr>
          <t>"</t>
        </r>
        <r>
          <rPr>
            <sz val="11"/>
            <color rgb="FF000000"/>
            <rFont val="Calibri"/>
          </rPr>
          <t xml:space="preserve"> files on the OL 8 operating system.</t>
        </r>
      </text>
    </comment>
    <comment ref="I29" authorId="0" shapeId="0" xr:uid="{00000000-0006-0000-0500-0000C5000000}">
      <text>
        <r>
          <rPr>
            <sz val="11"/>
            <rFont val="Calibri"/>
          </rPr>
          <t xml:space="preserve">There must be no </t>
        </r>
        <r>
          <rPr>
            <sz val="11"/>
            <color rgb="FF000000"/>
            <rFont val="Calibri"/>
          </rPr>
          <t>"</t>
        </r>
        <r>
          <rPr>
            <b/>
            <sz val="11"/>
            <color rgb="FF000000"/>
            <rFont val="Calibri"/>
          </rPr>
          <t>.shosts</t>
        </r>
        <r>
          <rPr>
            <sz val="11"/>
            <color rgb="FF000000"/>
            <rFont val="Calibri"/>
          </rPr>
          <t>"</t>
        </r>
        <r>
          <rPr>
            <sz val="11"/>
            <color rgb="FF000000"/>
            <rFont val="Calibri"/>
          </rPr>
          <t xml:space="preserve"> files on the OL 8 operating system.</t>
        </r>
      </text>
    </comment>
    <comment ref="J29" authorId="0" shapeId="0" xr:uid="{00000000-0006-0000-0500-0000C6000000}">
      <text>
        <r>
          <rPr>
            <sz val="11"/>
            <rFont val="Calibri"/>
          </rPr>
          <t>The OL 8 SSH daemon must not allow authentication using known host</t>
        </r>
        <r>
          <rPr>
            <sz val="11"/>
            <color rgb="FF000000"/>
            <rFont val="Calibri"/>
          </rPr>
          <t>'</t>
        </r>
        <r>
          <rPr>
            <sz val="11"/>
            <color rgb="FF000000"/>
            <rFont val="Calibri"/>
          </rPr>
          <t>s authentication.</t>
        </r>
      </text>
    </comment>
    <comment ref="K29" authorId="0" shapeId="0" xr:uid="{00000000-0006-0000-0500-0000C7000000}">
      <text>
        <r>
          <rPr>
            <sz val="11"/>
            <rFont val="Calibri"/>
          </rPr>
          <t>The OL 8 SSH daemon must not allow Kerberos authentication, except to fulfill documented and validated mission requirements.</t>
        </r>
      </text>
    </comment>
    <comment ref="L29" authorId="0" shapeId="0" xr:uid="{00000000-0006-0000-0500-0000C8000000}">
      <text>
        <r>
          <rPr>
            <sz val="11"/>
            <rFont val="Calibri"/>
          </rPr>
          <t>The OL 8 SSH daemon must not allow GSSAPI authentication, except to fulfill documented and validated mission requirements.</t>
        </r>
      </text>
    </comment>
    <comment ref="M29" authorId="0" shapeId="0" xr:uid="{00000000-0006-0000-0500-0000C9000000}">
      <text>
        <r>
          <rPr>
            <sz val="11"/>
            <rFont val="Calibri"/>
          </rPr>
          <t>OL 8 must ensure the password complexity module is enabled in the password-auth file.</t>
        </r>
      </text>
    </comment>
    <comment ref="N29" authorId="0" shapeId="0" xr:uid="{00000000-0006-0000-0500-0000CA000000}">
      <text>
        <r>
          <rPr>
            <sz val="11"/>
            <rFont val="Calibri"/>
          </rPr>
          <t>OL 8 must enforce password complexity by requiring that at least one uppercase character be used.</t>
        </r>
      </text>
    </comment>
    <comment ref="O29" authorId="0" shapeId="0" xr:uid="{00000000-0006-0000-0500-0000CB000000}">
      <text>
        <r>
          <rPr>
            <sz val="11"/>
            <rFont val="Calibri"/>
          </rPr>
          <t>OL 8 must enforce password complexity by requiring that at least one lowercase character be used.</t>
        </r>
      </text>
    </comment>
    <comment ref="P29" authorId="0" shapeId="0" xr:uid="{00000000-0006-0000-0500-0000CC000000}">
      <text>
        <r>
          <rPr>
            <sz val="11"/>
            <rFont val="Calibri"/>
          </rPr>
          <t>OL 8 must enforce password complexity by requiring that at least one numeric character be used.</t>
        </r>
      </text>
    </comment>
    <comment ref="Q29" authorId="0" shapeId="0" xr:uid="{00000000-0006-0000-0500-0000CD000000}">
      <text>
        <r>
          <rPr>
            <sz val="11"/>
            <rFont val="Calibri"/>
          </rPr>
          <t>OL 8 must require the maximum number of repeating characters of the same character class be limited to four when passwords are changed.</t>
        </r>
      </text>
    </comment>
    <comment ref="R29" authorId="0" shapeId="0" xr:uid="{00000000-0006-0000-0500-0000CE000000}">
      <text>
        <r>
          <rPr>
            <sz val="11"/>
            <rFont val="Calibri"/>
          </rPr>
          <t>OL 8 must require the maximum number of repeating characters be limited to three when passwords are changed.</t>
        </r>
      </text>
    </comment>
    <comment ref="S29" authorId="0" shapeId="0" xr:uid="{00000000-0006-0000-0500-0000CF000000}">
      <text>
        <r>
          <rPr>
            <sz val="11"/>
            <rFont val="Calibri"/>
          </rPr>
          <t>OL 8 must require the change of at least four character classes when passwords are changed.</t>
        </r>
      </text>
    </comment>
    <comment ref="T29" authorId="0" shapeId="0" xr:uid="{00000000-0006-0000-0500-0000D0000000}">
      <text>
        <r>
          <rPr>
            <sz val="11"/>
            <rFont val="Calibri"/>
          </rPr>
          <t>OL 8 must require the change of at least eight characters when passwords are changed.</t>
        </r>
      </text>
    </comment>
    <comment ref="U29" authorId="0" shapeId="0" xr:uid="{00000000-0006-0000-0500-0000D1000000}">
      <text>
        <r>
          <rPr>
            <sz val="11"/>
            <rFont val="Calibri"/>
          </rPr>
          <t xml:space="preserve">OL 8 passwords for new users or password changes must have a 24 hours/one day minimum password lifetime restriction in </t>
        </r>
        <r>
          <rPr>
            <sz val="11"/>
            <color rgb="FF000000"/>
            <rFont val="Calibri"/>
          </rPr>
          <t>"</t>
        </r>
        <r>
          <rPr>
            <b/>
            <sz val="11"/>
            <color rgb="FF000000"/>
            <rFont val="Calibri"/>
          </rPr>
          <t>/etc/shadow</t>
        </r>
        <r>
          <rPr>
            <sz val="11"/>
            <color rgb="FF000000"/>
            <rFont val="Calibri"/>
          </rPr>
          <t>"</t>
        </r>
        <r>
          <rPr>
            <sz val="11"/>
            <color rgb="FF000000"/>
            <rFont val="Calibri"/>
          </rPr>
          <t>.</t>
        </r>
      </text>
    </comment>
    <comment ref="V29" authorId="0" shapeId="0" xr:uid="{00000000-0006-0000-0500-0000D2000000}">
      <text>
        <r>
          <rPr>
            <sz val="11"/>
            <rFont val="Calibri"/>
          </rPr>
          <t xml:space="preserve">OL 8 passwords for new users or password changes must have a 24 hours/one day minimum password lifetime restriction in </t>
        </r>
        <r>
          <rPr>
            <sz val="11"/>
            <color rgb="FF000000"/>
            <rFont val="Calibri"/>
          </rPr>
          <t>"</t>
        </r>
        <r>
          <rPr>
            <b/>
            <sz val="11"/>
            <color rgb="FF000000"/>
            <rFont val="Calibri"/>
          </rPr>
          <t>/etc/login.defs</t>
        </r>
        <r>
          <rPr>
            <sz val="11"/>
            <color rgb="FF000000"/>
            <rFont val="Calibri"/>
          </rPr>
          <t>"</t>
        </r>
        <r>
          <rPr>
            <sz val="11"/>
            <color rgb="FF000000"/>
            <rFont val="Calibri"/>
          </rPr>
          <t>.</t>
        </r>
      </text>
    </comment>
    <comment ref="W29" authorId="0" shapeId="0" xr:uid="{00000000-0006-0000-0500-0000D3000000}">
      <text>
        <r>
          <rPr>
            <sz val="11"/>
            <rFont val="Calibri"/>
          </rPr>
          <t>OL 8 user account passwords must have a 60-day maximum password lifetime restriction.</t>
        </r>
      </text>
    </comment>
    <comment ref="X29" authorId="0" shapeId="0" xr:uid="{00000000-0006-0000-0500-0000D4000000}">
      <text>
        <r>
          <rPr>
            <sz val="11"/>
            <rFont val="Calibri"/>
          </rPr>
          <t>OL 8 user account passwords must be configured so that existing passwords are restricted to a 60-day maximum lifetime.</t>
        </r>
      </text>
    </comment>
    <comment ref="Y29" authorId="0" shapeId="0" xr:uid="{00000000-0006-0000-0500-0000D5000000}">
      <text>
        <r>
          <rPr>
            <sz val="11"/>
            <rFont val="Calibri"/>
          </rPr>
          <t>OL 8 passwords must have a minimum of 15 characters.</t>
        </r>
      </text>
    </comment>
    <comment ref="Z29" authorId="0" shapeId="0" xr:uid="{00000000-0006-0000-0500-0000D6000000}">
      <text>
        <r>
          <rPr>
            <sz val="11"/>
            <rFont val="Calibri"/>
          </rPr>
          <t>All OL 8 passwords must contain at least one special character.</t>
        </r>
      </text>
    </comment>
    <comment ref="AA29" authorId="0" shapeId="0" xr:uid="{00000000-0006-0000-0500-0000D7000000}">
      <text>
        <r>
          <rPr>
            <sz val="11"/>
            <rFont val="Calibri"/>
          </rPr>
          <t>OL 8 must prevent the use of dictionary words for passwords.</t>
        </r>
      </text>
    </comment>
    <comment ref="AB29" authorId="0" shapeId="0" xr:uid="{00000000-0006-0000-0500-0000D8000000}">
      <text>
        <r>
          <rPr>
            <sz val="11"/>
            <rFont val="Calibri"/>
          </rPr>
          <t>OL 8 must not allow accounts configured with blank or null passwords.</t>
        </r>
      </text>
    </comment>
    <comment ref="AC29" authorId="0" shapeId="0" xr:uid="{00000000-0006-0000-0500-0000D9000000}">
      <text>
        <r>
          <rPr>
            <sz val="11"/>
            <rFont val="Calibri"/>
          </rPr>
          <t>OL 8 must not allow blank or null passwords in the system-auth file.</t>
        </r>
      </text>
    </comment>
    <comment ref="AD29" authorId="0" shapeId="0" xr:uid="{00000000-0006-0000-0500-0000DA000000}">
      <text>
        <r>
          <rPr>
            <sz val="11"/>
            <rFont val="Calibri"/>
          </rPr>
          <t>OL 8 must not allow blank or null passwords in the password-auth file.</t>
        </r>
      </text>
    </comment>
    <comment ref="AE29" authorId="0" shapeId="0" xr:uid="{00000000-0006-0000-0500-0000DB000000}">
      <text>
        <r>
          <rPr>
            <sz val="11"/>
            <rFont val="Calibri"/>
          </rPr>
          <t>The OL 8 operating system must not have accounts configured with blank or null passwords.</t>
        </r>
      </text>
    </comment>
    <comment ref="AF29" authorId="0" shapeId="0" xr:uid="{00000000-0006-0000-0500-0000DC000000}">
      <text>
        <r>
          <rPr>
            <sz val="11"/>
            <rFont val="Calibri"/>
          </rPr>
          <t>OL 8 must ensure the password complexity module is enabled in the system-auth file.</t>
        </r>
      </text>
    </comment>
    <comment ref="AG29" authorId="0" shapeId="0" xr:uid="{00000000-0006-0000-0500-0000DD000000}">
      <text>
        <r>
          <rPr>
            <sz val="11"/>
            <rFont val="Calibri"/>
          </rPr>
          <t>OL 8 systems below version 8.4 must ensure the password complexity module in the system-auth file is configured for three retries or less.</t>
        </r>
      </text>
    </comment>
    <comment ref="AH29" authorId="0" shapeId="0" xr:uid="{00000000-0006-0000-0500-0000DE000000}">
      <text>
        <r>
          <rPr>
            <sz val="11"/>
            <rFont val="Calibri"/>
          </rPr>
          <t>OL 8 systems below version 8.4 must ensure the password complexity module in the password-auth file is configured for three retries or less.</t>
        </r>
      </text>
    </comment>
    <comment ref="AI29" authorId="0" shapeId="0" xr:uid="{00000000-0006-0000-0500-0000DF000000}">
      <text>
        <r>
          <rPr>
            <sz val="11"/>
            <rFont val="Calibri"/>
          </rPr>
          <t>OL 8 systems, version 8.4 and above, must ensure the password complexity module is configured for three retries or less.</t>
        </r>
      </text>
    </comment>
    <comment ref="H31" authorId="0" shapeId="0" xr:uid="{00000000-0006-0000-0500-0000E0000000}">
      <text>
        <r>
          <rPr>
            <sz val="11"/>
            <rFont val="Calibri"/>
          </rPr>
          <t>OL 8 must require users to provide a password for privilege escalation.</t>
        </r>
      </text>
    </comment>
    <comment ref="I31" authorId="0" shapeId="0" xr:uid="{00000000-0006-0000-0500-0000E1000000}">
      <text>
        <r>
          <rPr>
            <sz val="11"/>
            <rFont val="Calibri"/>
          </rPr>
          <t>OL 8 must require users to reauthenticate for privilege escalation and changing roles.</t>
        </r>
      </text>
    </comment>
    <comment ref="J31" authorId="0" shapeId="0" xr:uid="{00000000-0006-0000-0500-0000E2000000}">
      <text>
        <r>
          <rPr>
            <sz val="11"/>
            <rFont val="Calibri"/>
          </rPr>
          <t>OL 8 must restrict privilege elevation to authorized personnel.</t>
        </r>
      </text>
    </comment>
    <comment ref="K31" authorId="0" shapeId="0" xr:uid="{00000000-0006-0000-0500-0000E3000000}">
      <text>
        <r>
          <rPr>
            <sz val="11"/>
            <rFont val="Calibri"/>
          </rPr>
          <t>OL 8 must use the invoking user</t>
        </r>
        <r>
          <rPr>
            <sz val="11"/>
            <color rgb="FF000000"/>
            <rFont val="Calibri"/>
          </rPr>
          <t>'</t>
        </r>
        <r>
          <rPr>
            <sz val="11"/>
            <color rgb="FF000000"/>
            <rFont val="Calibri"/>
          </rPr>
          <t xml:space="preserve">s password for privilege escalation when using </t>
        </r>
        <r>
          <rPr>
            <sz val="11"/>
            <color rgb="FF000000"/>
            <rFont val="Calibri"/>
          </rPr>
          <t>"</t>
        </r>
        <r>
          <rPr>
            <b/>
            <sz val="11"/>
            <color rgb="FF000000"/>
            <rFont val="Calibri"/>
          </rPr>
          <t>sudo</t>
        </r>
        <r>
          <rPr>
            <sz val="11"/>
            <color rgb="FF000000"/>
            <rFont val="Calibri"/>
          </rPr>
          <t>"</t>
        </r>
        <r>
          <rPr>
            <sz val="11"/>
            <color rgb="FF000000"/>
            <rFont val="Calibri"/>
          </rPr>
          <t>.</t>
        </r>
      </text>
    </comment>
    <comment ref="L31" authorId="0" shapeId="0" xr:uid="{00000000-0006-0000-0500-0000E4000000}">
      <text>
        <r>
          <rPr>
            <sz val="11"/>
            <rFont val="Calibri"/>
          </rPr>
          <t>OL 8 must not permit direct logons to the root account using remote access via SSH.</t>
        </r>
      </text>
    </comment>
    <comment ref="M31" authorId="0" shapeId="0" xr:uid="{00000000-0006-0000-0500-0000E5000000}">
      <text>
        <r>
          <rPr>
            <sz val="11"/>
            <rFont val="Calibri"/>
          </rPr>
          <t>OL 8 systems, versions 8.2 and above, must configure SELinux context type to allow the use of a non-default faillock tally directory.</t>
        </r>
      </text>
    </comment>
    <comment ref="N31" authorId="0" shapeId="0" xr:uid="{00000000-0006-0000-0500-0000E6000000}">
      <text>
        <r>
          <rPr>
            <sz val="11"/>
            <rFont val="Calibri"/>
          </rPr>
          <t>OL 8 systems below version 8.2 must configure SELinux context type to allow the use of a non-default faillock tally directory.</t>
        </r>
      </text>
    </comment>
    <comment ref="O31" authorId="0" shapeId="0" xr:uid="{00000000-0006-0000-0500-0000E7000000}">
      <text>
        <r>
          <rPr>
            <sz val="11"/>
            <rFont val="Calibri"/>
          </rPr>
          <t>The root account must be the only account having unrestricted access to the OL 8 system.</t>
        </r>
      </text>
    </comment>
    <comment ref="P31" authorId="0" shapeId="0" xr:uid="{00000000-0006-0000-0500-0000E8000000}">
      <text>
        <r>
          <rPr>
            <sz val="11"/>
            <rFont val="Calibri"/>
          </rPr>
          <t>OL 8 must prevent nonprivileged users from executing privileged functions, including disabling, circumventing, or altering implemented security safeguards/countermeasures.</t>
        </r>
      </text>
    </comment>
    <comment ref="Q31" authorId="0" shapeId="0" xr:uid="{00000000-0006-0000-0500-0000E9000000}">
      <text>
        <r>
          <rPr>
            <sz val="11"/>
            <rFont val="Calibri"/>
          </rPr>
          <t>The OL 8 operating system must not be configured to bypass password requirements for privilege escalation.</t>
        </r>
      </text>
    </comment>
    <comment ref="H32" authorId="0" shapeId="0" xr:uid="{00000000-0006-0000-0500-0000EA000000}">
      <text>
        <r>
          <rPr>
            <sz val="11"/>
            <rFont val="Calibri"/>
          </rPr>
          <t>OL 8 must use a Linux Security Module configured to enforce limits on system services.</t>
        </r>
      </text>
    </comment>
    <comment ref="I32" authorId="0" shapeId="0" xr:uid="{00000000-0006-0000-0500-0000EB000000}">
      <text>
        <r>
          <rPr>
            <sz val="11"/>
            <rFont val="Calibri"/>
          </rPr>
          <t>OL 8 must enable the SELinux targeted policy.</t>
        </r>
      </text>
    </comment>
    <comment ref="J32" authorId="0" shapeId="0" xr:uid="{00000000-0006-0000-0500-0000EC000000}">
      <text>
        <r>
          <rPr>
            <sz val="11"/>
            <rFont val="Calibri"/>
          </rPr>
          <t>OL 8 systems, versions 8.2 and above, must configure SELinux context type to allow the use of a non-default faillock tally directory.</t>
        </r>
      </text>
    </comment>
    <comment ref="K32" authorId="0" shapeId="0" xr:uid="{00000000-0006-0000-0500-0000ED000000}">
      <text>
        <r>
          <rPr>
            <sz val="11"/>
            <rFont val="Calibri"/>
          </rPr>
          <t>OL 8 systems below version 8.2 must configure SELinux context type to allow the use of a non-default faillock tally directory.</t>
        </r>
      </text>
    </comment>
    <comment ref="L32" authorId="0" shapeId="0" xr:uid="{00000000-0006-0000-0500-0000EE000000}">
      <text>
        <r>
          <rPr>
            <sz val="11"/>
            <rFont val="Calibri"/>
          </rPr>
          <t xml:space="preserve">OL 8 must restrict the use of </t>
        </r>
        <r>
          <rPr>
            <sz val="11"/>
            <color rgb="FF000000"/>
            <rFont val="Calibri"/>
          </rPr>
          <t>"</t>
        </r>
        <r>
          <rPr>
            <b/>
            <sz val="11"/>
            <color rgb="FF000000"/>
            <rFont val="Calibri"/>
          </rPr>
          <t>ptrace</t>
        </r>
        <r>
          <rPr>
            <sz val="11"/>
            <color rgb="FF000000"/>
            <rFont val="Calibri"/>
          </rPr>
          <t>"</t>
        </r>
        <r>
          <rPr>
            <sz val="11"/>
            <color rgb="FF000000"/>
            <rFont val="Calibri"/>
          </rPr>
          <t xml:space="preserve"> to descendant processes.</t>
        </r>
      </text>
    </comment>
    <comment ref="M32" authorId="0" shapeId="0" xr:uid="{00000000-0006-0000-0500-0000EF000000}">
      <text>
        <r>
          <rPr>
            <sz val="11"/>
            <rFont val="Calibri"/>
          </rPr>
          <t>OL 8 must disable the use of user namespaces.</t>
        </r>
      </text>
    </comment>
    <comment ref="H34" authorId="0" shapeId="0" xr:uid="{00000000-0006-0000-0500-0000F0000000}">
      <text>
        <r>
          <rPr>
            <sz val="11"/>
            <rFont val="Calibri"/>
          </rPr>
          <t>A sticky bit must be set on all OL 8 public directories to prevent unauthorized and unintended information transferred via shared system resources.</t>
        </r>
      </text>
    </comment>
    <comment ref="I34" authorId="0" shapeId="0" xr:uid="{00000000-0006-0000-0500-0000F1000000}">
      <text>
        <r>
          <rPr>
            <sz val="11"/>
            <rFont val="Calibri"/>
          </rPr>
          <t xml:space="preserve">The OL 8 </t>
        </r>
        <r>
          <rPr>
            <sz val="11"/>
            <color rgb="FF000000"/>
            <rFont val="Calibri"/>
          </rPr>
          <t>"</t>
        </r>
        <r>
          <rPr>
            <b/>
            <sz val="11"/>
            <color rgb="FF000000"/>
            <rFont val="Calibri"/>
          </rPr>
          <t>/var/log/messages</t>
        </r>
        <r>
          <rPr>
            <sz val="11"/>
            <color rgb="FF000000"/>
            <rFont val="Calibri"/>
          </rPr>
          <t>"</t>
        </r>
        <r>
          <rPr>
            <sz val="11"/>
            <color rgb="FF000000"/>
            <rFont val="Calibri"/>
          </rPr>
          <t xml:space="preserve"> file must have mode 0640 or less permissive.</t>
        </r>
      </text>
    </comment>
    <comment ref="J34" authorId="0" shapeId="0" xr:uid="{00000000-0006-0000-0500-0000F2000000}">
      <text>
        <r>
          <rPr>
            <sz val="11"/>
            <rFont val="Calibri"/>
          </rPr>
          <t xml:space="preserve">The OL 8 </t>
        </r>
        <r>
          <rPr>
            <sz val="11"/>
            <color rgb="FF000000"/>
            <rFont val="Calibri"/>
          </rPr>
          <t>"</t>
        </r>
        <r>
          <rPr>
            <b/>
            <sz val="11"/>
            <color rgb="FF000000"/>
            <rFont val="Calibri"/>
          </rPr>
          <t>/var/log/messages</t>
        </r>
        <r>
          <rPr>
            <sz val="11"/>
            <color rgb="FF000000"/>
            <rFont val="Calibri"/>
          </rPr>
          <t>"</t>
        </r>
        <r>
          <rPr>
            <sz val="11"/>
            <color rgb="FF000000"/>
            <rFont val="Calibri"/>
          </rPr>
          <t xml:space="preserve"> file must be owned by root.</t>
        </r>
      </text>
    </comment>
    <comment ref="K34" authorId="0" shapeId="0" xr:uid="{00000000-0006-0000-0500-0000F3000000}">
      <text>
        <r>
          <rPr>
            <sz val="11"/>
            <rFont val="Calibri"/>
          </rPr>
          <t xml:space="preserve">The OL 8 </t>
        </r>
        <r>
          <rPr>
            <sz val="11"/>
            <color rgb="FF000000"/>
            <rFont val="Calibri"/>
          </rPr>
          <t>"</t>
        </r>
        <r>
          <rPr>
            <b/>
            <sz val="11"/>
            <color rgb="FF000000"/>
            <rFont val="Calibri"/>
          </rPr>
          <t>/var/log/messages</t>
        </r>
        <r>
          <rPr>
            <sz val="11"/>
            <color rgb="FF000000"/>
            <rFont val="Calibri"/>
          </rPr>
          <t>"</t>
        </r>
        <r>
          <rPr>
            <sz val="11"/>
            <color rgb="FF000000"/>
            <rFont val="Calibri"/>
          </rPr>
          <t xml:space="preserve"> file must be group-owned by root.</t>
        </r>
      </text>
    </comment>
    <comment ref="L34" authorId="0" shapeId="0" xr:uid="{00000000-0006-0000-0500-0000F4000000}">
      <text>
        <r>
          <rPr>
            <sz val="11"/>
            <rFont val="Calibri"/>
          </rPr>
          <t xml:space="preserve">The OL 8 </t>
        </r>
        <r>
          <rPr>
            <sz val="11"/>
            <color rgb="FF000000"/>
            <rFont val="Calibri"/>
          </rPr>
          <t>"</t>
        </r>
        <r>
          <rPr>
            <b/>
            <sz val="11"/>
            <color rgb="FF000000"/>
            <rFont val="Calibri"/>
          </rPr>
          <t>/var/log</t>
        </r>
        <r>
          <rPr>
            <sz val="11"/>
            <color rgb="FF000000"/>
            <rFont val="Calibri"/>
          </rPr>
          <t>"</t>
        </r>
        <r>
          <rPr>
            <sz val="11"/>
            <color rgb="FF000000"/>
            <rFont val="Calibri"/>
          </rPr>
          <t xml:space="preserve"> directory must have mode 0755 or less permissive.</t>
        </r>
      </text>
    </comment>
    <comment ref="M34" authorId="0" shapeId="0" xr:uid="{00000000-0006-0000-0500-0000F5000000}">
      <text>
        <r>
          <rPr>
            <sz val="11"/>
            <rFont val="Calibri"/>
          </rPr>
          <t xml:space="preserve">The OL 8 </t>
        </r>
        <r>
          <rPr>
            <sz val="11"/>
            <color rgb="FF000000"/>
            <rFont val="Calibri"/>
          </rPr>
          <t>"</t>
        </r>
        <r>
          <rPr>
            <b/>
            <sz val="11"/>
            <color rgb="FF000000"/>
            <rFont val="Calibri"/>
          </rPr>
          <t>/var/log</t>
        </r>
        <r>
          <rPr>
            <sz val="11"/>
            <color rgb="FF000000"/>
            <rFont val="Calibri"/>
          </rPr>
          <t>"</t>
        </r>
        <r>
          <rPr>
            <sz val="11"/>
            <color rgb="FF000000"/>
            <rFont val="Calibri"/>
          </rPr>
          <t xml:space="preserve"> directory must be owned by root.</t>
        </r>
      </text>
    </comment>
    <comment ref="N34" authorId="0" shapeId="0" xr:uid="{00000000-0006-0000-0500-0000F6000000}">
      <text>
        <r>
          <rPr>
            <sz val="11"/>
            <rFont val="Calibri"/>
          </rPr>
          <t xml:space="preserve">The OL 8 </t>
        </r>
        <r>
          <rPr>
            <sz val="11"/>
            <color rgb="FF000000"/>
            <rFont val="Calibri"/>
          </rPr>
          <t>"</t>
        </r>
        <r>
          <rPr>
            <b/>
            <sz val="11"/>
            <color rgb="FF000000"/>
            <rFont val="Calibri"/>
          </rPr>
          <t>/var/log</t>
        </r>
        <r>
          <rPr>
            <sz val="11"/>
            <color rgb="FF000000"/>
            <rFont val="Calibri"/>
          </rPr>
          <t>"</t>
        </r>
        <r>
          <rPr>
            <sz val="11"/>
            <color rgb="FF000000"/>
            <rFont val="Calibri"/>
          </rPr>
          <t xml:space="preserve"> directory must be group-owned by root.</t>
        </r>
      </text>
    </comment>
    <comment ref="O34" authorId="0" shapeId="0" xr:uid="{00000000-0006-0000-0500-0000F7000000}">
      <text>
        <r>
          <rPr>
            <sz val="11"/>
            <rFont val="Calibri"/>
          </rPr>
          <t>OL 8 system commands must have mode 755 or less permissive.</t>
        </r>
      </text>
    </comment>
    <comment ref="P34" authorId="0" shapeId="0" xr:uid="{00000000-0006-0000-0500-0000F8000000}">
      <text>
        <r>
          <rPr>
            <sz val="11"/>
            <rFont val="Calibri"/>
          </rPr>
          <t>OL 8 system commands must be owned by root.</t>
        </r>
      </text>
    </comment>
    <comment ref="Q34" authorId="0" shapeId="0" xr:uid="{00000000-0006-0000-0500-0000F9000000}">
      <text>
        <r>
          <rPr>
            <sz val="11"/>
            <rFont val="Calibri"/>
          </rPr>
          <t>OL 8 system commands must be group-owned by root or a system account.</t>
        </r>
      </text>
    </comment>
    <comment ref="R34" authorId="0" shapeId="0" xr:uid="{00000000-0006-0000-0500-0000FA000000}">
      <text>
        <r>
          <rPr>
            <sz val="11"/>
            <rFont val="Calibri"/>
          </rPr>
          <t>OL 8 library files must have mode 755 or less permissive.</t>
        </r>
      </text>
    </comment>
    <comment ref="S34" authorId="0" shapeId="0" xr:uid="{00000000-0006-0000-0500-0000FB000000}">
      <text>
        <r>
          <rPr>
            <sz val="11"/>
            <rFont val="Calibri"/>
          </rPr>
          <t>OL 8 library files must be owned by root.</t>
        </r>
      </text>
    </comment>
    <comment ref="T34" authorId="0" shapeId="0" xr:uid="{00000000-0006-0000-0500-0000FC000000}">
      <text>
        <r>
          <rPr>
            <sz val="11"/>
            <rFont val="Calibri"/>
          </rPr>
          <t>OL 8 library files must be group-owned by root.</t>
        </r>
      </text>
    </comment>
    <comment ref="U34" authorId="0" shapeId="0" xr:uid="{00000000-0006-0000-0500-0000FD000000}">
      <text>
        <r>
          <rPr>
            <sz val="11"/>
            <rFont val="Calibri"/>
          </rPr>
          <t xml:space="preserve">The OL 8 SSH public host key files must have mode </t>
        </r>
        <r>
          <rPr>
            <sz val="11"/>
            <color rgb="FF000000"/>
            <rFont val="Calibri"/>
          </rPr>
          <t>"</t>
        </r>
        <r>
          <rPr>
            <b/>
            <sz val="11"/>
            <color rgb="FF000000"/>
            <rFont val="Calibri"/>
          </rPr>
          <t>0644</t>
        </r>
        <r>
          <rPr>
            <sz val="11"/>
            <color rgb="FF000000"/>
            <rFont val="Calibri"/>
          </rPr>
          <t>"</t>
        </r>
        <r>
          <rPr>
            <sz val="11"/>
            <color rgb="FF000000"/>
            <rFont val="Calibri"/>
          </rPr>
          <t xml:space="preserve"> or less permissive.</t>
        </r>
      </text>
    </comment>
    <comment ref="V34" authorId="0" shapeId="0" xr:uid="{00000000-0006-0000-0500-0000FE000000}">
      <text>
        <r>
          <rPr>
            <sz val="11"/>
            <rFont val="Calibri"/>
          </rPr>
          <t xml:space="preserve">The OL 8 SSH private host key files must have mode </t>
        </r>
        <r>
          <rPr>
            <sz val="11"/>
            <color rgb="FF000000"/>
            <rFont val="Calibri"/>
          </rPr>
          <t>"</t>
        </r>
        <r>
          <rPr>
            <b/>
            <sz val="11"/>
            <color rgb="FF000000"/>
            <rFont val="Calibri"/>
          </rPr>
          <t>0640</t>
        </r>
        <r>
          <rPr>
            <sz val="11"/>
            <color rgb="FF000000"/>
            <rFont val="Calibri"/>
          </rPr>
          <t>"</t>
        </r>
        <r>
          <rPr>
            <sz val="11"/>
            <color rgb="FF000000"/>
            <rFont val="Calibri"/>
          </rPr>
          <t xml:space="preserve"> or less permissive.</t>
        </r>
      </text>
    </comment>
    <comment ref="W34" authorId="0" shapeId="0" xr:uid="{00000000-0006-0000-0500-0000FF000000}">
      <text>
        <r>
          <rPr>
            <sz val="11"/>
            <rFont val="Calibri"/>
          </rPr>
          <t>The OL 8 SSH daemon must perform strict mode checking of home directory configuration files.</t>
        </r>
      </text>
    </comment>
    <comment ref="X34" authorId="0" shapeId="0" xr:uid="{00000000-0006-0000-0500-000000010000}">
      <text>
        <r>
          <rPr>
            <sz val="11"/>
            <rFont val="Calibri"/>
          </rPr>
          <t>OL 8 must prevent files with the setuid and setgid bit set from being executed on file systems that contain user home directories.</t>
        </r>
      </text>
    </comment>
    <comment ref="Y34" authorId="0" shapeId="0" xr:uid="{00000000-0006-0000-0500-000001010000}">
      <text>
        <r>
          <rPr>
            <sz val="11"/>
            <rFont val="Calibri"/>
          </rPr>
          <t>OL 8 file systems that contain user home directories must not execute binary files.</t>
        </r>
      </text>
    </comment>
    <comment ref="Z34" authorId="0" shapeId="0" xr:uid="{00000000-0006-0000-0500-000002010000}">
      <text>
        <r>
          <rPr>
            <sz val="11"/>
            <rFont val="Calibri"/>
          </rPr>
          <t>OL 8 file systems must not execute binary files that are imported via Network File System (NFS).</t>
        </r>
      </text>
    </comment>
    <comment ref="AA34" authorId="0" shapeId="0" xr:uid="{00000000-0006-0000-0500-000003010000}">
      <text>
        <r>
          <rPr>
            <sz val="11"/>
            <rFont val="Calibri"/>
          </rPr>
          <t>OL 8 file systems must not interpret character or block special devices that are imported via Network File System (NFS).</t>
        </r>
      </text>
    </comment>
    <comment ref="AB34" authorId="0" shapeId="0" xr:uid="{00000000-0006-0000-0500-000004010000}">
      <text>
        <r>
          <rPr>
            <sz val="11"/>
            <rFont val="Calibri"/>
          </rPr>
          <t>Executable search paths within the initialization files of all local interactive OL 8 users must only contain paths that resolve to the system default or the user</t>
        </r>
        <r>
          <rPr>
            <sz val="11"/>
            <color rgb="FF000000"/>
            <rFont val="Calibri"/>
          </rPr>
          <t>'</t>
        </r>
        <r>
          <rPr>
            <sz val="11"/>
            <color rgb="FF000000"/>
            <rFont val="Calibri"/>
          </rPr>
          <t>s home directory.</t>
        </r>
      </text>
    </comment>
    <comment ref="AC34" authorId="0" shapeId="0" xr:uid="{00000000-0006-0000-0500-000005010000}">
      <text>
        <r>
          <rPr>
            <sz val="11"/>
            <rFont val="Calibri"/>
          </rPr>
          <t>All OL 8 world-writable directories must be owned by root, sys, bin, or an application user.</t>
        </r>
      </text>
    </comment>
    <comment ref="AD34" authorId="0" shapeId="0" xr:uid="{00000000-0006-0000-0500-000006010000}">
      <text>
        <r>
          <rPr>
            <sz val="11"/>
            <rFont val="Calibri"/>
          </rPr>
          <t>All OL 8 world-writable directories must be group-owned by root, sys, bin, or an application group.</t>
        </r>
      </text>
    </comment>
    <comment ref="AE34" authorId="0" shapeId="0" xr:uid="{00000000-0006-0000-0500-000007010000}">
      <text>
        <r>
          <rPr>
            <sz val="11"/>
            <rFont val="Calibri"/>
          </rPr>
          <t xml:space="preserve">All OL 8 local interactive users must have a home directory assigned in the </t>
        </r>
        <r>
          <rPr>
            <sz val="11"/>
            <color rgb="FF000000"/>
            <rFont val="Calibri"/>
          </rPr>
          <t>"</t>
        </r>
        <r>
          <rPr>
            <b/>
            <sz val="11"/>
            <color rgb="FF000000"/>
            <rFont val="Calibri"/>
          </rPr>
          <t>/etc/passwd</t>
        </r>
        <r>
          <rPr>
            <sz val="11"/>
            <color rgb="FF000000"/>
            <rFont val="Calibri"/>
          </rPr>
          <t>"</t>
        </r>
        <r>
          <rPr>
            <sz val="11"/>
            <color rgb="FF000000"/>
            <rFont val="Calibri"/>
          </rPr>
          <t xml:space="preserve"> file.</t>
        </r>
      </text>
    </comment>
    <comment ref="AF34" authorId="0" shapeId="0" xr:uid="{00000000-0006-0000-0500-000008010000}">
      <text>
        <r>
          <rPr>
            <sz val="11"/>
            <rFont val="Calibri"/>
          </rPr>
          <t xml:space="preserve">All OL 8 local interactive user home directories must have mode </t>
        </r>
        <r>
          <rPr>
            <sz val="11"/>
            <color rgb="FF000000"/>
            <rFont val="Calibri"/>
          </rPr>
          <t>"</t>
        </r>
        <r>
          <rPr>
            <b/>
            <sz val="11"/>
            <color rgb="FF000000"/>
            <rFont val="Calibri"/>
          </rPr>
          <t>0750</t>
        </r>
        <r>
          <rPr>
            <sz val="11"/>
            <color rgb="FF000000"/>
            <rFont val="Calibri"/>
          </rPr>
          <t>"</t>
        </r>
        <r>
          <rPr>
            <sz val="11"/>
            <color rgb="FF000000"/>
            <rFont val="Calibri"/>
          </rPr>
          <t xml:space="preserve"> or less permissive.</t>
        </r>
      </text>
    </comment>
    <comment ref="AG34" authorId="0" shapeId="0" xr:uid="{00000000-0006-0000-0500-000009010000}">
      <text>
        <r>
          <rPr>
            <sz val="11"/>
            <rFont val="Calibri"/>
          </rPr>
          <t xml:space="preserve">All OL 8 local interactive user home directory files must have mode </t>
        </r>
        <r>
          <rPr>
            <sz val="11"/>
            <color rgb="FF000000"/>
            <rFont val="Calibri"/>
          </rPr>
          <t>"</t>
        </r>
        <r>
          <rPr>
            <b/>
            <sz val="11"/>
            <color rgb="FF000000"/>
            <rFont val="Calibri"/>
          </rPr>
          <t>0750</t>
        </r>
        <r>
          <rPr>
            <sz val="11"/>
            <color rgb="FF000000"/>
            <rFont val="Calibri"/>
          </rPr>
          <t>"</t>
        </r>
        <r>
          <rPr>
            <sz val="11"/>
            <color rgb="FF000000"/>
            <rFont val="Calibri"/>
          </rPr>
          <t xml:space="preserve"> or less permissive.</t>
        </r>
      </text>
    </comment>
    <comment ref="AH34" authorId="0" shapeId="0" xr:uid="{00000000-0006-0000-0500-00000A010000}">
      <text>
        <r>
          <rPr>
            <sz val="11"/>
            <rFont val="Calibri"/>
          </rPr>
          <t>All OL 8 local interactive user home directories must be group-owned by the home directory owner</t>
        </r>
        <r>
          <rPr>
            <sz val="11"/>
            <color rgb="FF000000"/>
            <rFont val="Calibri"/>
          </rPr>
          <t>'</t>
        </r>
        <r>
          <rPr>
            <sz val="11"/>
            <color rgb="FF000000"/>
            <rFont val="Calibri"/>
          </rPr>
          <t>s primary group.</t>
        </r>
      </text>
    </comment>
    <comment ref="AI34" authorId="0" shapeId="0" xr:uid="{00000000-0006-0000-0500-00000B010000}">
      <text>
        <r>
          <rPr>
            <sz val="11"/>
            <rFont val="Calibri"/>
          </rPr>
          <t>OL 8 must be configured so that all files and directories contained in local interactive user home directories are group-owned by a group of which the home directory owner is a member.</t>
        </r>
      </text>
    </comment>
    <comment ref="AJ34" authorId="0" shapeId="0" xr:uid="{00000000-0006-0000-0500-00000C010000}">
      <text>
        <r>
          <rPr>
            <sz val="11"/>
            <rFont val="Calibri"/>
          </rPr>
          <t xml:space="preserve">All OL 8 local interactive user home directories defined in the </t>
        </r>
        <r>
          <rPr>
            <sz val="11"/>
            <color rgb="FF000000"/>
            <rFont val="Calibri"/>
          </rPr>
          <t>"</t>
        </r>
        <r>
          <rPr>
            <b/>
            <sz val="11"/>
            <color rgb="FF000000"/>
            <rFont val="Calibri"/>
          </rPr>
          <t>/etc/passwd</t>
        </r>
        <r>
          <rPr>
            <sz val="11"/>
            <color rgb="FF000000"/>
            <rFont val="Calibri"/>
          </rPr>
          <t>"</t>
        </r>
        <r>
          <rPr>
            <sz val="11"/>
            <color rgb="FF000000"/>
            <rFont val="Calibri"/>
          </rPr>
          <t xml:space="preserve"> file must exist.</t>
        </r>
      </text>
    </comment>
    <comment ref="AK34" authorId="0" shapeId="0" xr:uid="{00000000-0006-0000-0500-00000D010000}">
      <text>
        <r>
          <rPr>
            <sz val="11"/>
            <rFont val="Calibri"/>
          </rPr>
          <t>All OL 8 local interactive user accounts must be assigned a home directory upon creation.</t>
        </r>
      </text>
    </comment>
    <comment ref="AL34" authorId="0" shapeId="0" xr:uid="{00000000-0006-0000-0500-00000E010000}">
      <text>
        <r>
          <rPr>
            <sz val="11"/>
            <rFont val="Calibri"/>
          </rPr>
          <t xml:space="preserve">All OL 8 local initialization files must have mode </t>
        </r>
        <r>
          <rPr>
            <sz val="11"/>
            <color rgb="FF000000"/>
            <rFont val="Calibri"/>
          </rPr>
          <t>"</t>
        </r>
        <r>
          <rPr>
            <b/>
            <sz val="11"/>
            <color rgb="FF000000"/>
            <rFont val="Calibri"/>
          </rPr>
          <t>0740</t>
        </r>
        <r>
          <rPr>
            <sz val="11"/>
            <color rgb="FF000000"/>
            <rFont val="Calibri"/>
          </rPr>
          <t>"</t>
        </r>
        <r>
          <rPr>
            <sz val="11"/>
            <color rgb="FF000000"/>
            <rFont val="Calibri"/>
          </rPr>
          <t xml:space="preserve"> or less permissive.</t>
        </r>
      </text>
    </comment>
    <comment ref="AM34" authorId="0" shapeId="0" xr:uid="{00000000-0006-0000-0500-00000F010000}">
      <text>
        <r>
          <rPr>
            <sz val="11"/>
            <rFont val="Calibri"/>
          </rPr>
          <t>All OL 8 files and directories must have a valid owner.</t>
        </r>
      </text>
    </comment>
    <comment ref="AN34" authorId="0" shapeId="0" xr:uid="{00000000-0006-0000-0500-000010010000}">
      <text>
        <r>
          <rPr>
            <sz val="11"/>
            <rFont val="Calibri"/>
          </rPr>
          <t>All OL 8 files and directories must have a valid group owner.</t>
        </r>
      </text>
    </comment>
    <comment ref="AO34" authorId="0" shapeId="0" xr:uid="{00000000-0006-0000-0500-000011010000}">
      <text>
        <r>
          <rPr>
            <sz val="11"/>
            <rFont val="Calibri"/>
          </rPr>
          <t xml:space="preserve">A separate OL 8 filesystem must be used for user home directories (such as </t>
        </r>
        <r>
          <rPr>
            <sz val="11"/>
            <color rgb="FF000000"/>
            <rFont val="Calibri"/>
          </rPr>
          <t>"</t>
        </r>
        <r>
          <rPr>
            <b/>
            <sz val="11"/>
            <color rgb="FF000000"/>
            <rFont val="Calibri"/>
          </rPr>
          <t>/home</t>
        </r>
        <r>
          <rPr>
            <sz val="11"/>
            <color rgb="FF000000"/>
            <rFont val="Calibri"/>
          </rPr>
          <t>"</t>
        </r>
        <r>
          <rPr>
            <sz val="11"/>
            <color rgb="FF000000"/>
            <rFont val="Calibri"/>
          </rPr>
          <t xml:space="preserve"> or an equivalent).</t>
        </r>
      </text>
    </comment>
    <comment ref="AP34" authorId="0" shapeId="0" xr:uid="{00000000-0006-0000-0500-000012010000}">
      <text>
        <r>
          <rPr>
            <sz val="11"/>
            <rFont val="Calibri"/>
          </rPr>
          <t>OL 8 default permissions must be defined in such a way that all authenticated users can read and modify only their own files.</t>
        </r>
      </text>
    </comment>
    <comment ref="AQ34" authorId="0" shapeId="0" xr:uid="{00000000-0006-0000-0500-000013010000}">
      <text>
        <r>
          <rPr>
            <sz val="11"/>
            <rFont val="Calibri"/>
          </rPr>
          <t>OL 8 must set the umask value to 077 for all local interactive user accounts.</t>
        </r>
      </text>
    </comment>
    <comment ref="AR34" authorId="0" shapeId="0" xr:uid="{00000000-0006-0000-0500-000014010000}">
      <text>
        <r>
          <rPr>
            <sz val="11"/>
            <rFont val="Calibri"/>
          </rPr>
          <t>OL 8 must define default permissions for logon and non-logon shells.</t>
        </r>
      </text>
    </comment>
    <comment ref="AS34" authorId="0" shapeId="0" xr:uid="{00000000-0006-0000-0500-000015010000}">
      <text>
        <r>
          <rPr>
            <sz val="11"/>
            <rFont val="Calibri"/>
          </rPr>
          <t xml:space="preserve">OL 8 audit logs must have a mode of </t>
        </r>
        <r>
          <rPr>
            <sz val="11"/>
            <color rgb="FF000000"/>
            <rFont val="Calibri"/>
          </rPr>
          <t>"</t>
        </r>
        <r>
          <rPr>
            <b/>
            <sz val="11"/>
            <color rgb="FF000000"/>
            <rFont val="Calibri"/>
          </rPr>
          <t>0600</t>
        </r>
        <r>
          <rPr>
            <sz val="11"/>
            <color rgb="FF000000"/>
            <rFont val="Calibri"/>
          </rPr>
          <t>"</t>
        </r>
        <r>
          <rPr>
            <sz val="11"/>
            <color rgb="FF000000"/>
            <rFont val="Calibri"/>
          </rPr>
          <t xml:space="preserve"> or less permissive to prevent unauthorized read access.</t>
        </r>
      </text>
    </comment>
    <comment ref="AT34" authorId="0" shapeId="0" xr:uid="{00000000-0006-0000-0500-000016010000}">
      <text>
        <r>
          <rPr>
            <sz val="11"/>
            <rFont val="Calibri"/>
          </rPr>
          <t>OL 8 audit logs must be owned by root to prevent unauthorized read access.</t>
        </r>
      </text>
    </comment>
    <comment ref="AU34" authorId="0" shapeId="0" xr:uid="{00000000-0006-0000-0500-000017010000}">
      <text>
        <r>
          <rPr>
            <sz val="11"/>
            <rFont val="Calibri"/>
          </rPr>
          <t>OL 8 audit logs must be group-owned by root to prevent unauthorized read access.</t>
        </r>
      </text>
    </comment>
    <comment ref="H41" authorId="0" shapeId="0" xr:uid="{00000000-0006-0000-0500-000018010000}">
      <text>
        <r>
          <rPr>
            <sz val="11"/>
            <rFont val="Calibri"/>
          </rPr>
          <t>OL 8 must be a vendor-supported release.</t>
        </r>
      </text>
    </comment>
    <comment ref="I41" authorId="0" shapeId="0" xr:uid="{00000000-0006-0000-0500-000019010000}">
      <text>
        <r>
          <rPr>
            <sz val="11"/>
            <rFont val="Calibri"/>
          </rPr>
          <t>OL 8 vendor-packaged system security patches and updates must be installed and up to date.</t>
        </r>
      </text>
    </comment>
    <comment ref="J41" authorId="0" shapeId="0" xr:uid="{00000000-0006-0000-0500-00001A010000}">
      <text>
        <r>
          <rPr>
            <sz val="11"/>
            <rFont val="Calibri"/>
          </rPr>
          <t xml:space="preserve">OL 8 must have the </t>
        </r>
        <r>
          <rPr>
            <sz val="11"/>
            <color rgb="FF000000"/>
            <rFont val="Calibri"/>
          </rPr>
          <t>"</t>
        </r>
        <r>
          <rPr>
            <b/>
            <sz val="11"/>
            <color rgb="FF000000"/>
            <rFont val="Calibri"/>
          </rPr>
          <t>policycoreutils</t>
        </r>
        <r>
          <rPr>
            <sz val="11"/>
            <color rgb="FF000000"/>
            <rFont val="Calibri"/>
          </rPr>
          <t>"</t>
        </r>
        <r>
          <rPr>
            <sz val="11"/>
            <color rgb="FF000000"/>
            <rFont val="Calibri"/>
          </rPr>
          <t xml:space="preserve"> package installed.</t>
        </r>
      </text>
    </comment>
    <comment ref="H43" authorId="0" shapeId="0" xr:uid="{00000000-0006-0000-0500-00001B010000}">
      <text>
        <r>
          <rPr>
            <sz val="11"/>
            <rFont val="Calibri"/>
          </rPr>
          <t>OL 8 temporary user accounts must be provisioned with an expiration time of 72 hours or less.</t>
        </r>
      </text>
    </comment>
    <comment ref="I43" authorId="0" shapeId="0" xr:uid="{00000000-0006-0000-0500-00001C010000}">
      <text>
        <r>
          <rPr>
            <sz val="11"/>
            <rFont val="Calibri"/>
          </rPr>
          <t>OL 8 must map the authenticated identity to the user or group account for PKI-based authentication.</t>
        </r>
      </text>
    </comment>
    <comment ref="J43" authorId="0" shapeId="0" xr:uid="{00000000-0006-0000-0500-00001D010000}">
      <text>
        <r>
          <rPr>
            <sz val="11"/>
            <rFont val="Calibri"/>
          </rPr>
          <t>OL 8 duplicate User IDs (UIDs) must not exist for interactive users.</t>
        </r>
      </text>
    </comment>
    <comment ref="K43" authorId="0" shapeId="0" xr:uid="{00000000-0006-0000-0500-00001E010000}">
      <text>
        <r>
          <rPr>
            <sz val="11"/>
            <rFont val="Calibri"/>
          </rPr>
          <t>The OL 8 system-auth file must disable access to the system for account identifiers (individuals, groups, roles, and devices) with 35 days of inactivity.</t>
        </r>
      </text>
    </comment>
    <comment ref="L43" authorId="0" shapeId="0" xr:uid="{00000000-0006-0000-0500-00001F010000}">
      <text>
        <r>
          <rPr>
            <sz val="11"/>
            <rFont val="Calibri"/>
          </rPr>
          <t>The OL 8 password-auth file must disable access to the system for account identifiers (individuals, groups, roles, and devices) with 35 days of inactivity.</t>
        </r>
      </text>
    </comment>
    <comment ref="M43" authorId="0" shapeId="0" xr:uid="{00000000-0006-0000-0500-000020010000}">
      <text>
        <r>
          <rPr>
            <sz val="11"/>
            <rFont val="Calibri"/>
          </rPr>
          <t>OL 8 must automatically expire temporary accounts within 72 hours.</t>
        </r>
      </text>
    </comment>
    <comment ref="N43" authorId="0" shapeId="0" xr:uid="{00000000-0006-0000-0500-000021010000}">
      <text>
        <r>
          <rPr>
            <sz val="11"/>
            <rFont val="Calibri"/>
          </rPr>
          <t>OL 8 must not have unnecessary accounts.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600-000001000000}">
      <text>
        <r>
          <rPr>
            <sz val="11"/>
            <rFont val="Calibri"/>
          </rPr>
          <t>OL 8 temporary user accounts must be provisioned with an expiration time of 72 hours or less.</t>
        </r>
      </text>
    </comment>
    <comment ref="K3" authorId="0" shapeId="0" xr:uid="{00000000-0006-0000-0600-000006000000}">
      <text>
        <r>
          <rPr>
            <sz val="11"/>
            <rFont val="Calibri"/>
          </rPr>
          <t>OL 8 duplicate User IDs (UIDs) must not exist for interactive users.</t>
        </r>
      </text>
    </comment>
    <comment ref="L3" authorId="0" shapeId="0" xr:uid="{00000000-0006-0000-0600-000002000000}">
      <text>
        <r>
          <rPr>
            <sz val="11"/>
            <rFont val="Calibri"/>
          </rPr>
          <t>The OL 8 system-auth file must disable access to the system for account identifiers (individuals, groups, roles, and devices) with 35 days of inactivity.</t>
        </r>
      </text>
    </comment>
    <comment ref="M3" authorId="0" shapeId="0" xr:uid="{00000000-0006-0000-0600-000003000000}">
      <text>
        <r>
          <rPr>
            <sz val="11"/>
            <rFont val="Calibri"/>
          </rPr>
          <t>The OL 8 password-auth file must disable access to the system for account identifiers (individuals, groups, roles, and devices) with 35 days of inactivity.</t>
        </r>
      </text>
    </comment>
    <comment ref="N3" authorId="0" shapeId="0" xr:uid="{00000000-0006-0000-0600-000004000000}">
      <text>
        <r>
          <rPr>
            <sz val="11"/>
            <rFont val="Calibri"/>
          </rPr>
          <t>OL 8 must automatically expire temporary accounts within 72 hours.</t>
        </r>
      </text>
    </comment>
    <comment ref="O3" authorId="0" shapeId="0" xr:uid="{00000000-0006-0000-0600-000005000000}">
      <text>
        <r>
          <rPr>
            <sz val="11"/>
            <rFont val="Calibri"/>
          </rPr>
          <t>OL 8 must not have unnecessary accounts.</t>
        </r>
      </text>
    </comment>
    <comment ref="J4" authorId="0" shapeId="0" xr:uid="{00000000-0006-0000-0600-000007000000}">
      <text>
        <r>
          <rPr>
            <sz val="11"/>
            <rFont val="Calibri"/>
          </rPr>
          <t>OL 8 must use a Linux Security Module configured to enforce limits on system services.</t>
        </r>
      </text>
    </comment>
    <comment ref="K4" authorId="0" shapeId="0" xr:uid="{00000000-0006-0000-0600-000008000000}">
      <text>
        <r>
          <rPr>
            <sz val="11"/>
            <rFont val="Calibri"/>
          </rPr>
          <t>OL 8 must enable the SELinux targeted policy.</t>
        </r>
      </text>
    </comment>
    <comment ref="L4" authorId="0" shapeId="0" xr:uid="{00000000-0006-0000-0600-000009000000}">
      <text>
        <r>
          <rPr>
            <sz val="11"/>
            <rFont val="Calibri"/>
          </rPr>
          <t>OL 8 systems, versions 8.2 and above, must configure SELinux context type to allow the use of a non-default faillock tally directory.</t>
        </r>
      </text>
    </comment>
    <comment ref="M4" authorId="0" shapeId="0" xr:uid="{00000000-0006-0000-0600-00000A000000}">
      <text>
        <r>
          <rPr>
            <sz val="11"/>
            <rFont val="Calibri"/>
          </rPr>
          <t>OL 8 systems below version 8.2 must configure SELinux context type to allow the use of a non-default faillock tally directory.</t>
        </r>
      </text>
    </comment>
    <comment ref="J8" authorId="0" shapeId="0" xr:uid="{00000000-0006-0000-0600-00000B000000}">
      <text>
        <r>
          <rPr>
            <sz val="11"/>
            <rFont val="Calibri"/>
          </rPr>
          <t>OL 8 must require users to provide a password for privilege escalation.</t>
        </r>
      </text>
    </comment>
    <comment ref="K8" authorId="0" shapeId="0" xr:uid="{00000000-0006-0000-0600-000010000000}">
      <text>
        <r>
          <rPr>
            <sz val="11"/>
            <rFont val="Calibri"/>
          </rPr>
          <t>OL 8 must require users to reauthenticate for privilege escalation and changing roles.</t>
        </r>
      </text>
    </comment>
    <comment ref="L8" authorId="0" shapeId="0" xr:uid="{00000000-0006-0000-0600-000011000000}">
      <text>
        <r>
          <rPr>
            <sz val="11"/>
            <rFont val="Calibri"/>
          </rPr>
          <t>OL 8 must restrict privilege elevation to authorized personnel.</t>
        </r>
      </text>
    </comment>
    <comment ref="M8" authorId="0" shapeId="0" xr:uid="{00000000-0006-0000-0600-000012000000}">
      <text>
        <r>
          <rPr>
            <sz val="11"/>
            <rFont val="Calibri"/>
          </rPr>
          <t>OL 8 must use the invoking user</t>
        </r>
        <r>
          <rPr>
            <sz val="11"/>
            <color rgb="FF000000"/>
            <rFont val="Calibri"/>
          </rPr>
          <t>'</t>
        </r>
        <r>
          <rPr>
            <sz val="11"/>
            <color rgb="FF000000"/>
            <rFont val="Calibri"/>
          </rPr>
          <t xml:space="preserve">s password for privilege escalation when using </t>
        </r>
        <r>
          <rPr>
            <sz val="11"/>
            <color rgb="FF000000"/>
            <rFont val="Calibri"/>
          </rPr>
          <t>"</t>
        </r>
        <r>
          <rPr>
            <b/>
            <sz val="11"/>
            <color rgb="FF000000"/>
            <rFont val="Calibri"/>
          </rPr>
          <t>sudo</t>
        </r>
        <r>
          <rPr>
            <sz val="11"/>
            <color rgb="FF000000"/>
            <rFont val="Calibri"/>
          </rPr>
          <t>"</t>
        </r>
        <r>
          <rPr>
            <sz val="11"/>
            <color rgb="FF000000"/>
            <rFont val="Calibri"/>
          </rPr>
          <t>.</t>
        </r>
      </text>
    </comment>
    <comment ref="N8" authorId="0" shapeId="0" xr:uid="{00000000-0006-0000-0600-000013000000}">
      <text>
        <r>
          <rPr>
            <sz val="11"/>
            <rFont val="Calibri"/>
          </rPr>
          <t>OL 8 must not permit direct logons to the root account using remote access via SSH.</t>
        </r>
      </text>
    </comment>
    <comment ref="O8" authorId="0" shapeId="0" xr:uid="{00000000-0006-0000-0600-000014000000}">
      <text>
        <r>
          <rPr>
            <sz val="11"/>
            <rFont val="Calibri"/>
          </rPr>
          <t>The root account must be the only account having unrestricted access to the OL 8 system.</t>
        </r>
      </text>
    </comment>
    <comment ref="P8" authorId="0" shapeId="0" xr:uid="{00000000-0006-0000-0600-00000C000000}">
      <text>
        <r>
          <rPr>
            <sz val="11"/>
            <rFont val="Calibri"/>
          </rPr>
          <t xml:space="preserve">OL 8 must restrict the use of </t>
        </r>
        <r>
          <rPr>
            <sz val="11"/>
            <color rgb="FF000000"/>
            <rFont val="Calibri"/>
          </rPr>
          <t>"</t>
        </r>
        <r>
          <rPr>
            <b/>
            <sz val="11"/>
            <color rgb="FF000000"/>
            <rFont val="Calibri"/>
          </rPr>
          <t>ptrace</t>
        </r>
        <r>
          <rPr>
            <sz val="11"/>
            <color rgb="FF000000"/>
            <rFont val="Calibri"/>
          </rPr>
          <t>"</t>
        </r>
        <r>
          <rPr>
            <sz val="11"/>
            <color rgb="FF000000"/>
            <rFont val="Calibri"/>
          </rPr>
          <t xml:space="preserve"> to descendant processes.</t>
        </r>
      </text>
    </comment>
    <comment ref="Q8" authorId="0" shapeId="0" xr:uid="{00000000-0006-0000-0600-00000D000000}">
      <text>
        <r>
          <rPr>
            <sz val="11"/>
            <rFont val="Calibri"/>
          </rPr>
          <t>OL 8 must prevent nonprivileged users from executing privileged functions, including disabling, circumventing, or altering implemented security safeguards/countermeasures.</t>
        </r>
      </text>
    </comment>
    <comment ref="R8" authorId="0" shapeId="0" xr:uid="{00000000-0006-0000-0600-00000E000000}">
      <text>
        <r>
          <rPr>
            <sz val="11"/>
            <rFont val="Calibri"/>
          </rPr>
          <t xml:space="preserve">OL 8 must specify the default </t>
        </r>
        <r>
          <rPr>
            <sz val="11"/>
            <color rgb="FF000000"/>
            <rFont val="Calibri"/>
          </rPr>
          <t>"</t>
        </r>
        <r>
          <rPr>
            <b/>
            <sz val="11"/>
            <color rgb="FF000000"/>
            <rFont val="Calibri"/>
          </rPr>
          <t>include</t>
        </r>
        <r>
          <rPr>
            <sz val="11"/>
            <color rgb="FF000000"/>
            <rFont val="Calibri"/>
          </rPr>
          <t>"</t>
        </r>
        <r>
          <rPr>
            <sz val="11"/>
            <color rgb="FF000000"/>
            <rFont val="Calibri"/>
          </rPr>
          <t xml:space="preserve"> directory for the /etc/sudoers file.</t>
        </r>
      </text>
    </comment>
    <comment ref="S8" authorId="0" shapeId="0" xr:uid="{00000000-0006-0000-0600-00000F000000}">
      <text>
        <r>
          <rPr>
            <sz val="11"/>
            <rFont val="Calibri"/>
          </rPr>
          <t>The OL 8 operating system must not be configured to bypass password requirements for privilege escalation.</t>
        </r>
      </text>
    </comment>
    <comment ref="J9" authorId="0" shapeId="0" xr:uid="{00000000-0006-0000-0600-000015000000}">
      <text>
        <r>
          <rPr>
            <sz val="11"/>
            <rFont val="Calibri"/>
          </rPr>
          <t>OL 8 must require users to provide a password for privilege escalation.</t>
        </r>
      </text>
    </comment>
    <comment ref="K9" authorId="0" shapeId="0" xr:uid="{00000000-0006-0000-0600-000016000000}">
      <text>
        <r>
          <rPr>
            <sz val="11"/>
            <rFont val="Calibri"/>
          </rPr>
          <t>OL 8 must require users to reauthenticate for privilege escalation and changing roles.</t>
        </r>
      </text>
    </comment>
    <comment ref="L9" authorId="0" shapeId="0" xr:uid="{00000000-0006-0000-0600-000017000000}">
      <text>
        <r>
          <rPr>
            <sz val="11"/>
            <rFont val="Calibri"/>
          </rPr>
          <t>OL 8 must restrict privilege elevation to authorized personnel.</t>
        </r>
      </text>
    </comment>
    <comment ref="M9" authorId="0" shapeId="0" xr:uid="{00000000-0006-0000-0600-000018000000}">
      <text>
        <r>
          <rPr>
            <sz val="11"/>
            <rFont val="Calibri"/>
          </rPr>
          <t>OL 8 must use the invoking user</t>
        </r>
        <r>
          <rPr>
            <sz val="11"/>
            <color rgb="FF000000"/>
            <rFont val="Calibri"/>
          </rPr>
          <t>'</t>
        </r>
        <r>
          <rPr>
            <sz val="11"/>
            <color rgb="FF000000"/>
            <rFont val="Calibri"/>
          </rPr>
          <t xml:space="preserve">s password for privilege escalation when using </t>
        </r>
        <r>
          <rPr>
            <sz val="11"/>
            <color rgb="FF000000"/>
            <rFont val="Calibri"/>
          </rPr>
          <t>"</t>
        </r>
        <r>
          <rPr>
            <b/>
            <sz val="11"/>
            <color rgb="FF000000"/>
            <rFont val="Calibri"/>
          </rPr>
          <t>sudo</t>
        </r>
        <r>
          <rPr>
            <sz val="11"/>
            <color rgb="FF000000"/>
            <rFont val="Calibri"/>
          </rPr>
          <t>"</t>
        </r>
        <r>
          <rPr>
            <sz val="11"/>
            <color rgb="FF000000"/>
            <rFont val="Calibri"/>
          </rPr>
          <t>.</t>
        </r>
      </text>
    </comment>
    <comment ref="N9" authorId="0" shapeId="0" xr:uid="{00000000-0006-0000-0600-000019000000}">
      <text>
        <r>
          <rPr>
            <sz val="11"/>
            <rFont val="Calibri"/>
          </rPr>
          <t>The OL 8 audit system must be configured to audit the execution of privileged functions and prevent all software from executing at higher privilege levels than users executing the software.</t>
        </r>
      </text>
    </comment>
    <comment ref="O9" authorId="0" shapeId="0" xr:uid="{00000000-0006-0000-0600-00001A000000}">
      <text>
        <r>
          <rPr>
            <sz val="11"/>
            <rFont val="Calibri"/>
          </rPr>
          <t>OL 8 must prevent nonprivileged users from executing privileged functions, including disabling, circumventing, or altering implemented security safeguards/countermeasures.</t>
        </r>
      </text>
    </comment>
    <comment ref="P9" authorId="0" shapeId="0" xr:uid="{00000000-0006-0000-0600-00001B000000}">
      <text>
        <r>
          <rPr>
            <sz val="11"/>
            <rFont val="Calibri"/>
          </rPr>
          <t xml:space="preserve">OL 8 must specify the default </t>
        </r>
        <r>
          <rPr>
            <sz val="11"/>
            <color rgb="FF000000"/>
            <rFont val="Calibri"/>
          </rPr>
          <t>"</t>
        </r>
        <r>
          <rPr>
            <b/>
            <sz val="11"/>
            <color rgb="FF000000"/>
            <rFont val="Calibri"/>
          </rPr>
          <t>include</t>
        </r>
        <r>
          <rPr>
            <sz val="11"/>
            <color rgb="FF000000"/>
            <rFont val="Calibri"/>
          </rPr>
          <t>"</t>
        </r>
        <r>
          <rPr>
            <sz val="11"/>
            <color rgb="FF000000"/>
            <rFont val="Calibri"/>
          </rPr>
          <t xml:space="preserve"> directory for the /etc/sudoers file.</t>
        </r>
      </text>
    </comment>
    <comment ref="Q9" authorId="0" shapeId="0" xr:uid="{00000000-0006-0000-0600-00001C000000}">
      <text>
        <r>
          <rPr>
            <sz val="11"/>
            <rFont val="Calibri"/>
          </rPr>
          <t>The OL 8 operating system must not be configured to bypass password requirements for privilege escalation.</t>
        </r>
      </text>
    </comment>
    <comment ref="J10" authorId="0" shapeId="0" xr:uid="{00000000-0006-0000-0600-00001D000000}">
      <text>
        <r>
          <rPr>
            <sz val="11"/>
            <rFont val="Calibri"/>
          </rPr>
          <t>OL 8 systems below version 8.2 must automatically lock an account when three unsuccessful logon attempts occur.</t>
        </r>
      </text>
    </comment>
    <comment ref="K10" authorId="0" shapeId="0" xr:uid="{00000000-0006-0000-0600-000021000000}">
      <text>
        <r>
          <rPr>
            <sz val="11"/>
            <rFont val="Calibri"/>
          </rPr>
          <t>OL 8 systems, versions 8.2 and above, must automatically lock an account when three unsuccessful logon attempts occur.</t>
        </r>
      </text>
    </comment>
    <comment ref="L10" authorId="0" shapeId="0" xr:uid="{00000000-0006-0000-0600-000022000000}">
      <text>
        <r>
          <rPr>
            <sz val="11"/>
            <rFont val="Calibri"/>
          </rPr>
          <t>OL 8 systems below version 8.2 must automatically lock an account when three unsuccessful logon attempts occur during a 15-minute time period.</t>
        </r>
      </text>
    </comment>
    <comment ref="M10" authorId="0" shapeId="0" xr:uid="{00000000-0006-0000-0600-000023000000}">
      <text>
        <r>
          <rPr>
            <sz val="11"/>
            <rFont val="Calibri"/>
          </rPr>
          <t>OL 8 systems, versions 8.2 and above, must automatically lock an account when three unsuccessful logon attempts occur during a 15-minute time period.</t>
        </r>
      </text>
    </comment>
    <comment ref="N10" authorId="0" shapeId="0" xr:uid="{00000000-0006-0000-0600-000024000000}">
      <text>
        <r>
          <rPr>
            <sz val="11"/>
            <rFont val="Calibri"/>
          </rPr>
          <t>OL 8 systems below version 8.2 must automatically lock an account until the locked account is released by an administrator when three unsuccessful logon attempts occur during a 15-minute time period.</t>
        </r>
      </text>
    </comment>
    <comment ref="O10" authorId="0" shapeId="0" xr:uid="{00000000-0006-0000-0600-000025000000}">
      <text>
        <r>
          <rPr>
            <sz val="11"/>
            <rFont val="Calibri"/>
          </rPr>
          <t>OL 8 systems, versions 8.2 and above, must automatically lock an account until the locked account is released by an administrator when three unsuccessful logon attempts occur during a 15-minute time period.</t>
        </r>
      </text>
    </comment>
    <comment ref="P10" authorId="0" shapeId="0" xr:uid="{00000000-0006-0000-0600-000026000000}">
      <text>
        <r>
          <rPr>
            <sz val="11"/>
            <rFont val="Calibri"/>
          </rPr>
          <t>OL 8 systems below version 8.2 must ensure account lockouts persist.</t>
        </r>
      </text>
    </comment>
    <comment ref="Q10" authorId="0" shapeId="0" xr:uid="{00000000-0006-0000-0600-000027000000}">
      <text>
        <r>
          <rPr>
            <sz val="11"/>
            <rFont val="Calibri"/>
          </rPr>
          <t>OL 8 systems, versions 8.2 and above, must ensure account lockouts persist.</t>
        </r>
      </text>
    </comment>
    <comment ref="R10" authorId="0" shapeId="0" xr:uid="{00000000-0006-0000-0600-000028000000}">
      <text>
        <r>
          <rPr>
            <sz val="11"/>
            <rFont val="Calibri"/>
          </rPr>
          <t>OL 8 systems below version 8.2 must include root when automatically locking an account until the locked account is released by an administrator when three unsuccessful logon attempts occur during a 15-minute time period.</t>
        </r>
      </text>
    </comment>
    <comment ref="S10" authorId="0" shapeId="0" xr:uid="{00000000-0006-0000-0600-000029000000}">
      <text>
        <r>
          <rPr>
            <sz val="11"/>
            <rFont val="Calibri"/>
          </rPr>
          <t>OL 8 systems, versions 8.2 and above, must include root when automatically locking an account until the locked account is released by an administrator when three unsuccessful logon attempts occur during a 15-minute time period.</t>
        </r>
      </text>
    </comment>
    <comment ref="T10" authorId="0" shapeId="0" xr:uid="{00000000-0006-0000-0600-00001E000000}">
      <text>
        <r>
          <rPr>
            <sz val="11"/>
            <rFont val="Calibri"/>
          </rPr>
          <t>OL 8 must configure the use of the pam_faillock.so module in the /etc/pam.d/system-auth file.</t>
        </r>
      </text>
    </comment>
    <comment ref="U10" authorId="0" shapeId="0" xr:uid="{00000000-0006-0000-0600-00001F000000}">
      <text>
        <r>
          <rPr>
            <sz val="11"/>
            <rFont val="Calibri"/>
          </rPr>
          <t>OL 8 must configure the use of the pam_faillock.so module in the /etc/pam.d/password-auth file.</t>
        </r>
      </text>
    </comment>
    <comment ref="V10" authorId="0" shapeId="0" xr:uid="{00000000-0006-0000-0600-000020000000}">
      <text>
        <r>
          <rPr>
            <sz val="11"/>
            <rFont val="Calibri"/>
          </rPr>
          <t>OL 8 must enforce a delay of at least four seconds between logon prompts following a failed logon attempt.</t>
        </r>
      </text>
    </comment>
    <comment ref="J11" authorId="0" shapeId="0" xr:uid="{00000000-0006-0000-0600-00002A000000}">
      <text>
        <r>
          <rPr>
            <sz val="11"/>
            <rFont val="Calibri"/>
          </rPr>
          <t>OL 8 must display the Standard Mandatory DOD Notice and Consent Banner before granting local or remote access to the system via an SSH logon.</t>
        </r>
      </text>
    </comment>
    <comment ref="K11" authorId="0" shapeId="0" xr:uid="{00000000-0006-0000-0600-00002B000000}">
      <text>
        <r>
          <rPr>
            <sz val="11"/>
            <rFont val="Calibri"/>
          </rPr>
          <t>OL 8 must display the Standard Mandatory DoD Notice and Consent Banner before granting local or remote access to the system via a graphical user logon.</t>
        </r>
      </text>
    </comment>
    <comment ref="L11" authorId="0" shapeId="0" xr:uid="{00000000-0006-0000-0600-00002C000000}">
      <text>
        <r>
          <rPr>
            <sz val="11"/>
            <rFont val="Calibri"/>
          </rPr>
          <t>OL 8 must display the Standard Mandatory DoD Notice and Consent Banner before granting local or remote access to the system via a command line user logon.</t>
        </r>
      </text>
    </comment>
    <comment ref="J12" authorId="0" shapeId="0" xr:uid="{00000000-0006-0000-0600-00002D000000}">
      <text>
        <r>
          <rPr>
            <sz val="11"/>
            <rFont val="Calibri"/>
          </rPr>
          <t>OL 8 must limit the number of concurrent sessions to 10 for all accounts and/or account types.</t>
        </r>
      </text>
    </comment>
    <comment ref="K12" authorId="0" shapeId="0" xr:uid="{00000000-0006-0000-0600-00002E000000}">
      <text>
        <r>
          <rPr>
            <sz val="11"/>
            <rFont val="Calibri"/>
          </rPr>
          <t>OL 8 must enable a user session lock until that user reestablishes access using established identification and authentication procedures for graphical user sessions.</t>
        </r>
      </text>
    </comment>
    <comment ref="L12" authorId="0" shapeId="0" xr:uid="{00000000-0006-0000-0600-00002F000000}">
      <text>
        <r>
          <rPr>
            <sz val="11"/>
            <rFont val="Calibri"/>
          </rPr>
          <t>OL 8 must initiate a session lock for graphical user interfaces when the screensaver is activated.</t>
        </r>
      </text>
    </comment>
    <comment ref="M12" authorId="0" shapeId="0" xr:uid="{00000000-0006-0000-0600-000030000000}">
      <text>
        <r>
          <rPr>
            <sz val="11"/>
            <rFont val="Calibri"/>
          </rPr>
          <t>OL 8 must enable a user session lock until that user reestablishes access using established identification and authentication procedures for command line sessions.</t>
        </r>
      </text>
    </comment>
    <comment ref="N12" authorId="0" shapeId="0" xr:uid="{00000000-0006-0000-0600-000031000000}">
      <text>
        <r>
          <rPr>
            <sz val="11"/>
            <rFont val="Calibri"/>
          </rPr>
          <t>OL 8 must be able to initiate directly a session lock for all connection types using smartcard when the smartcard is removed.</t>
        </r>
      </text>
    </comment>
    <comment ref="O12" authorId="0" shapeId="0" xr:uid="{00000000-0006-0000-0600-000032000000}">
      <text>
        <r>
          <rPr>
            <sz val="11"/>
            <rFont val="Calibri"/>
          </rPr>
          <t>OL 8 must automatically lock graphical user sessions after 15 minutes of inactivity.</t>
        </r>
      </text>
    </comment>
    <comment ref="P12" authorId="0" shapeId="0" xr:uid="{00000000-0006-0000-0600-000033000000}">
      <text>
        <r>
          <rPr>
            <sz val="11"/>
            <rFont val="Calibri"/>
          </rPr>
          <t>OL 8 must prevent a user from overriding the session lock-delay setting for the graphical user interface.</t>
        </r>
      </text>
    </comment>
    <comment ref="Q12" authorId="0" shapeId="0" xr:uid="{00000000-0006-0000-0600-000034000000}">
      <text>
        <r>
          <rPr>
            <sz val="11"/>
            <rFont val="Calibri"/>
          </rPr>
          <t>OL 8 must prevent a user from overriding the session idle-delay setting for the graphical user interface.</t>
        </r>
      </text>
    </comment>
    <comment ref="R12" authorId="0" shapeId="0" xr:uid="{00000000-0006-0000-0600-000035000000}">
      <text>
        <r>
          <rPr>
            <sz val="11"/>
            <rFont val="Calibri"/>
          </rPr>
          <t>OL 8 must prevent a user from overriding the session lock-enabled setting for the graphical user interface.</t>
        </r>
      </text>
    </comment>
    <comment ref="S12" authorId="0" shapeId="0" xr:uid="{00000000-0006-0000-0600-000036000000}">
      <text>
        <r>
          <rPr>
            <sz val="11"/>
            <rFont val="Calibri"/>
          </rPr>
          <t>OL 8 must terminate idle user sessions.</t>
        </r>
      </text>
    </comment>
    <comment ref="T12" authorId="0" shapeId="0" xr:uid="{00000000-0006-0000-0600-000037000000}">
      <text>
        <r>
          <rPr>
            <sz val="11"/>
            <rFont val="Calibri"/>
          </rPr>
          <t>OL 8 must automatically exit interactive command shell user sessions after 10 minutes of inactivity.</t>
        </r>
      </text>
    </comment>
    <comment ref="J13" authorId="0" shapeId="0" xr:uid="{00000000-0006-0000-0600-000038000000}">
      <text>
        <r>
          <rPr>
            <sz val="11"/>
            <rFont val="Calibri"/>
          </rPr>
          <t>OL 8 must prevent a user from overriding the session idle-delay setting for the graphical user interface.</t>
        </r>
      </text>
    </comment>
    <comment ref="K13" authorId="0" shapeId="0" xr:uid="{00000000-0006-0000-0600-000039000000}">
      <text>
        <r>
          <rPr>
            <sz val="11"/>
            <rFont val="Calibri"/>
          </rPr>
          <t>OL 8 must display the date and time of the last successful account logon upon an SSH logon.</t>
        </r>
      </text>
    </comment>
    <comment ref="L13" authorId="0" shapeId="0" xr:uid="{00000000-0006-0000-0600-00003A000000}">
      <text>
        <r>
          <rPr>
            <sz val="11"/>
            <rFont val="Calibri"/>
          </rPr>
          <t>OL 8 must terminate idle user sessions.</t>
        </r>
      </text>
    </comment>
    <comment ref="M13" authorId="0" shapeId="0" xr:uid="{00000000-0006-0000-0600-00003B000000}">
      <text>
        <r>
          <rPr>
            <sz val="11"/>
            <rFont val="Calibri"/>
          </rPr>
          <t>OL 8 must automatically exit interactive command shell user sessions after 10 minutes of inactivity.</t>
        </r>
      </text>
    </comment>
    <comment ref="J14" authorId="0" shapeId="0" xr:uid="{00000000-0006-0000-0600-00003C000000}">
      <text>
        <r>
          <rPr>
            <sz val="11"/>
            <rFont val="Calibri"/>
          </rPr>
          <t>OL 8 wireless network adapters must be disabled.</t>
        </r>
      </text>
    </comment>
    <comment ref="K14" authorId="0" shapeId="0" xr:uid="{00000000-0006-0000-0600-00003D000000}">
      <text>
        <r>
          <rPr>
            <sz val="11"/>
            <rFont val="Calibri"/>
          </rPr>
          <t>OL 8 Bluetooth must be disabled.</t>
        </r>
      </text>
    </comment>
    <comment ref="J23" authorId="0" shapeId="0" xr:uid="{00000000-0006-0000-0600-00003E000000}">
      <text>
        <r>
          <rPr>
            <sz val="11"/>
            <rFont val="Calibri"/>
          </rPr>
          <t>The OL 8 audit package must be installed.</t>
        </r>
      </text>
    </comment>
    <comment ref="K23" authorId="0" shapeId="0" xr:uid="{00000000-0006-0000-0600-00005A000000}">
      <text>
        <r>
          <rPr>
            <sz val="11"/>
            <rFont val="Calibri"/>
          </rPr>
          <t>OL 8 audit records must contain information to establish what type of events occurred, the source of events, where events occurred, and the outcome of events.</t>
        </r>
      </text>
    </comment>
    <comment ref="L23" authorId="0" shapeId="0" xr:uid="{00000000-0006-0000-0600-00005B000000}">
      <text>
        <r>
          <rPr>
            <sz val="11"/>
            <rFont val="Calibri"/>
          </rPr>
          <t>OL 8 must display a banner before granting local or remote access to the system via a graphical user logon.</t>
        </r>
      </text>
    </comment>
    <comment ref="M23" authorId="0" shapeId="0" xr:uid="{00000000-0006-0000-0600-00005C000000}">
      <text>
        <r>
          <rPr>
            <sz val="11"/>
            <rFont val="Calibri"/>
          </rPr>
          <t>All OL 8 remote access methods must be monitored.</t>
        </r>
      </text>
    </comment>
    <comment ref="N23" authorId="0" shapeId="0" xr:uid="{00000000-0006-0000-0600-00005D000000}">
      <text>
        <r>
          <rPr>
            <sz val="11"/>
            <rFont val="Calibri"/>
          </rPr>
          <t>OL 8, for PKI-based authentication, must validate certificates by constructing a certification path (which includes status information) to an accepted trust anchor.</t>
        </r>
      </text>
    </comment>
    <comment ref="O23" authorId="0" shapeId="0" xr:uid="{00000000-0006-0000-0600-00005E000000}">
      <text>
        <r>
          <rPr>
            <sz val="11"/>
            <rFont val="Calibri"/>
          </rPr>
          <t>OL 8, for certificate-based authentication, must enforce authorized access to the corresponding private key.</t>
        </r>
      </text>
    </comment>
    <comment ref="P23" authorId="0" shapeId="0" xr:uid="{00000000-0006-0000-0600-00005F000000}">
      <text>
        <r>
          <rPr>
            <sz val="11"/>
            <rFont val="Calibri"/>
          </rPr>
          <t>OL 8 operating systems booted with United Extensible Firmware Interface (UEFI) must have a unique name for the grub superusers account when booting into single-user mode and maintenance.</t>
        </r>
      </text>
    </comment>
    <comment ref="Q23" authorId="0" shapeId="0" xr:uid="{00000000-0006-0000-0600-000060000000}">
      <text>
        <r>
          <rPr>
            <sz val="11"/>
            <rFont val="Calibri"/>
          </rPr>
          <t>OL 8 operating systems booted with a BIOS must have a unique name for the grub superusers account when booting into single-user and maintenance modes.</t>
        </r>
      </text>
    </comment>
    <comment ref="R23" authorId="0" shapeId="0" xr:uid="{00000000-0006-0000-0600-000061000000}">
      <text>
        <r>
          <rPr>
            <sz val="11"/>
            <rFont val="Calibri"/>
          </rPr>
          <t>OL 8 operating systems must require authentication upon booting into rescue mode.</t>
        </r>
      </text>
    </comment>
    <comment ref="S23" authorId="0" shapeId="0" xr:uid="{00000000-0006-0000-0600-000062000000}">
      <text>
        <r>
          <rPr>
            <sz val="11"/>
            <rFont val="Calibri"/>
          </rPr>
          <t>The krb5-workstation package must not be installed on OL 8.</t>
        </r>
      </text>
    </comment>
    <comment ref="T23" authorId="0" shapeId="0" xr:uid="{00000000-0006-0000-0600-000063000000}">
      <text>
        <r>
          <rPr>
            <sz val="11"/>
            <rFont val="Calibri"/>
          </rPr>
          <t>The krb5-server package must not be installed on OL 8.</t>
        </r>
      </text>
    </comment>
    <comment ref="U23" authorId="0" shapeId="0" xr:uid="{00000000-0006-0000-0600-000064000000}">
      <text>
        <r>
          <rPr>
            <sz val="11"/>
            <rFont val="Calibri"/>
          </rPr>
          <t xml:space="preserve">OL 8 must require reauthentication when using the </t>
        </r>
        <r>
          <rPr>
            <sz val="11"/>
            <color rgb="FF000000"/>
            <rFont val="Calibri"/>
          </rPr>
          <t>"</t>
        </r>
        <r>
          <rPr>
            <b/>
            <sz val="11"/>
            <color rgb="FF000000"/>
            <rFont val="Calibri"/>
          </rPr>
          <t>sudo</t>
        </r>
        <r>
          <rPr>
            <sz val="11"/>
            <color rgb="FF000000"/>
            <rFont val="Calibri"/>
          </rPr>
          <t>"</t>
        </r>
        <r>
          <rPr>
            <sz val="11"/>
            <color rgb="FF000000"/>
            <rFont val="Calibri"/>
          </rPr>
          <t xml:space="preserve"> command.</t>
        </r>
      </text>
    </comment>
    <comment ref="V23" authorId="0" shapeId="0" xr:uid="{00000000-0006-0000-0600-000065000000}">
      <text>
        <r>
          <rPr>
            <sz val="11"/>
            <rFont val="Calibri"/>
          </rPr>
          <t>OL 8 must disable virtual syscalls.</t>
        </r>
      </text>
    </comment>
    <comment ref="W23" authorId="0" shapeId="0" xr:uid="{00000000-0006-0000-0600-00003F000000}">
      <text>
        <r>
          <rPr>
            <sz val="11"/>
            <rFont val="Calibri"/>
          </rPr>
          <t>OL 8 must not let Meltdown and Spectre exploit critical vulnerabilities in modern processors.</t>
        </r>
      </text>
    </comment>
    <comment ref="X23" authorId="0" shapeId="0" xr:uid="{00000000-0006-0000-0600-000040000000}">
      <text>
        <r>
          <rPr>
            <sz val="11"/>
            <rFont val="Calibri"/>
          </rPr>
          <t>OL 8 must use a separate file system for the system audit data path.</t>
        </r>
      </text>
    </comment>
    <comment ref="Y23" authorId="0" shapeId="0" xr:uid="{00000000-0006-0000-0600-000041000000}">
      <text>
        <r>
          <rPr>
            <sz val="11"/>
            <rFont val="Calibri"/>
          </rPr>
          <t>OL 8 must have the rsyslog service enabled and active.</t>
        </r>
      </text>
    </comment>
    <comment ref="Z23" authorId="0" shapeId="0" xr:uid="{00000000-0006-0000-0600-000042000000}">
      <text>
        <r>
          <rPr>
            <sz val="11"/>
            <rFont val="Calibri"/>
          </rPr>
          <t>OL 8 must prevent special devices on nonroot local partitions.</t>
        </r>
      </text>
    </comment>
    <comment ref="AA23" authorId="0" shapeId="0" xr:uid="{00000000-0006-0000-0600-000043000000}">
      <text>
        <r>
          <rPr>
            <sz val="11"/>
            <rFont val="Calibri"/>
          </rPr>
          <t>OL 8 file systems must not interpret character or block special devices from untrusted file systems.</t>
        </r>
      </text>
    </comment>
    <comment ref="AB23" authorId="0" shapeId="0" xr:uid="{00000000-0006-0000-0600-000044000000}">
      <text>
        <r>
          <rPr>
            <sz val="11"/>
            <rFont val="Calibri"/>
          </rPr>
          <t>OL 8 file systems must not execute binary files on removable media.</t>
        </r>
      </text>
    </comment>
    <comment ref="AC23" authorId="0" shapeId="0" xr:uid="{00000000-0006-0000-0600-000045000000}">
      <text>
        <r>
          <rPr>
            <sz val="11"/>
            <rFont val="Calibri"/>
          </rPr>
          <t>OL 8 must disable kernel dumps unless needed.</t>
        </r>
      </text>
    </comment>
    <comment ref="AD23" authorId="0" shapeId="0" xr:uid="{00000000-0006-0000-0600-000046000000}">
      <text>
        <r>
          <rPr>
            <sz val="11"/>
            <rFont val="Calibri"/>
          </rPr>
          <t>OL 8 systems below version 8.2 must prevent system messages from being presented when three unsuccessful logon attempts occur.</t>
        </r>
      </text>
    </comment>
    <comment ref="AE23" authorId="0" shapeId="0" xr:uid="{00000000-0006-0000-0600-000047000000}">
      <text>
        <r>
          <rPr>
            <sz val="11"/>
            <rFont val="Calibri"/>
          </rPr>
          <t>OL 8 systems, versions 8.2 and above, must prevent system messages from being presented when three unsuccessful logon attempts occur.</t>
        </r>
      </text>
    </comment>
    <comment ref="AF23" authorId="0" shapeId="0" xr:uid="{00000000-0006-0000-0600-000048000000}">
      <text>
        <r>
          <rPr>
            <sz val="11"/>
            <rFont val="Calibri"/>
          </rPr>
          <t>OL 8 systems below version 8.2 must log user name information when unsuccessful logon attempts occur.</t>
        </r>
      </text>
    </comment>
    <comment ref="AG23" authorId="0" shapeId="0" xr:uid="{00000000-0006-0000-0600-000049000000}">
      <text>
        <r>
          <rPr>
            <sz val="11"/>
            <rFont val="Calibri"/>
          </rPr>
          <t>OL 8 systems, versions 8.2 and above, must log user name information when unsuccessful logon attempts occur.</t>
        </r>
      </text>
    </comment>
    <comment ref="AH23" authorId="0" shapeId="0" xr:uid="{00000000-0006-0000-0600-00004A000000}">
      <text>
        <r>
          <rPr>
            <sz val="11"/>
            <rFont val="Calibri"/>
          </rPr>
          <t>The OL 8 lastlog command must be owned by root.</t>
        </r>
      </text>
    </comment>
    <comment ref="AI23" authorId="0" shapeId="0" xr:uid="{00000000-0006-0000-0600-00004B000000}">
      <text>
        <r>
          <rPr>
            <sz val="11"/>
            <rFont val="Calibri"/>
          </rPr>
          <t>The OL 8 lastlog command must be group-owned by root.</t>
        </r>
      </text>
    </comment>
    <comment ref="AJ23" authorId="0" shapeId="0" xr:uid="{00000000-0006-0000-0600-00004C000000}">
      <text>
        <r>
          <rPr>
            <sz val="11"/>
            <rFont val="Calibri"/>
          </rPr>
          <t>The OL 8 audit system must be configured to audit the execution of privileged functions and prevent all software from executing at higher privilege levels than users executing the software.</t>
        </r>
      </text>
    </comment>
    <comment ref="AK23" authorId="0" shapeId="0" xr:uid="{00000000-0006-0000-0600-00004D000000}">
      <text>
        <r>
          <rPr>
            <sz val="11"/>
            <rFont val="Calibri"/>
          </rPr>
          <t>Cron logging must be implemented in OL 8.</t>
        </r>
      </text>
    </comment>
    <comment ref="AL23" authorId="0" shapeId="0" xr:uid="{00000000-0006-0000-0600-00004E000000}">
      <text>
        <r>
          <rPr>
            <sz val="11"/>
            <rFont val="Calibri"/>
          </rPr>
          <t>The OL 8 audit system must audit local events.</t>
        </r>
      </text>
    </comment>
    <comment ref="AM23" authorId="0" shapeId="0" xr:uid="{00000000-0006-0000-0600-00004F000000}">
      <text>
        <r>
          <rPr>
            <sz val="11"/>
            <rFont val="Calibri"/>
          </rPr>
          <t>OL 8 must resolve audit information before writing to disk.</t>
        </r>
      </text>
    </comment>
    <comment ref="AN23" authorId="0" shapeId="0" xr:uid="{00000000-0006-0000-0600-000050000000}">
      <text>
        <r>
          <rPr>
            <sz val="11"/>
            <rFont val="Calibri"/>
          </rPr>
          <t xml:space="preserve">OL 8 must generate audit records for all account creation events that affect </t>
        </r>
        <r>
          <rPr>
            <sz val="11"/>
            <color rgb="FF000000"/>
            <rFont val="Calibri"/>
          </rPr>
          <t>"</t>
        </r>
        <r>
          <rPr>
            <b/>
            <sz val="11"/>
            <color rgb="FF000000"/>
            <rFont val="Calibri"/>
          </rPr>
          <t>/etc/shadow</t>
        </r>
        <r>
          <rPr>
            <sz val="11"/>
            <color rgb="FF000000"/>
            <rFont val="Calibri"/>
          </rPr>
          <t>"</t>
        </r>
        <r>
          <rPr>
            <sz val="11"/>
            <color rgb="FF000000"/>
            <rFont val="Calibri"/>
          </rPr>
          <t>.</t>
        </r>
      </text>
    </comment>
    <comment ref="AO23" authorId="0" shapeId="0" xr:uid="{00000000-0006-0000-0600-000051000000}">
      <text>
        <r>
          <rPr>
            <sz val="11"/>
            <rFont val="Calibri"/>
          </rPr>
          <t xml:space="preserve">OL 8 must generate audit records for all account creation events that affect </t>
        </r>
        <r>
          <rPr>
            <sz val="11"/>
            <color rgb="FF000000"/>
            <rFont val="Calibri"/>
          </rPr>
          <t>"</t>
        </r>
        <r>
          <rPr>
            <b/>
            <sz val="11"/>
            <color rgb="FF000000"/>
            <rFont val="Calibri"/>
          </rPr>
          <t>/etc/security/opasswd</t>
        </r>
        <r>
          <rPr>
            <sz val="11"/>
            <color rgb="FF000000"/>
            <rFont val="Calibri"/>
          </rPr>
          <t>"</t>
        </r>
        <r>
          <rPr>
            <sz val="11"/>
            <color rgb="FF000000"/>
            <rFont val="Calibri"/>
          </rPr>
          <t>.</t>
        </r>
      </text>
    </comment>
    <comment ref="AP23" authorId="0" shapeId="0" xr:uid="{00000000-0006-0000-0600-000052000000}">
      <text>
        <r>
          <rPr>
            <sz val="11"/>
            <rFont val="Calibri"/>
          </rPr>
          <t xml:space="preserve">OL 8 must generate audit records for all account creation events that affect </t>
        </r>
        <r>
          <rPr>
            <sz val="11"/>
            <color rgb="FF000000"/>
            <rFont val="Calibri"/>
          </rPr>
          <t>"</t>
        </r>
        <r>
          <rPr>
            <b/>
            <sz val="11"/>
            <color rgb="FF000000"/>
            <rFont val="Calibri"/>
          </rPr>
          <t>/etc/passwd</t>
        </r>
        <r>
          <rPr>
            <sz val="11"/>
            <color rgb="FF000000"/>
            <rFont val="Calibri"/>
          </rPr>
          <t>"</t>
        </r>
        <r>
          <rPr>
            <sz val="11"/>
            <color rgb="FF000000"/>
            <rFont val="Calibri"/>
          </rPr>
          <t>.</t>
        </r>
      </text>
    </comment>
    <comment ref="AQ23" authorId="0" shapeId="0" xr:uid="{00000000-0006-0000-0600-000053000000}">
      <text>
        <r>
          <rPr>
            <sz val="11"/>
            <rFont val="Calibri"/>
          </rPr>
          <t xml:space="preserve">OL 8 must generate audit records for all account creation events that affect </t>
        </r>
        <r>
          <rPr>
            <sz val="11"/>
            <color rgb="FF000000"/>
            <rFont val="Calibri"/>
          </rPr>
          <t>"</t>
        </r>
        <r>
          <rPr>
            <b/>
            <sz val="11"/>
            <color rgb="FF000000"/>
            <rFont val="Calibri"/>
          </rPr>
          <t>/etc/gshadow</t>
        </r>
        <r>
          <rPr>
            <sz val="11"/>
            <color rgb="FF000000"/>
            <rFont val="Calibri"/>
          </rPr>
          <t>"</t>
        </r>
        <r>
          <rPr>
            <sz val="11"/>
            <color rgb="FF000000"/>
            <rFont val="Calibri"/>
          </rPr>
          <t>.</t>
        </r>
      </text>
    </comment>
    <comment ref="AR23" authorId="0" shapeId="0" xr:uid="{00000000-0006-0000-0600-000054000000}">
      <text>
        <r>
          <rPr>
            <sz val="11"/>
            <rFont val="Calibri"/>
          </rPr>
          <t xml:space="preserve">OL 8 must generate audit records for all account creation events that affect </t>
        </r>
        <r>
          <rPr>
            <sz val="11"/>
            <color rgb="FF000000"/>
            <rFont val="Calibri"/>
          </rPr>
          <t>"</t>
        </r>
        <r>
          <rPr>
            <b/>
            <sz val="11"/>
            <color rgb="FF000000"/>
            <rFont val="Calibri"/>
          </rPr>
          <t>/etc/group</t>
        </r>
        <r>
          <rPr>
            <sz val="11"/>
            <color rgb="FF000000"/>
            <rFont val="Calibri"/>
          </rPr>
          <t>"</t>
        </r>
        <r>
          <rPr>
            <sz val="11"/>
            <color rgb="FF000000"/>
            <rFont val="Calibri"/>
          </rPr>
          <t>.</t>
        </r>
      </text>
    </comment>
    <comment ref="AS23" authorId="0" shapeId="0" xr:uid="{00000000-0006-0000-0600-000055000000}">
      <text>
        <r>
          <rPr>
            <sz val="11"/>
            <rFont val="Calibri"/>
          </rPr>
          <t xml:space="preserve">OL 8 must generate audit records for all account creations, modifications, disabling, and termination events that affect </t>
        </r>
        <r>
          <rPr>
            <sz val="11"/>
            <color rgb="FF000000"/>
            <rFont val="Calibri"/>
          </rPr>
          <t>"</t>
        </r>
        <r>
          <rPr>
            <b/>
            <sz val="11"/>
            <color rgb="FF000000"/>
            <rFont val="Calibri"/>
          </rPr>
          <t>/etc/sudoers</t>
        </r>
        <r>
          <rPr>
            <sz val="11"/>
            <color rgb="FF000000"/>
            <rFont val="Calibri"/>
          </rPr>
          <t>"</t>
        </r>
        <r>
          <rPr>
            <sz val="11"/>
            <color rgb="FF000000"/>
            <rFont val="Calibri"/>
          </rPr>
          <t>.</t>
        </r>
      </text>
    </comment>
    <comment ref="AT23" authorId="0" shapeId="0" xr:uid="{00000000-0006-0000-0600-000056000000}">
      <text>
        <r>
          <rPr>
            <sz val="11"/>
            <rFont val="Calibri"/>
          </rPr>
          <t xml:space="preserve">OL 8 must generate audit records for all account creations, modifications, disabling, and termination events that affect </t>
        </r>
        <r>
          <rPr>
            <sz val="11"/>
            <color rgb="FF000000"/>
            <rFont val="Calibri"/>
          </rPr>
          <t>"</t>
        </r>
        <r>
          <rPr>
            <b/>
            <sz val="11"/>
            <color rgb="FF000000"/>
            <rFont val="Calibri"/>
          </rPr>
          <t>/etc/sudoers.d/</t>
        </r>
        <r>
          <rPr>
            <sz val="11"/>
            <color rgb="FF000000"/>
            <rFont val="Calibri"/>
          </rPr>
          <t>"</t>
        </r>
        <r>
          <rPr>
            <sz val="11"/>
            <color rgb="FF000000"/>
            <rFont val="Calibri"/>
          </rPr>
          <t>.</t>
        </r>
      </text>
    </comment>
    <comment ref="AU23" authorId="0" shapeId="0" xr:uid="{00000000-0006-0000-0600-000057000000}">
      <text>
        <r>
          <rPr>
            <sz val="11"/>
            <rFont val="Calibri"/>
          </rPr>
          <t xml:space="preserve">OL 8 must generate audit records for any use of the </t>
        </r>
        <r>
          <rPr>
            <sz val="11"/>
            <color rgb="FF000000"/>
            <rFont val="Calibri"/>
          </rPr>
          <t>"</t>
        </r>
        <r>
          <rPr>
            <b/>
            <sz val="11"/>
            <color rgb="FF000000"/>
            <rFont val="Calibri"/>
          </rPr>
          <t>su</t>
        </r>
        <r>
          <rPr>
            <sz val="11"/>
            <color rgb="FF000000"/>
            <rFont val="Calibri"/>
          </rPr>
          <t>"</t>
        </r>
        <r>
          <rPr>
            <sz val="11"/>
            <color rgb="FF000000"/>
            <rFont val="Calibri"/>
          </rPr>
          <t xml:space="preserve"> command.</t>
        </r>
      </text>
    </comment>
    <comment ref="AV23" authorId="0" shapeId="0" xr:uid="{00000000-0006-0000-0600-000058000000}">
      <text>
        <r>
          <rPr>
            <sz val="11"/>
            <rFont val="Calibri"/>
          </rPr>
          <t xml:space="preserve">The OL 8 audit system must be configured to audit any use of the </t>
        </r>
        <r>
          <rPr>
            <sz val="11"/>
            <color rgb="FF000000"/>
            <rFont val="Calibri"/>
          </rPr>
          <t>"</t>
        </r>
        <r>
          <rPr>
            <b/>
            <sz val="11"/>
            <color rgb="FF000000"/>
            <rFont val="Calibri"/>
          </rPr>
          <t>setxattr</t>
        </r>
        <r>
          <rPr>
            <sz val="11"/>
            <color rgb="FF000000"/>
            <rFont val="Calibri"/>
          </rPr>
          <t>"</t>
        </r>
        <r>
          <rPr>
            <sz val="11"/>
            <color rgb="FF000000"/>
            <rFont val="Calibri"/>
          </rPr>
          <t xml:space="preserve">, </t>
        </r>
        <r>
          <rPr>
            <sz val="11"/>
            <color rgb="FF000000"/>
            <rFont val="Calibri"/>
          </rPr>
          <t>"</t>
        </r>
        <r>
          <rPr>
            <b/>
            <sz val="11"/>
            <color rgb="FF000000"/>
            <rFont val="Calibri"/>
          </rPr>
          <t>fsetxattr</t>
        </r>
        <r>
          <rPr>
            <sz val="11"/>
            <color rgb="FF000000"/>
            <rFont val="Calibri"/>
          </rPr>
          <t>"</t>
        </r>
        <r>
          <rPr>
            <sz val="11"/>
            <color rgb="FF000000"/>
            <rFont val="Calibri"/>
          </rPr>
          <t xml:space="preserve">, </t>
        </r>
        <r>
          <rPr>
            <sz val="11"/>
            <color rgb="FF000000"/>
            <rFont val="Calibri"/>
          </rPr>
          <t>"</t>
        </r>
        <r>
          <rPr>
            <b/>
            <sz val="11"/>
            <color rgb="FF000000"/>
            <rFont val="Calibri"/>
          </rPr>
          <t>lsetxattr</t>
        </r>
        <r>
          <rPr>
            <sz val="11"/>
            <color rgb="FF000000"/>
            <rFont val="Calibri"/>
          </rPr>
          <t>"</t>
        </r>
        <r>
          <rPr>
            <sz val="11"/>
            <color rgb="FF000000"/>
            <rFont val="Calibri"/>
          </rPr>
          <t xml:space="preserve">, </t>
        </r>
        <r>
          <rPr>
            <sz val="11"/>
            <color rgb="FF000000"/>
            <rFont val="Calibri"/>
          </rPr>
          <t>"</t>
        </r>
        <r>
          <rPr>
            <b/>
            <sz val="11"/>
            <color rgb="FF000000"/>
            <rFont val="Calibri"/>
          </rPr>
          <t>removexattr</t>
        </r>
        <r>
          <rPr>
            <sz val="11"/>
            <color rgb="FF000000"/>
            <rFont val="Calibri"/>
          </rPr>
          <t>"</t>
        </r>
        <r>
          <rPr>
            <sz val="11"/>
            <color rgb="FF000000"/>
            <rFont val="Calibri"/>
          </rPr>
          <t xml:space="preserve">, </t>
        </r>
        <r>
          <rPr>
            <sz val="11"/>
            <color rgb="FF000000"/>
            <rFont val="Calibri"/>
          </rPr>
          <t>"</t>
        </r>
        <r>
          <rPr>
            <b/>
            <sz val="11"/>
            <color rgb="FF000000"/>
            <rFont val="Calibri"/>
          </rPr>
          <t>fremovexattr</t>
        </r>
        <r>
          <rPr>
            <sz val="11"/>
            <color rgb="FF000000"/>
            <rFont val="Calibri"/>
          </rPr>
          <t>"</t>
        </r>
        <r>
          <rPr>
            <sz val="11"/>
            <color rgb="FF000000"/>
            <rFont val="Calibri"/>
          </rPr>
          <t xml:space="preserve">, and </t>
        </r>
        <r>
          <rPr>
            <sz val="11"/>
            <color rgb="FF000000"/>
            <rFont val="Calibri"/>
          </rPr>
          <t>"</t>
        </r>
        <r>
          <rPr>
            <b/>
            <sz val="11"/>
            <color rgb="FF000000"/>
            <rFont val="Calibri"/>
          </rPr>
          <t>lremovexattr</t>
        </r>
        <r>
          <rPr>
            <sz val="11"/>
            <color rgb="FF000000"/>
            <rFont val="Calibri"/>
          </rPr>
          <t>"</t>
        </r>
        <r>
          <rPr>
            <sz val="11"/>
            <color rgb="FF000000"/>
            <rFont val="Calibri"/>
          </rPr>
          <t xml:space="preserve"> system calls.</t>
        </r>
      </text>
    </comment>
    <comment ref="AW23" authorId="0" shapeId="0" xr:uid="{00000000-0006-0000-0600-000059000000}">
      <text>
        <r>
          <rPr>
            <sz val="11"/>
            <rFont val="Calibri"/>
          </rPr>
          <t xml:space="preserve">OL 8 must generate audit records for any use of the </t>
        </r>
        <r>
          <rPr>
            <sz val="11"/>
            <color rgb="FF000000"/>
            <rFont val="Calibri"/>
          </rPr>
          <t>"</t>
        </r>
        <r>
          <rPr>
            <b/>
            <sz val="11"/>
            <color rgb="FF000000"/>
            <rFont val="Calibri"/>
          </rPr>
          <t>chage</t>
        </r>
        <r>
          <rPr>
            <sz val="11"/>
            <color rgb="FF000000"/>
            <rFont val="Calibri"/>
          </rPr>
          <t>"</t>
        </r>
        <r>
          <rPr>
            <sz val="11"/>
            <color rgb="FF000000"/>
            <rFont val="Calibri"/>
          </rPr>
          <t xml:space="preserve"> command.</t>
        </r>
      </text>
    </comment>
    <comment ref="J24" authorId="0" shapeId="0" xr:uid="{00000000-0006-0000-0600-000066000000}">
      <text>
        <r>
          <rPr>
            <sz val="11"/>
            <rFont val="Calibri"/>
          </rPr>
          <t>All OL 8 remote access methods must be monitored.</t>
        </r>
      </text>
    </comment>
    <comment ref="K24" authorId="0" shapeId="0" xr:uid="{00000000-0006-0000-0600-000067000000}">
      <text>
        <r>
          <rPr>
            <sz val="11"/>
            <rFont val="Calibri"/>
          </rPr>
          <t>The OL 8 audit system must be configured to audit the execution of privileged functions and prevent all software from executing at higher privilege levels than users executing the software.</t>
        </r>
      </text>
    </comment>
    <comment ref="L24" authorId="0" shapeId="0" xr:uid="{00000000-0006-0000-0600-000068000000}">
      <text>
        <r>
          <rPr>
            <sz val="11"/>
            <rFont val="Calibri"/>
          </rPr>
          <t xml:space="preserve">OL 8 must generate audit records for all account creation events that affect </t>
        </r>
        <r>
          <rPr>
            <sz val="11"/>
            <color rgb="FF000000"/>
            <rFont val="Calibri"/>
          </rPr>
          <t>"</t>
        </r>
        <r>
          <rPr>
            <b/>
            <sz val="11"/>
            <color rgb="FF000000"/>
            <rFont val="Calibri"/>
          </rPr>
          <t>/etc/shadow</t>
        </r>
        <r>
          <rPr>
            <sz val="11"/>
            <color rgb="FF000000"/>
            <rFont val="Calibri"/>
          </rPr>
          <t>"</t>
        </r>
        <r>
          <rPr>
            <sz val="11"/>
            <color rgb="FF000000"/>
            <rFont val="Calibri"/>
          </rPr>
          <t>.</t>
        </r>
      </text>
    </comment>
    <comment ref="M24" authorId="0" shapeId="0" xr:uid="{00000000-0006-0000-0600-000069000000}">
      <text>
        <r>
          <rPr>
            <sz val="11"/>
            <rFont val="Calibri"/>
          </rPr>
          <t xml:space="preserve">OL 8 must generate audit records for all account creation events that affect </t>
        </r>
        <r>
          <rPr>
            <sz val="11"/>
            <color rgb="FF000000"/>
            <rFont val="Calibri"/>
          </rPr>
          <t>"</t>
        </r>
        <r>
          <rPr>
            <b/>
            <sz val="11"/>
            <color rgb="FF000000"/>
            <rFont val="Calibri"/>
          </rPr>
          <t>/etc/security/opasswd</t>
        </r>
        <r>
          <rPr>
            <sz val="11"/>
            <color rgb="FF000000"/>
            <rFont val="Calibri"/>
          </rPr>
          <t>"</t>
        </r>
        <r>
          <rPr>
            <sz val="11"/>
            <color rgb="FF000000"/>
            <rFont val="Calibri"/>
          </rPr>
          <t>.</t>
        </r>
      </text>
    </comment>
    <comment ref="N24" authorId="0" shapeId="0" xr:uid="{00000000-0006-0000-0600-00006A000000}">
      <text>
        <r>
          <rPr>
            <sz val="11"/>
            <rFont val="Calibri"/>
          </rPr>
          <t xml:space="preserve">OL 8 must generate audit records for all account creation events that affect </t>
        </r>
        <r>
          <rPr>
            <sz val="11"/>
            <color rgb="FF000000"/>
            <rFont val="Calibri"/>
          </rPr>
          <t>"</t>
        </r>
        <r>
          <rPr>
            <b/>
            <sz val="11"/>
            <color rgb="FF000000"/>
            <rFont val="Calibri"/>
          </rPr>
          <t>/etc/passwd</t>
        </r>
        <r>
          <rPr>
            <sz val="11"/>
            <color rgb="FF000000"/>
            <rFont val="Calibri"/>
          </rPr>
          <t>"</t>
        </r>
        <r>
          <rPr>
            <sz val="11"/>
            <color rgb="FF000000"/>
            <rFont val="Calibri"/>
          </rPr>
          <t>.</t>
        </r>
      </text>
    </comment>
    <comment ref="O24" authorId="0" shapeId="0" xr:uid="{00000000-0006-0000-0600-00006B000000}">
      <text>
        <r>
          <rPr>
            <sz val="11"/>
            <rFont val="Calibri"/>
          </rPr>
          <t xml:space="preserve">OL 8 must generate audit records for all account creation events that affect </t>
        </r>
        <r>
          <rPr>
            <sz val="11"/>
            <color rgb="FF000000"/>
            <rFont val="Calibri"/>
          </rPr>
          <t>"</t>
        </r>
        <r>
          <rPr>
            <b/>
            <sz val="11"/>
            <color rgb="FF000000"/>
            <rFont val="Calibri"/>
          </rPr>
          <t>/etc/gshadow</t>
        </r>
        <r>
          <rPr>
            <sz val="11"/>
            <color rgb="FF000000"/>
            <rFont val="Calibri"/>
          </rPr>
          <t>"</t>
        </r>
        <r>
          <rPr>
            <sz val="11"/>
            <color rgb="FF000000"/>
            <rFont val="Calibri"/>
          </rPr>
          <t>.</t>
        </r>
      </text>
    </comment>
    <comment ref="P24" authorId="0" shapeId="0" xr:uid="{00000000-0006-0000-0600-00006C000000}">
      <text>
        <r>
          <rPr>
            <sz val="11"/>
            <rFont val="Calibri"/>
          </rPr>
          <t xml:space="preserve">OL 8 must generate audit records for all account creation events that affect </t>
        </r>
        <r>
          <rPr>
            <sz val="11"/>
            <color rgb="FF000000"/>
            <rFont val="Calibri"/>
          </rPr>
          <t>"</t>
        </r>
        <r>
          <rPr>
            <b/>
            <sz val="11"/>
            <color rgb="FF000000"/>
            <rFont val="Calibri"/>
          </rPr>
          <t>/etc/group</t>
        </r>
        <r>
          <rPr>
            <sz val="11"/>
            <color rgb="FF000000"/>
            <rFont val="Calibri"/>
          </rPr>
          <t>"</t>
        </r>
        <r>
          <rPr>
            <sz val="11"/>
            <color rgb="FF000000"/>
            <rFont val="Calibri"/>
          </rPr>
          <t>.</t>
        </r>
      </text>
    </comment>
    <comment ref="Q24" authorId="0" shapeId="0" xr:uid="{00000000-0006-0000-0600-00006D000000}">
      <text>
        <r>
          <rPr>
            <sz val="11"/>
            <rFont val="Calibri"/>
          </rPr>
          <t xml:space="preserve">OL 8 must generate audit records for all account creations, modifications, disabling, and termination events that affect </t>
        </r>
        <r>
          <rPr>
            <sz val="11"/>
            <color rgb="FF000000"/>
            <rFont val="Calibri"/>
          </rPr>
          <t>"</t>
        </r>
        <r>
          <rPr>
            <b/>
            <sz val="11"/>
            <color rgb="FF000000"/>
            <rFont val="Calibri"/>
          </rPr>
          <t>/etc/sudoers</t>
        </r>
        <r>
          <rPr>
            <sz val="11"/>
            <color rgb="FF000000"/>
            <rFont val="Calibri"/>
          </rPr>
          <t>"</t>
        </r>
        <r>
          <rPr>
            <sz val="11"/>
            <color rgb="FF000000"/>
            <rFont val="Calibri"/>
          </rPr>
          <t>.</t>
        </r>
      </text>
    </comment>
    <comment ref="R24" authorId="0" shapeId="0" xr:uid="{00000000-0006-0000-0600-00006E000000}">
      <text>
        <r>
          <rPr>
            <sz val="11"/>
            <rFont val="Calibri"/>
          </rPr>
          <t xml:space="preserve">OL 8 must generate audit records for all account creations, modifications, disabling, and termination events that affect </t>
        </r>
        <r>
          <rPr>
            <sz val="11"/>
            <color rgb="FF000000"/>
            <rFont val="Calibri"/>
          </rPr>
          <t>"</t>
        </r>
        <r>
          <rPr>
            <b/>
            <sz val="11"/>
            <color rgb="FF000000"/>
            <rFont val="Calibri"/>
          </rPr>
          <t>/etc/sudoers.d/</t>
        </r>
        <r>
          <rPr>
            <sz val="11"/>
            <color rgb="FF000000"/>
            <rFont val="Calibri"/>
          </rPr>
          <t>"</t>
        </r>
        <r>
          <rPr>
            <sz val="11"/>
            <color rgb="FF000000"/>
            <rFont val="Calibri"/>
          </rPr>
          <t>.</t>
        </r>
      </text>
    </comment>
    <comment ref="S24" authorId="0" shapeId="0" xr:uid="{00000000-0006-0000-0600-00006F000000}">
      <text>
        <r>
          <rPr>
            <sz val="11"/>
            <rFont val="Calibri"/>
          </rPr>
          <t xml:space="preserve">The OL 8 audit system must be configured to audit any use of the </t>
        </r>
        <r>
          <rPr>
            <sz val="11"/>
            <color rgb="FF000000"/>
            <rFont val="Calibri"/>
          </rPr>
          <t>"</t>
        </r>
        <r>
          <rPr>
            <b/>
            <sz val="11"/>
            <color rgb="FF000000"/>
            <rFont val="Calibri"/>
          </rPr>
          <t>setxattr</t>
        </r>
        <r>
          <rPr>
            <sz val="11"/>
            <color rgb="FF000000"/>
            <rFont val="Calibri"/>
          </rPr>
          <t>"</t>
        </r>
        <r>
          <rPr>
            <sz val="11"/>
            <color rgb="FF000000"/>
            <rFont val="Calibri"/>
          </rPr>
          <t xml:space="preserve">, </t>
        </r>
        <r>
          <rPr>
            <sz val="11"/>
            <color rgb="FF000000"/>
            <rFont val="Calibri"/>
          </rPr>
          <t>"</t>
        </r>
        <r>
          <rPr>
            <b/>
            <sz val="11"/>
            <color rgb="FF000000"/>
            <rFont val="Calibri"/>
          </rPr>
          <t>fsetxattr</t>
        </r>
        <r>
          <rPr>
            <sz val="11"/>
            <color rgb="FF000000"/>
            <rFont val="Calibri"/>
          </rPr>
          <t>"</t>
        </r>
        <r>
          <rPr>
            <sz val="11"/>
            <color rgb="FF000000"/>
            <rFont val="Calibri"/>
          </rPr>
          <t xml:space="preserve">, </t>
        </r>
        <r>
          <rPr>
            <sz val="11"/>
            <color rgb="FF000000"/>
            <rFont val="Calibri"/>
          </rPr>
          <t>"</t>
        </r>
        <r>
          <rPr>
            <b/>
            <sz val="11"/>
            <color rgb="FF000000"/>
            <rFont val="Calibri"/>
          </rPr>
          <t>lsetxattr</t>
        </r>
        <r>
          <rPr>
            <sz val="11"/>
            <color rgb="FF000000"/>
            <rFont val="Calibri"/>
          </rPr>
          <t>"</t>
        </r>
        <r>
          <rPr>
            <sz val="11"/>
            <color rgb="FF000000"/>
            <rFont val="Calibri"/>
          </rPr>
          <t xml:space="preserve">, </t>
        </r>
        <r>
          <rPr>
            <sz val="11"/>
            <color rgb="FF000000"/>
            <rFont val="Calibri"/>
          </rPr>
          <t>"</t>
        </r>
        <r>
          <rPr>
            <b/>
            <sz val="11"/>
            <color rgb="FF000000"/>
            <rFont val="Calibri"/>
          </rPr>
          <t>removexattr</t>
        </r>
        <r>
          <rPr>
            <sz val="11"/>
            <color rgb="FF000000"/>
            <rFont val="Calibri"/>
          </rPr>
          <t>"</t>
        </r>
        <r>
          <rPr>
            <sz val="11"/>
            <color rgb="FF000000"/>
            <rFont val="Calibri"/>
          </rPr>
          <t xml:space="preserve">, </t>
        </r>
        <r>
          <rPr>
            <sz val="11"/>
            <color rgb="FF000000"/>
            <rFont val="Calibri"/>
          </rPr>
          <t>"</t>
        </r>
        <r>
          <rPr>
            <b/>
            <sz val="11"/>
            <color rgb="FF000000"/>
            <rFont val="Calibri"/>
          </rPr>
          <t>fremovexattr</t>
        </r>
        <r>
          <rPr>
            <sz val="11"/>
            <color rgb="FF000000"/>
            <rFont val="Calibri"/>
          </rPr>
          <t>"</t>
        </r>
        <r>
          <rPr>
            <sz val="11"/>
            <color rgb="FF000000"/>
            <rFont val="Calibri"/>
          </rPr>
          <t xml:space="preserve">, and </t>
        </r>
        <r>
          <rPr>
            <sz val="11"/>
            <color rgb="FF000000"/>
            <rFont val="Calibri"/>
          </rPr>
          <t>"</t>
        </r>
        <r>
          <rPr>
            <b/>
            <sz val="11"/>
            <color rgb="FF000000"/>
            <rFont val="Calibri"/>
          </rPr>
          <t>lremovexattr</t>
        </r>
        <r>
          <rPr>
            <sz val="11"/>
            <color rgb="FF000000"/>
            <rFont val="Calibri"/>
          </rPr>
          <t>"</t>
        </r>
        <r>
          <rPr>
            <sz val="11"/>
            <color rgb="FF000000"/>
            <rFont val="Calibri"/>
          </rPr>
          <t xml:space="preserve"> system calls.</t>
        </r>
      </text>
    </comment>
    <comment ref="T24" authorId="0" shapeId="0" xr:uid="{00000000-0006-0000-0600-000070000000}">
      <text>
        <r>
          <rPr>
            <sz val="11"/>
            <rFont val="Calibri"/>
          </rPr>
          <t xml:space="preserve">OL 8 must generate audit records for any use of the </t>
        </r>
        <r>
          <rPr>
            <sz val="11"/>
            <color rgb="FF000000"/>
            <rFont val="Calibri"/>
          </rPr>
          <t>"</t>
        </r>
        <r>
          <rPr>
            <b/>
            <sz val="11"/>
            <color rgb="FF000000"/>
            <rFont val="Calibri"/>
          </rPr>
          <t>chage</t>
        </r>
        <r>
          <rPr>
            <sz val="11"/>
            <color rgb="FF000000"/>
            <rFont val="Calibri"/>
          </rPr>
          <t>"</t>
        </r>
        <r>
          <rPr>
            <sz val="11"/>
            <color rgb="FF000000"/>
            <rFont val="Calibri"/>
          </rPr>
          <t xml:space="preserve"> command.</t>
        </r>
      </text>
    </comment>
    <comment ref="U24" authorId="0" shapeId="0" xr:uid="{00000000-0006-0000-0600-000071000000}">
      <text>
        <r>
          <rPr>
            <sz val="11"/>
            <rFont val="Calibri"/>
          </rPr>
          <t xml:space="preserve">OL 8 must generate audit records for any uses of the </t>
        </r>
        <r>
          <rPr>
            <sz val="11"/>
            <color rgb="FF000000"/>
            <rFont val="Calibri"/>
          </rPr>
          <t>"</t>
        </r>
        <r>
          <rPr>
            <b/>
            <sz val="11"/>
            <color rgb="FF000000"/>
            <rFont val="Calibri"/>
          </rPr>
          <t>chcon</t>
        </r>
        <r>
          <rPr>
            <sz val="11"/>
            <color rgb="FF000000"/>
            <rFont val="Calibri"/>
          </rPr>
          <t>"</t>
        </r>
        <r>
          <rPr>
            <sz val="11"/>
            <color rgb="FF000000"/>
            <rFont val="Calibri"/>
          </rPr>
          <t xml:space="preserve"> command.</t>
        </r>
      </text>
    </comment>
    <comment ref="V24" authorId="0" shapeId="0" xr:uid="{00000000-0006-0000-0600-000072000000}">
      <text>
        <r>
          <rPr>
            <sz val="11"/>
            <rFont val="Calibri"/>
          </rPr>
          <t xml:space="preserve">OL 8 must generate audit records for any use of the </t>
        </r>
        <r>
          <rPr>
            <sz val="11"/>
            <color rgb="FF000000"/>
            <rFont val="Calibri"/>
          </rPr>
          <t>"</t>
        </r>
        <r>
          <rPr>
            <b/>
            <sz val="11"/>
            <color rgb="FF000000"/>
            <rFont val="Calibri"/>
          </rPr>
          <t>ssh-agent</t>
        </r>
        <r>
          <rPr>
            <sz val="11"/>
            <color rgb="FF000000"/>
            <rFont val="Calibri"/>
          </rPr>
          <t>"</t>
        </r>
        <r>
          <rPr>
            <sz val="11"/>
            <color rgb="FF000000"/>
            <rFont val="Calibri"/>
          </rPr>
          <t xml:space="preserve"> command.</t>
        </r>
      </text>
    </comment>
    <comment ref="W24" authorId="0" shapeId="0" xr:uid="{00000000-0006-0000-0600-000073000000}">
      <text>
        <r>
          <rPr>
            <sz val="11"/>
            <rFont val="Calibri"/>
          </rPr>
          <t xml:space="preserve">OL 8 must generate audit records for any use of the </t>
        </r>
        <r>
          <rPr>
            <sz val="11"/>
            <color rgb="FF000000"/>
            <rFont val="Calibri"/>
          </rPr>
          <t>"</t>
        </r>
        <r>
          <rPr>
            <b/>
            <sz val="11"/>
            <color rgb="FF000000"/>
            <rFont val="Calibri"/>
          </rPr>
          <t>mount</t>
        </r>
        <r>
          <rPr>
            <sz val="11"/>
            <color rgb="FF000000"/>
            <rFont val="Calibri"/>
          </rPr>
          <t>"</t>
        </r>
        <r>
          <rPr>
            <sz val="11"/>
            <color rgb="FF000000"/>
            <rFont val="Calibri"/>
          </rPr>
          <t xml:space="preserve"> command.</t>
        </r>
      </text>
    </comment>
    <comment ref="X24" authorId="0" shapeId="0" xr:uid="{00000000-0006-0000-0600-000074000000}">
      <text>
        <r>
          <rPr>
            <sz val="11"/>
            <rFont val="Calibri"/>
          </rPr>
          <t xml:space="preserve">OL 8 must generate audit records for any use of the </t>
        </r>
        <r>
          <rPr>
            <sz val="11"/>
            <color rgb="FF000000"/>
            <rFont val="Calibri"/>
          </rPr>
          <t>"</t>
        </r>
        <r>
          <rPr>
            <b/>
            <sz val="11"/>
            <color rgb="FF000000"/>
            <rFont val="Calibri"/>
          </rPr>
          <t>umount</t>
        </r>
        <r>
          <rPr>
            <sz val="11"/>
            <color rgb="FF000000"/>
            <rFont val="Calibri"/>
          </rPr>
          <t>"</t>
        </r>
        <r>
          <rPr>
            <sz val="11"/>
            <color rgb="FF000000"/>
            <rFont val="Calibri"/>
          </rPr>
          <t xml:space="preserve"> command.</t>
        </r>
      </text>
    </comment>
    <comment ref="Y24" authorId="0" shapeId="0" xr:uid="{00000000-0006-0000-0600-000075000000}">
      <text>
        <r>
          <rPr>
            <sz val="11"/>
            <rFont val="Calibri"/>
          </rPr>
          <t xml:space="preserve">OL 8 must generate audit records for any use of the </t>
        </r>
        <r>
          <rPr>
            <sz val="11"/>
            <color rgb="FF000000"/>
            <rFont val="Calibri"/>
          </rPr>
          <t>"</t>
        </r>
        <r>
          <rPr>
            <b/>
            <sz val="11"/>
            <color rgb="FF000000"/>
            <rFont val="Calibri"/>
          </rPr>
          <t>unix_update</t>
        </r>
        <r>
          <rPr>
            <sz val="11"/>
            <color rgb="FF000000"/>
            <rFont val="Calibri"/>
          </rPr>
          <t>"</t>
        </r>
        <r>
          <rPr>
            <sz val="11"/>
            <color rgb="FF000000"/>
            <rFont val="Calibri"/>
          </rPr>
          <t xml:space="preserve"> command.</t>
        </r>
      </text>
    </comment>
    <comment ref="Z24" authorId="0" shapeId="0" xr:uid="{00000000-0006-0000-0600-000076000000}">
      <text>
        <r>
          <rPr>
            <sz val="11"/>
            <rFont val="Calibri"/>
          </rPr>
          <t xml:space="preserve">OL 8 must generate audit records for any use of the </t>
        </r>
        <r>
          <rPr>
            <sz val="11"/>
            <color rgb="FF000000"/>
            <rFont val="Calibri"/>
          </rPr>
          <t>"</t>
        </r>
        <r>
          <rPr>
            <b/>
            <sz val="11"/>
            <color rgb="FF000000"/>
            <rFont val="Calibri"/>
          </rPr>
          <t>postdrop</t>
        </r>
        <r>
          <rPr>
            <sz val="11"/>
            <color rgb="FF000000"/>
            <rFont val="Calibri"/>
          </rPr>
          <t>"</t>
        </r>
        <r>
          <rPr>
            <sz val="11"/>
            <color rgb="FF000000"/>
            <rFont val="Calibri"/>
          </rPr>
          <t xml:space="preserve"> command.</t>
        </r>
      </text>
    </comment>
    <comment ref="AA24" authorId="0" shapeId="0" xr:uid="{00000000-0006-0000-0600-000077000000}">
      <text>
        <r>
          <rPr>
            <sz val="11"/>
            <rFont val="Calibri"/>
          </rPr>
          <t xml:space="preserve">OL 8 must generate audit records for any use of the </t>
        </r>
        <r>
          <rPr>
            <sz val="11"/>
            <color rgb="FF000000"/>
            <rFont val="Calibri"/>
          </rPr>
          <t>"</t>
        </r>
        <r>
          <rPr>
            <b/>
            <sz val="11"/>
            <color rgb="FF000000"/>
            <rFont val="Calibri"/>
          </rPr>
          <t>postqueue</t>
        </r>
        <r>
          <rPr>
            <sz val="11"/>
            <color rgb="FF000000"/>
            <rFont val="Calibri"/>
          </rPr>
          <t>"</t>
        </r>
        <r>
          <rPr>
            <sz val="11"/>
            <color rgb="FF000000"/>
            <rFont val="Calibri"/>
          </rPr>
          <t xml:space="preserve"> command.</t>
        </r>
      </text>
    </comment>
    <comment ref="AB24" authorId="0" shapeId="0" xr:uid="{00000000-0006-0000-0600-000078000000}">
      <text>
        <r>
          <rPr>
            <sz val="11"/>
            <rFont val="Calibri"/>
          </rPr>
          <t xml:space="preserve">OL 8 must generate audit records for any use of the </t>
        </r>
        <r>
          <rPr>
            <sz val="11"/>
            <color rgb="FF000000"/>
            <rFont val="Calibri"/>
          </rPr>
          <t>"</t>
        </r>
        <r>
          <rPr>
            <b/>
            <sz val="11"/>
            <color rgb="FF000000"/>
            <rFont val="Calibri"/>
          </rPr>
          <t>semanage</t>
        </r>
        <r>
          <rPr>
            <sz val="11"/>
            <color rgb="FF000000"/>
            <rFont val="Calibri"/>
          </rPr>
          <t>"</t>
        </r>
        <r>
          <rPr>
            <sz val="11"/>
            <color rgb="FF000000"/>
            <rFont val="Calibri"/>
          </rPr>
          <t xml:space="preserve"> command.</t>
        </r>
      </text>
    </comment>
    <comment ref="AC24" authorId="0" shapeId="0" xr:uid="{00000000-0006-0000-0600-000079000000}">
      <text>
        <r>
          <rPr>
            <sz val="11"/>
            <rFont val="Calibri"/>
          </rPr>
          <t xml:space="preserve">OL 8 must generate audit records for any use of the </t>
        </r>
        <r>
          <rPr>
            <sz val="11"/>
            <color rgb="FF000000"/>
            <rFont val="Calibri"/>
          </rPr>
          <t>"</t>
        </r>
        <r>
          <rPr>
            <b/>
            <sz val="11"/>
            <color rgb="FF000000"/>
            <rFont val="Calibri"/>
          </rPr>
          <t>setfiles</t>
        </r>
        <r>
          <rPr>
            <sz val="11"/>
            <color rgb="FF000000"/>
            <rFont val="Calibri"/>
          </rPr>
          <t>"</t>
        </r>
        <r>
          <rPr>
            <sz val="11"/>
            <color rgb="FF000000"/>
            <rFont val="Calibri"/>
          </rPr>
          <t xml:space="preserve"> command.</t>
        </r>
      </text>
    </comment>
    <comment ref="AD24" authorId="0" shapeId="0" xr:uid="{00000000-0006-0000-0600-00007A000000}">
      <text>
        <r>
          <rPr>
            <sz val="11"/>
            <rFont val="Calibri"/>
          </rPr>
          <t xml:space="preserve">OL 8 must generate audit records for any use of the </t>
        </r>
        <r>
          <rPr>
            <sz val="11"/>
            <color rgb="FF000000"/>
            <rFont val="Calibri"/>
          </rPr>
          <t>"</t>
        </r>
        <r>
          <rPr>
            <b/>
            <sz val="11"/>
            <color rgb="FF000000"/>
            <rFont val="Calibri"/>
          </rPr>
          <t>userhelper</t>
        </r>
        <r>
          <rPr>
            <sz val="11"/>
            <color rgb="FF000000"/>
            <rFont val="Calibri"/>
          </rPr>
          <t>"</t>
        </r>
        <r>
          <rPr>
            <sz val="11"/>
            <color rgb="FF000000"/>
            <rFont val="Calibri"/>
          </rPr>
          <t xml:space="preserve"> command.</t>
        </r>
      </text>
    </comment>
    <comment ref="AE24" authorId="0" shapeId="0" xr:uid="{00000000-0006-0000-0600-00007B000000}">
      <text>
        <r>
          <rPr>
            <sz val="11"/>
            <rFont val="Calibri"/>
          </rPr>
          <t xml:space="preserve">OL 8 must generate audit records for any use of the </t>
        </r>
        <r>
          <rPr>
            <sz val="11"/>
            <color rgb="FF000000"/>
            <rFont val="Calibri"/>
          </rPr>
          <t>"</t>
        </r>
        <r>
          <rPr>
            <b/>
            <sz val="11"/>
            <color rgb="FF000000"/>
            <rFont val="Calibri"/>
          </rPr>
          <t>setsebool</t>
        </r>
        <r>
          <rPr>
            <sz val="11"/>
            <color rgb="FF000000"/>
            <rFont val="Calibri"/>
          </rPr>
          <t>"</t>
        </r>
        <r>
          <rPr>
            <sz val="11"/>
            <color rgb="FF000000"/>
            <rFont val="Calibri"/>
          </rPr>
          <t xml:space="preserve"> command.</t>
        </r>
      </text>
    </comment>
    <comment ref="AF24" authorId="0" shapeId="0" xr:uid="{00000000-0006-0000-0600-00007C000000}">
      <text>
        <r>
          <rPr>
            <sz val="11"/>
            <rFont val="Calibri"/>
          </rPr>
          <t xml:space="preserve">OL 8 must generate audit records for any use of the </t>
        </r>
        <r>
          <rPr>
            <sz val="11"/>
            <color rgb="FF000000"/>
            <rFont val="Calibri"/>
          </rPr>
          <t>"</t>
        </r>
        <r>
          <rPr>
            <b/>
            <sz val="11"/>
            <color rgb="FF000000"/>
            <rFont val="Calibri"/>
          </rPr>
          <t>unix_chkpwd</t>
        </r>
        <r>
          <rPr>
            <sz val="11"/>
            <color rgb="FF000000"/>
            <rFont val="Calibri"/>
          </rPr>
          <t>"</t>
        </r>
        <r>
          <rPr>
            <sz val="11"/>
            <color rgb="FF000000"/>
            <rFont val="Calibri"/>
          </rPr>
          <t xml:space="preserve"> command.</t>
        </r>
      </text>
    </comment>
    <comment ref="AG24" authorId="0" shapeId="0" xr:uid="{00000000-0006-0000-0600-00007D000000}">
      <text>
        <r>
          <rPr>
            <sz val="11"/>
            <rFont val="Calibri"/>
          </rPr>
          <t xml:space="preserve">OL 8 must generate audit records for any use of the </t>
        </r>
        <r>
          <rPr>
            <sz val="11"/>
            <color rgb="FF000000"/>
            <rFont val="Calibri"/>
          </rPr>
          <t>"</t>
        </r>
        <r>
          <rPr>
            <b/>
            <sz val="11"/>
            <color rgb="FF000000"/>
            <rFont val="Calibri"/>
          </rPr>
          <t>ssh-keysign</t>
        </r>
        <r>
          <rPr>
            <sz val="11"/>
            <color rgb="FF000000"/>
            <rFont val="Calibri"/>
          </rPr>
          <t>"</t>
        </r>
        <r>
          <rPr>
            <sz val="11"/>
            <color rgb="FF000000"/>
            <rFont val="Calibri"/>
          </rPr>
          <t xml:space="preserve"> command.</t>
        </r>
      </text>
    </comment>
    <comment ref="AH24" authorId="0" shapeId="0" xr:uid="{00000000-0006-0000-0600-00007E000000}">
      <text>
        <r>
          <rPr>
            <sz val="11"/>
            <rFont val="Calibri"/>
          </rPr>
          <t xml:space="preserve">OL 8 must generate audit records for any use of the </t>
        </r>
        <r>
          <rPr>
            <sz val="11"/>
            <color rgb="FF000000"/>
            <rFont val="Calibri"/>
          </rPr>
          <t>"</t>
        </r>
        <r>
          <rPr>
            <b/>
            <sz val="11"/>
            <color rgb="FF000000"/>
            <rFont val="Calibri"/>
          </rPr>
          <t>setfacl</t>
        </r>
        <r>
          <rPr>
            <sz val="11"/>
            <color rgb="FF000000"/>
            <rFont val="Calibri"/>
          </rPr>
          <t>"</t>
        </r>
        <r>
          <rPr>
            <sz val="11"/>
            <color rgb="FF000000"/>
            <rFont val="Calibri"/>
          </rPr>
          <t xml:space="preserve"> command.</t>
        </r>
      </text>
    </comment>
    <comment ref="AI24" authorId="0" shapeId="0" xr:uid="{00000000-0006-0000-0600-00007F000000}">
      <text>
        <r>
          <rPr>
            <sz val="11"/>
            <rFont val="Calibri"/>
          </rPr>
          <t xml:space="preserve">OL 8 must generate audit records for any use of the </t>
        </r>
        <r>
          <rPr>
            <sz val="11"/>
            <color rgb="FF000000"/>
            <rFont val="Calibri"/>
          </rPr>
          <t>"</t>
        </r>
        <r>
          <rPr>
            <b/>
            <sz val="11"/>
            <color rgb="FF000000"/>
            <rFont val="Calibri"/>
          </rPr>
          <t>newgrp</t>
        </r>
        <r>
          <rPr>
            <sz val="11"/>
            <color rgb="FF000000"/>
            <rFont val="Calibri"/>
          </rPr>
          <t>"</t>
        </r>
        <r>
          <rPr>
            <sz val="11"/>
            <color rgb="FF000000"/>
            <rFont val="Calibri"/>
          </rPr>
          <t xml:space="preserve"> command.</t>
        </r>
      </text>
    </comment>
    <comment ref="AJ24" authorId="0" shapeId="0" xr:uid="{00000000-0006-0000-0600-000080000000}">
      <text>
        <r>
          <rPr>
            <sz val="11"/>
            <rFont val="Calibri"/>
          </rPr>
          <t xml:space="preserve">OL 8 must generate audit records for any use of the </t>
        </r>
        <r>
          <rPr>
            <sz val="11"/>
            <color rgb="FF000000"/>
            <rFont val="Calibri"/>
          </rPr>
          <t>"</t>
        </r>
        <r>
          <rPr>
            <b/>
            <sz val="11"/>
            <color rgb="FF000000"/>
            <rFont val="Calibri"/>
          </rPr>
          <t>init_module</t>
        </r>
        <r>
          <rPr>
            <sz val="11"/>
            <color rgb="FF000000"/>
            <rFont val="Calibri"/>
          </rPr>
          <t>"</t>
        </r>
        <r>
          <rPr>
            <sz val="11"/>
            <color rgb="FF000000"/>
            <rFont val="Calibri"/>
          </rPr>
          <t xml:space="preserve"> and </t>
        </r>
        <r>
          <rPr>
            <sz val="11"/>
            <color rgb="FF000000"/>
            <rFont val="Calibri"/>
          </rPr>
          <t>"</t>
        </r>
        <r>
          <rPr>
            <b/>
            <sz val="11"/>
            <color rgb="FF000000"/>
            <rFont val="Calibri"/>
          </rPr>
          <t>finit_module</t>
        </r>
        <r>
          <rPr>
            <sz val="11"/>
            <color rgb="FF000000"/>
            <rFont val="Calibri"/>
          </rPr>
          <t>"</t>
        </r>
        <r>
          <rPr>
            <sz val="11"/>
            <color rgb="FF000000"/>
            <rFont val="Calibri"/>
          </rPr>
          <t xml:space="preserve"> system calls.</t>
        </r>
      </text>
    </comment>
    <comment ref="AK24" authorId="0" shapeId="0" xr:uid="{00000000-0006-0000-0600-000081000000}">
      <text>
        <r>
          <rPr>
            <sz val="11"/>
            <rFont val="Calibri"/>
          </rPr>
          <t xml:space="preserve">OL 8 must generate audit records for any use of the </t>
        </r>
        <r>
          <rPr>
            <sz val="11"/>
            <color rgb="FF000000"/>
            <rFont val="Calibri"/>
          </rPr>
          <t>"</t>
        </r>
        <r>
          <rPr>
            <b/>
            <sz val="11"/>
            <color rgb="FF000000"/>
            <rFont val="Calibri"/>
          </rPr>
          <t>rename</t>
        </r>
        <r>
          <rPr>
            <sz val="11"/>
            <color rgb="FF000000"/>
            <rFont val="Calibri"/>
          </rPr>
          <t>"</t>
        </r>
        <r>
          <rPr>
            <sz val="11"/>
            <color rgb="FF000000"/>
            <rFont val="Calibri"/>
          </rPr>
          <t xml:space="preserve">, </t>
        </r>
        <r>
          <rPr>
            <sz val="11"/>
            <color rgb="FF000000"/>
            <rFont val="Calibri"/>
          </rPr>
          <t>"</t>
        </r>
        <r>
          <rPr>
            <b/>
            <sz val="11"/>
            <color rgb="FF000000"/>
            <rFont val="Calibri"/>
          </rPr>
          <t>unlink</t>
        </r>
        <r>
          <rPr>
            <sz val="11"/>
            <color rgb="FF000000"/>
            <rFont val="Calibri"/>
          </rPr>
          <t>"</t>
        </r>
        <r>
          <rPr>
            <sz val="11"/>
            <color rgb="FF000000"/>
            <rFont val="Calibri"/>
          </rPr>
          <t xml:space="preserve">, </t>
        </r>
        <r>
          <rPr>
            <sz val="11"/>
            <color rgb="FF000000"/>
            <rFont val="Calibri"/>
          </rPr>
          <t>"</t>
        </r>
        <r>
          <rPr>
            <b/>
            <sz val="11"/>
            <color rgb="FF000000"/>
            <rFont val="Calibri"/>
          </rPr>
          <t>rmdir</t>
        </r>
        <r>
          <rPr>
            <sz val="11"/>
            <color rgb="FF000000"/>
            <rFont val="Calibri"/>
          </rPr>
          <t>"</t>
        </r>
        <r>
          <rPr>
            <sz val="11"/>
            <color rgb="FF000000"/>
            <rFont val="Calibri"/>
          </rPr>
          <t xml:space="preserve">, </t>
        </r>
        <r>
          <rPr>
            <sz val="11"/>
            <color rgb="FF000000"/>
            <rFont val="Calibri"/>
          </rPr>
          <t>"</t>
        </r>
        <r>
          <rPr>
            <b/>
            <sz val="11"/>
            <color rgb="FF000000"/>
            <rFont val="Calibri"/>
          </rPr>
          <t>renameat</t>
        </r>
        <r>
          <rPr>
            <sz val="11"/>
            <color rgb="FF000000"/>
            <rFont val="Calibri"/>
          </rPr>
          <t>"</t>
        </r>
        <r>
          <rPr>
            <sz val="11"/>
            <color rgb="FF000000"/>
            <rFont val="Calibri"/>
          </rPr>
          <t xml:space="preserve">, and </t>
        </r>
        <r>
          <rPr>
            <sz val="11"/>
            <color rgb="FF000000"/>
            <rFont val="Calibri"/>
          </rPr>
          <t>"</t>
        </r>
        <r>
          <rPr>
            <b/>
            <sz val="11"/>
            <color rgb="FF000000"/>
            <rFont val="Calibri"/>
          </rPr>
          <t>unlinkat</t>
        </r>
        <r>
          <rPr>
            <sz val="11"/>
            <color rgb="FF000000"/>
            <rFont val="Calibri"/>
          </rPr>
          <t>"</t>
        </r>
        <r>
          <rPr>
            <sz val="11"/>
            <color rgb="FF000000"/>
            <rFont val="Calibri"/>
          </rPr>
          <t xml:space="preserve"> system calls.</t>
        </r>
      </text>
    </comment>
    <comment ref="AL24" authorId="0" shapeId="0" xr:uid="{00000000-0006-0000-0600-000082000000}">
      <text>
        <r>
          <rPr>
            <sz val="11"/>
            <rFont val="Calibri"/>
          </rPr>
          <t xml:space="preserve">OL 8 must generate audit records for any use of the </t>
        </r>
        <r>
          <rPr>
            <sz val="11"/>
            <color rgb="FF000000"/>
            <rFont val="Calibri"/>
          </rPr>
          <t>"</t>
        </r>
        <r>
          <rPr>
            <b/>
            <sz val="11"/>
            <color rgb="FF000000"/>
            <rFont val="Calibri"/>
          </rPr>
          <t>gpasswd</t>
        </r>
        <r>
          <rPr>
            <sz val="11"/>
            <color rgb="FF000000"/>
            <rFont val="Calibri"/>
          </rPr>
          <t>"</t>
        </r>
        <r>
          <rPr>
            <sz val="11"/>
            <color rgb="FF000000"/>
            <rFont val="Calibri"/>
          </rPr>
          <t xml:space="preserve"> command.</t>
        </r>
      </text>
    </comment>
    <comment ref="AM24" authorId="0" shapeId="0" xr:uid="{00000000-0006-0000-0600-000083000000}">
      <text>
        <r>
          <rPr>
            <sz val="11"/>
            <rFont val="Calibri"/>
          </rPr>
          <t>OL 8 must generate audit records for any use of the delete_module syscall.</t>
        </r>
      </text>
    </comment>
    <comment ref="AN24" authorId="0" shapeId="0" xr:uid="{00000000-0006-0000-0600-000084000000}">
      <text>
        <r>
          <rPr>
            <sz val="11"/>
            <rFont val="Calibri"/>
          </rPr>
          <t xml:space="preserve">OL 8 must generate audit records for any use of the </t>
        </r>
        <r>
          <rPr>
            <sz val="11"/>
            <color rgb="FF000000"/>
            <rFont val="Calibri"/>
          </rPr>
          <t>"</t>
        </r>
        <r>
          <rPr>
            <b/>
            <sz val="11"/>
            <color rgb="FF000000"/>
            <rFont val="Calibri"/>
          </rPr>
          <t>crontab</t>
        </r>
        <r>
          <rPr>
            <sz val="11"/>
            <color rgb="FF000000"/>
            <rFont val="Calibri"/>
          </rPr>
          <t>"</t>
        </r>
        <r>
          <rPr>
            <sz val="11"/>
            <color rgb="FF000000"/>
            <rFont val="Calibri"/>
          </rPr>
          <t xml:space="preserve"> command.</t>
        </r>
      </text>
    </comment>
    <comment ref="AO24" authorId="0" shapeId="0" xr:uid="{00000000-0006-0000-0600-000085000000}">
      <text>
        <r>
          <rPr>
            <sz val="11"/>
            <rFont val="Calibri"/>
          </rPr>
          <t xml:space="preserve">OL 8 must generate audit records for any use of the </t>
        </r>
        <r>
          <rPr>
            <sz val="11"/>
            <color rgb="FF000000"/>
            <rFont val="Calibri"/>
          </rPr>
          <t>"</t>
        </r>
        <r>
          <rPr>
            <b/>
            <sz val="11"/>
            <color rgb="FF000000"/>
            <rFont val="Calibri"/>
          </rPr>
          <t>chsh</t>
        </r>
        <r>
          <rPr>
            <sz val="11"/>
            <color rgb="FF000000"/>
            <rFont val="Calibri"/>
          </rPr>
          <t>"</t>
        </r>
        <r>
          <rPr>
            <sz val="11"/>
            <color rgb="FF000000"/>
            <rFont val="Calibri"/>
          </rPr>
          <t xml:space="preserve"> command.</t>
        </r>
      </text>
    </comment>
    <comment ref="AP24" authorId="0" shapeId="0" xr:uid="{00000000-0006-0000-0600-000086000000}">
      <text>
        <r>
          <rPr>
            <sz val="11"/>
            <rFont val="Calibri"/>
          </rPr>
          <t xml:space="preserve">OL 8 must generate audit records for any use of the </t>
        </r>
        <r>
          <rPr>
            <sz val="11"/>
            <color rgb="FF000000"/>
            <rFont val="Calibri"/>
          </rPr>
          <t>"</t>
        </r>
        <r>
          <rPr>
            <b/>
            <sz val="11"/>
            <color rgb="FF000000"/>
            <rFont val="Calibri"/>
          </rPr>
          <t>truncate</t>
        </r>
        <r>
          <rPr>
            <sz val="11"/>
            <color rgb="FF000000"/>
            <rFont val="Calibri"/>
          </rPr>
          <t>"</t>
        </r>
        <r>
          <rPr>
            <sz val="11"/>
            <color rgb="FF000000"/>
            <rFont val="Calibri"/>
          </rPr>
          <t xml:space="preserve">, </t>
        </r>
        <r>
          <rPr>
            <sz val="11"/>
            <color rgb="FF000000"/>
            <rFont val="Calibri"/>
          </rPr>
          <t>"</t>
        </r>
        <r>
          <rPr>
            <b/>
            <sz val="11"/>
            <color rgb="FF000000"/>
            <rFont val="Calibri"/>
          </rPr>
          <t>ftruncate</t>
        </r>
        <r>
          <rPr>
            <sz val="11"/>
            <color rgb="FF000000"/>
            <rFont val="Calibri"/>
          </rPr>
          <t>"</t>
        </r>
        <r>
          <rPr>
            <sz val="11"/>
            <color rgb="FF000000"/>
            <rFont val="Calibri"/>
          </rPr>
          <t xml:space="preserve">, </t>
        </r>
        <r>
          <rPr>
            <sz val="11"/>
            <color rgb="FF000000"/>
            <rFont val="Calibri"/>
          </rPr>
          <t>"</t>
        </r>
        <r>
          <rPr>
            <b/>
            <sz val="11"/>
            <color rgb="FF000000"/>
            <rFont val="Calibri"/>
          </rPr>
          <t>creat</t>
        </r>
        <r>
          <rPr>
            <sz val="11"/>
            <color rgb="FF000000"/>
            <rFont val="Calibri"/>
          </rPr>
          <t>"</t>
        </r>
        <r>
          <rPr>
            <sz val="11"/>
            <color rgb="FF000000"/>
            <rFont val="Calibri"/>
          </rPr>
          <t xml:space="preserve">, </t>
        </r>
        <r>
          <rPr>
            <sz val="11"/>
            <color rgb="FF000000"/>
            <rFont val="Calibri"/>
          </rPr>
          <t>"</t>
        </r>
        <r>
          <rPr>
            <b/>
            <sz val="11"/>
            <color rgb="FF000000"/>
            <rFont val="Calibri"/>
          </rPr>
          <t>open</t>
        </r>
        <r>
          <rPr>
            <sz val="11"/>
            <color rgb="FF000000"/>
            <rFont val="Calibri"/>
          </rPr>
          <t>"</t>
        </r>
        <r>
          <rPr>
            <sz val="11"/>
            <color rgb="FF000000"/>
            <rFont val="Calibri"/>
          </rPr>
          <t xml:space="preserve">, </t>
        </r>
        <r>
          <rPr>
            <sz val="11"/>
            <color rgb="FF000000"/>
            <rFont val="Calibri"/>
          </rPr>
          <t>"</t>
        </r>
        <r>
          <rPr>
            <b/>
            <sz val="11"/>
            <color rgb="FF000000"/>
            <rFont val="Calibri"/>
          </rPr>
          <t>openat</t>
        </r>
        <r>
          <rPr>
            <sz val="11"/>
            <color rgb="FF000000"/>
            <rFont val="Calibri"/>
          </rPr>
          <t>"</t>
        </r>
        <r>
          <rPr>
            <sz val="11"/>
            <color rgb="FF000000"/>
            <rFont val="Calibri"/>
          </rPr>
          <t xml:space="preserve">, and </t>
        </r>
        <r>
          <rPr>
            <sz val="11"/>
            <color rgb="FF000000"/>
            <rFont val="Calibri"/>
          </rPr>
          <t>"</t>
        </r>
        <r>
          <rPr>
            <b/>
            <sz val="11"/>
            <color rgb="FF000000"/>
            <rFont val="Calibri"/>
          </rPr>
          <t>open_by_handle_at</t>
        </r>
        <r>
          <rPr>
            <sz val="11"/>
            <color rgb="FF000000"/>
            <rFont val="Calibri"/>
          </rPr>
          <t>"</t>
        </r>
        <r>
          <rPr>
            <sz val="11"/>
            <color rgb="FF000000"/>
            <rFont val="Calibri"/>
          </rPr>
          <t xml:space="preserve"> system calls.</t>
        </r>
      </text>
    </comment>
    <comment ref="AQ24" authorId="0" shapeId="0" xr:uid="{00000000-0006-0000-0600-000087000000}">
      <text>
        <r>
          <rPr>
            <sz val="11"/>
            <rFont val="Calibri"/>
          </rPr>
          <t xml:space="preserve">OL 8 must generate audit records for any use of the </t>
        </r>
        <r>
          <rPr>
            <sz val="11"/>
            <color rgb="FF000000"/>
            <rFont val="Calibri"/>
          </rPr>
          <t>"</t>
        </r>
        <r>
          <rPr>
            <b/>
            <sz val="11"/>
            <color rgb="FF000000"/>
            <rFont val="Calibri"/>
          </rPr>
          <t>chown</t>
        </r>
        <r>
          <rPr>
            <sz val="11"/>
            <color rgb="FF000000"/>
            <rFont val="Calibri"/>
          </rPr>
          <t>"</t>
        </r>
        <r>
          <rPr>
            <sz val="11"/>
            <color rgb="FF000000"/>
            <rFont val="Calibri"/>
          </rPr>
          <t xml:space="preserve">, </t>
        </r>
        <r>
          <rPr>
            <sz val="11"/>
            <color rgb="FF000000"/>
            <rFont val="Calibri"/>
          </rPr>
          <t>"</t>
        </r>
        <r>
          <rPr>
            <b/>
            <sz val="11"/>
            <color rgb="FF000000"/>
            <rFont val="Calibri"/>
          </rPr>
          <t>fchown</t>
        </r>
        <r>
          <rPr>
            <sz val="11"/>
            <color rgb="FF000000"/>
            <rFont val="Calibri"/>
          </rPr>
          <t>"</t>
        </r>
        <r>
          <rPr>
            <sz val="11"/>
            <color rgb="FF000000"/>
            <rFont val="Calibri"/>
          </rPr>
          <t xml:space="preserve">, </t>
        </r>
        <r>
          <rPr>
            <sz val="11"/>
            <color rgb="FF000000"/>
            <rFont val="Calibri"/>
          </rPr>
          <t>"</t>
        </r>
        <r>
          <rPr>
            <b/>
            <sz val="11"/>
            <color rgb="FF000000"/>
            <rFont val="Calibri"/>
          </rPr>
          <t>fchownat</t>
        </r>
        <r>
          <rPr>
            <sz val="11"/>
            <color rgb="FF000000"/>
            <rFont val="Calibri"/>
          </rPr>
          <t>"</t>
        </r>
        <r>
          <rPr>
            <sz val="11"/>
            <color rgb="FF000000"/>
            <rFont val="Calibri"/>
          </rPr>
          <t xml:space="preserve">, and </t>
        </r>
        <r>
          <rPr>
            <sz val="11"/>
            <color rgb="FF000000"/>
            <rFont val="Calibri"/>
          </rPr>
          <t>"</t>
        </r>
        <r>
          <rPr>
            <b/>
            <sz val="11"/>
            <color rgb="FF000000"/>
            <rFont val="Calibri"/>
          </rPr>
          <t>lchown</t>
        </r>
        <r>
          <rPr>
            <sz val="11"/>
            <color rgb="FF000000"/>
            <rFont val="Calibri"/>
          </rPr>
          <t>"</t>
        </r>
        <r>
          <rPr>
            <sz val="11"/>
            <color rgb="FF000000"/>
            <rFont val="Calibri"/>
          </rPr>
          <t xml:space="preserve"> system calls.</t>
        </r>
      </text>
    </comment>
    <comment ref="AR24" authorId="0" shapeId="0" xr:uid="{00000000-0006-0000-0600-000088000000}">
      <text>
        <r>
          <rPr>
            <sz val="11"/>
            <rFont val="Calibri"/>
          </rPr>
          <t xml:space="preserve">OL 8 must generate audit records for any use of the </t>
        </r>
        <r>
          <rPr>
            <sz val="11"/>
            <color rgb="FF000000"/>
            <rFont val="Calibri"/>
          </rPr>
          <t>"</t>
        </r>
        <r>
          <rPr>
            <b/>
            <sz val="11"/>
            <color rgb="FF000000"/>
            <rFont val="Calibri"/>
          </rPr>
          <t>chmod</t>
        </r>
        <r>
          <rPr>
            <sz val="11"/>
            <color rgb="FF000000"/>
            <rFont val="Calibri"/>
          </rPr>
          <t>"</t>
        </r>
        <r>
          <rPr>
            <sz val="11"/>
            <color rgb="FF000000"/>
            <rFont val="Calibri"/>
          </rPr>
          <t xml:space="preserve">, </t>
        </r>
        <r>
          <rPr>
            <sz val="11"/>
            <color rgb="FF000000"/>
            <rFont val="Calibri"/>
          </rPr>
          <t>"</t>
        </r>
        <r>
          <rPr>
            <b/>
            <sz val="11"/>
            <color rgb="FF000000"/>
            <rFont val="Calibri"/>
          </rPr>
          <t>fchmod</t>
        </r>
        <r>
          <rPr>
            <sz val="11"/>
            <color rgb="FF000000"/>
            <rFont val="Calibri"/>
          </rPr>
          <t>"</t>
        </r>
        <r>
          <rPr>
            <sz val="11"/>
            <color rgb="FF000000"/>
            <rFont val="Calibri"/>
          </rPr>
          <t xml:space="preserve">, and </t>
        </r>
        <r>
          <rPr>
            <sz val="11"/>
            <color rgb="FF000000"/>
            <rFont val="Calibri"/>
          </rPr>
          <t>"</t>
        </r>
        <r>
          <rPr>
            <b/>
            <sz val="11"/>
            <color rgb="FF000000"/>
            <rFont val="Calibri"/>
          </rPr>
          <t>fchmodat</t>
        </r>
        <r>
          <rPr>
            <sz val="11"/>
            <color rgb="FF000000"/>
            <rFont val="Calibri"/>
          </rPr>
          <t>"</t>
        </r>
        <r>
          <rPr>
            <sz val="11"/>
            <color rgb="FF000000"/>
            <rFont val="Calibri"/>
          </rPr>
          <t xml:space="preserve"> system calls.</t>
        </r>
      </text>
    </comment>
    <comment ref="AS24" authorId="0" shapeId="0" xr:uid="{00000000-0006-0000-0600-000089000000}">
      <text>
        <r>
          <rPr>
            <sz val="11"/>
            <rFont val="Calibri"/>
          </rPr>
          <t xml:space="preserve">OL 8 must generate audit records for any use of the </t>
        </r>
        <r>
          <rPr>
            <sz val="11"/>
            <color rgb="FF000000"/>
            <rFont val="Calibri"/>
          </rPr>
          <t>"</t>
        </r>
        <r>
          <rPr>
            <b/>
            <sz val="11"/>
            <color rgb="FF000000"/>
            <rFont val="Calibri"/>
          </rPr>
          <t>usermod</t>
        </r>
        <r>
          <rPr>
            <sz val="11"/>
            <color rgb="FF000000"/>
            <rFont val="Calibri"/>
          </rPr>
          <t>"</t>
        </r>
        <r>
          <rPr>
            <sz val="11"/>
            <color rgb="FF000000"/>
            <rFont val="Calibri"/>
          </rPr>
          <t xml:space="preserve"> command.</t>
        </r>
      </text>
    </comment>
    <comment ref="AT24" authorId="0" shapeId="0" xr:uid="{00000000-0006-0000-0600-00008A000000}">
      <text>
        <r>
          <rPr>
            <sz val="11"/>
            <rFont val="Calibri"/>
          </rPr>
          <t xml:space="preserve">OL 8 must generate audit records for any use of the </t>
        </r>
        <r>
          <rPr>
            <sz val="11"/>
            <color rgb="FF000000"/>
            <rFont val="Calibri"/>
          </rPr>
          <t>"</t>
        </r>
        <r>
          <rPr>
            <b/>
            <sz val="11"/>
            <color rgb="FF000000"/>
            <rFont val="Calibri"/>
          </rPr>
          <t>chacl</t>
        </r>
        <r>
          <rPr>
            <sz val="11"/>
            <color rgb="FF000000"/>
            <rFont val="Calibri"/>
          </rPr>
          <t>"</t>
        </r>
        <r>
          <rPr>
            <sz val="11"/>
            <color rgb="FF000000"/>
            <rFont val="Calibri"/>
          </rPr>
          <t xml:space="preserve"> command.</t>
        </r>
      </text>
    </comment>
    <comment ref="AU24" authorId="0" shapeId="0" xr:uid="{00000000-0006-0000-0600-00008B000000}">
      <text>
        <r>
          <rPr>
            <sz val="11"/>
            <rFont val="Calibri"/>
          </rPr>
          <t xml:space="preserve">OL 8 must generate audit records for any use of the </t>
        </r>
        <r>
          <rPr>
            <sz val="11"/>
            <color rgb="FF000000"/>
            <rFont val="Calibri"/>
          </rPr>
          <t>"</t>
        </r>
        <r>
          <rPr>
            <b/>
            <sz val="11"/>
            <color rgb="FF000000"/>
            <rFont val="Calibri"/>
          </rPr>
          <t>kmod</t>
        </r>
        <r>
          <rPr>
            <sz val="11"/>
            <color rgb="FF000000"/>
            <rFont val="Calibri"/>
          </rPr>
          <t>"</t>
        </r>
        <r>
          <rPr>
            <sz val="11"/>
            <color rgb="FF000000"/>
            <rFont val="Calibri"/>
          </rPr>
          <t xml:space="preserve"> command.</t>
        </r>
      </text>
    </comment>
    <comment ref="AV24" authorId="0" shapeId="0" xr:uid="{00000000-0006-0000-0600-00008C000000}">
      <text>
        <r>
          <rPr>
            <sz val="11"/>
            <rFont val="Calibri"/>
          </rPr>
          <t xml:space="preserve">OL 8 must generate audit records for any attempted modifications to the </t>
        </r>
        <r>
          <rPr>
            <sz val="11"/>
            <color rgb="FF000000"/>
            <rFont val="Calibri"/>
          </rPr>
          <t>"</t>
        </r>
        <r>
          <rPr>
            <b/>
            <sz val="11"/>
            <color rgb="FF000000"/>
            <rFont val="Calibri"/>
          </rPr>
          <t>faillock</t>
        </r>
        <r>
          <rPr>
            <sz val="11"/>
            <color rgb="FF000000"/>
            <rFont val="Calibri"/>
          </rPr>
          <t>"</t>
        </r>
        <r>
          <rPr>
            <sz val="11"/>
            <color rgb="FF000000"/>
            <rFont val="Calibri"/>
          </rPr>
          <t xml:space="preserve"> log file.</t>
        </r>
      </text>
    </comment>
    <comment ref="AW24" authorId="0" shapeId="0" xr:uid="{00000000-0006-0000-0600-00008D000000}">
      <text>
        <r>
          <rPr>
            <sz val="11"/>
            <rFont val="Calibri"/>
          </rPr>
          <t xml:space="preserve">OL 8 must generate audit records for any attempted modifications to the </t>
        </r>
        <r>
          <rPr>
            <sz val="11"/>
            <color rgb="FF000000"/>
            <rFont val="Calibri"/>
          </rPr>
          <t>"</t>
        </r>
        <r>
          <rPr>
            <b/>
            <sz val="11"/>
            <color rgb="FF000000"/>
            <rFont val="Calibri"/>
          </rPr>
          <t>lastlog</t>
        </r>
        <r>
          <rPr>
            <sz val="11"/>
            <color rgb="FF000000"/>
            <rFont val="Calibri"/>
          </rPr>
          <t>"</t>
        </r>
        <r>
          <rPr>
            <sz val="11"/>
            <color rgb="FF000000"/>
            <rFont val="Calibri"/>
          </rPr>
          <t xml:space="preserve"> file.</t>
        </r>
      </text>
    </comment>
    <comment ref="J25" authorId="0" shapeId="0" xr:uid="{00000000-0006-0000-0600-00008E000000}">
      <text>
        <r>
          <rPr>
            <sz val="11"/>
            <rFont val="Calibri"/>
          </rPr>
          <t>The OL 8 audit system must audit local events.</t>
        </r>
      </text>
    </comment>
    <comment ref="K25" authorId="0" shapeId="0" xr:uid="{00000000-0006-0000-0600-00008F000000}">
      <text>
        <r>
          <rPr>
            <sz val="11"/>
            <rFont val="Calibri"/>
          </rPr>
          <t>OL 8 must enable auditing of processes that start prior to the audit daemon.</t>
        </r>
      </text>
    </comment>
    <comment ref="L25" authorId="0" shapeId="0" xr:uid="{00000000-0006-0000-0600-000090000000}">
      <text>
        <r>
          <rPr>
            <sz val="11"/>
            <rFont val="Calibri"/>
          </rPr>
          <t xml:space="preserve">OL 8 must allocate an </t>
        </r>
        <r>
          <rPr>
            <sz val="11"/>
            <color rgb="FF000000"/>
            <rFont val="Calibri"/>
          </rPr>
          <t>"</t>
        </r>
        <r>
          <rPr>
            <b/>
            <sz val="11"/>
            <color rgb="FF000000"/>
            <rFont val="Calibri"/>
          </rPr>
          <t>audit_backlog_limit</t>
        </r>
        <r>
          <rPr>
            <sz val="11"/>
            <color rgb="FF000000"/>
            <rFont val="Calibri"/>
          </rPr>
          <t>"</t>
        </r>
        <r>
          <rPr>
            <sz val="11"/>
            <color rgb="FF000000"/>
            <rFont val="Calibri"/>
          </rPr>
          <t xml:space="preserve"> of sufficient size to capture processes that start prior to the audit daemon.</t>
        </r>
      </text>
    </comment>
    <comment ref="J26" authorId="0" shapeId="0" xr:uid="{00000000-0006-0000-0600-000091000000}">
      <text>
        <r>
          <rPr>
            <sz val="11"/>
            <rFont val="Calibri"/>
          </rPr>
          <t>The OL 8 System Administrator (SA) and Information System Security Officer (ISSO) (at a minimum) must be alerted of an audit processing failure event.</t>
        </r>
      </text>
    </comment>
    <comment ref="K26" authorId="0" shapeId="0" xr:uid="{00000000-0006-0000-0600-000092000000}">
      <text>
        <r>
          <rPr>
            <sz val="11"/>
            <rFont val="Calibri"/>
          </rPr>
          <t>The OL 8 Information System Security Officer (ISSO) and System Administrator (SA) (at a minimum) must have mail aliases to be notified of an audit processing failure.</t>
        </r>
      </text>
    </comment>
    <comment ref="L26" authorId="0" shapeId="0" xr:uid="{00000000-0006-0000-0600-000093000000}">
      <text>
        <r>
          <rPr>
            <sz val="11"/>
            <rFont val="Calibri"/>
          </rPr>
          <t>The OL 8 System must take appropriate action when an audit processing failure occurs.</t>
        </r>
      </text>
    </comment>
    <comment ref="M26" authorId="0" shapeId="0" xr:uid="{00000000-0006-0000-0600-000094000000}">
      <text>
        <r>
          <rPr>
            <sz val="11"/>
            <rFont val="Calibri"/>
          </rPr>
          <t>The OL 8 audit system must take appropriate action when the audit storage volume is full.</t>
        </r>
      </text>
    </comment>
    <comment ref="N26" authorId="0" shapeId="0" xr:uid="{00000000-0006-0000-0600-000095000000}">
      <text>
        <r>
          <rPr>
            <sz val="11"/>
            <rFont val="Calibri"/>
          </rPr>
          <t>OL 8 must notify the System Administrator (SA) and Information System Security Officer (ISSO) (at a minimum) when allocated audit record storage volume 75 percent utilization.</t>
        </r>
      </text>
    </comment>
    <comment ref="J29" authorId="0" shapeId="0" xr:uid="{00000000-0006-0000-0600-000096000000}">
      <text>
        <r>
          <rPr>
            <sz val="11"/>
            <rFont val="Calibri"/>
          </rPr>
          <t xml:space="preserve">OL 8 must generate audit records for any use of the </t>
        </r>
        <r>
          <rPr>
            <sz val="11"/>
            <color rgb="FF000000"/>
            <rFont val="Calibri"/>
          </rPr>
          <t>"</t>
        </r>
        <r>
          <rPr>
            <b/>
            <sz val="11"/>
            <color rgb="FF000000"/>
            <rFont val="Calibri"/>
          </rPr>
          <t>pam_timestamp_check</t>
        </r>
        <r>
          <rPr>
            <sz val="11"/>
            <color rgb="FF000000"/>
            <rFont val="Calibri"/>
          </rPr>
          <t>"</t>
        </r>
        <r>
          <rPr>
            <sz val="11"/>
            <color rgb="FF000000"/>
            <rFont val="Calibri"/>
          </rPr>
          <t xml:space="preserve"> command.</t>
        </r>
      </text>
    </comment>
    <comment ref="K29" authorId="0" shapeId="0" xr:uid="{00000000-0006-0000-0600-000097000000}">
      <text>
        <r>
          <rPr>
            <sz val="11"/>
            <rFont val="Calibri"/>
          </rPr>
          <t>OL 8 must compare internal information system clocks at least every 24 hours with a server synchronized to an authoritative time source, such as the United States Naval Observatory (USNO) time servers, or a time server designated for the appropriate DOD network (NIPRNet/SIPRNet), and/or the Global Positioning System (GPS).</t>
        </r>
      </text>
    </comment>
    <comment ref="L29" authorId="0" shapeId="0" xr:uid="{00000000-0006-0000-0600-000098000000}">
      <text>
        <r>
          <rPr>
            <sz val="11"/>
            <rFont val="Calibri"/>
          </rPr>
          <t>OL 8 must disable the chrony daemon from acting as a server.</t>
        </r>
      </text>
    </comment>
    <comment ref="J30" authorId="0" shapeId="0" xr:uid="{00000000-0006-0000-0600-000099000000}">
      <text>
        <r>
          <rPr>
            <sz val="11"/>
            <rFont val="Calibri"/>
          </rPr>
          <t xml:space="preserve">The OL 8 </t>
        </r>
        <r>
          <rPr>
            <sz val="11"/>
            <color rgb="FF000000"/>
            <rFont val="Calibri"/>
          </rPr>
          <t>"</t>
        </r>
        <r>
          <rPr>
            <b/>
            <sz val="11"/>
            <color rgb="FF000000"/>
            <rFont val="Calibri"/>
          </rPr>
          <t>/var/log/messages</t>
        </r>
        <r>
          <rPr>
            <sz val="11"/>
            <color rgb="FF000000"/>
            <rFont val="Calibri"/>
          </rPr>
          <t>"</t>
        </r>
        <r>
          <rPr>
            <sz val="11"/>
            <color rgb="FF000000"/>
            <rFont val="Calibri"/>
          </rPr>
          <t xml:space="preserve"> file must have mode 0640 or less permissive.</t>
        </r>
      </text>
    </comment>
    <comment ref="K30" authorId="0" shapeId="0" xr:uid="{00000000-0006-0000-0600-00009A000000}">
      <text>
        <r>
          <rPr>
            <sz val="11"/>
            <rFont val="Calibri"/>
          </rPr>
          <t xml:space="preserve">The OL 8 </t>
        </r>
        <r>
          <rPr>
            <sz val="11"/>
            <color rgb="FF000000"/>
            <rFont val="Calibri"/>
          </rPr>
          <t>"</t>
        </r>
        <r>
          <rPr>
            <b/>
            <sz val="11"/>
            <color rgb="FF000000"/>
            <rFont val="Calibri"/>
          </rPr>
          <t>/var/log/messages</t>
        </r>
        <r>
          <rPr>
            <sz val="11"/>
            <color rgb="FF000000"/>
            <rFont val="Calibri"/>
          </rPr>
          <t>"</t>
        </r>
        <r>
          <rPr>
            <sz val="11"/>
            <color rgb="FF000000"/>
            <rFont val="Calibri"/>
          </rPr>
          <t xml:space="preserve"> file must be owned by root.</t>
        </r>
      </text>
    </comment>
    <comment ref="L30" authorId="0" shapeId="0" xr:uid="{00000000-0006-0000-0600-00009B000000}">
      <text>
        <r>
          <rPr>
            <sz val="11"/>
            <rFont val="Calibri"/>
          </rPr>
          <t xml:space="preserve">The OL 8 </t>
        </r>
        <r>
          <rPr>
            <sz val="11"/>
            <color rgb="FF000000"/>
            <rFont val="Calibri"/>
          </rPr>
          <t>"</t>
        </r>
        <r>
          <rPr>
            <b/>
            <sz val="11"/>
            <color rgb="FF000000"/>
            <rFont val="Calibri"/>
          </rPr>
          <t>/var/log/messages</t>
        </r>
        <r>
          <rPr>
            <sz val="11"/>
            <color rgb="FF000000"/>
            <rFont val="Calibri"/>
          </rPr>
          <t>"</t>
        </r>
        <r>
          <rPr>
            <sz val="11"/>
            <color rgb="FF000000"/>
            <rFont val="Calibri"/>
          </rPr>
          <t xml:space="preserve"> file must be group-owned by root.</t>
        </r>
      </text>
    </comment>
    <comment ref="M30" authorId="0" shapeId="0" xr:uid="{00000000-0006-0000-0600-00009C000000}">
      <text>
        <r>
          <rPr>
            <sz val="11"/>
            <rFont val="Calibri"/>
          </rPr>
          <t xml:space="preserve">The OL 8 </t>
        </r>
        <r>
          <rPr>
            <sz val="11"/>
            <color rgb="FF000000"/>
            <rFont val="Calibri"/>
          </rPr>
          <t>"</t>
        </r>
        <r>
          <rPr>
            <b/>
            <sz val="11"/>
            <color rgb="FF000000"/>
            <rFont val="Calibri"/>
          </rPr>
          <t>/var/log</t>
        </r>
        <r>
          <rPr>
            <sz val="11"/>
            <color rgb="FF000000"/>
            <rFont val="Calibri"/>
          </rPr>
          <t>"</t>
        </r>
        <r>
          <rPr>
            <sz val="11"/>
            <color rgb="FF000000"/>
            <rFont val="Calibri"/>
          </rPr>
          <t xml:space="preserve"> directory must have mode 0755 or less permissive.</t>
        </r>
      </text>
    </comment>
    <comment ref="N30" authorId="0" shapeId="0" xr:uid="{00000000-0006-0000-0600-00009D000000}">
      <text>
        <r>
          <rPr>
            <sz val="11"/>
            <rFont val="Calibri"/>
          </rPr>
          <t xml:space="preserve">The OL 8 </t>
        </r>
        <r>
          <rPr>
            <sz val="11"/>
            <color rgb="FF000000"/>
            <rFont val="Calibri"/>
          </rPr>
          <t>"</t>
        </r>
        <r>
          <rPr>
            <b/>
            <sz val="11"/>
            <color rgb="FF000000"/>
            <rFont val="Calibri"/>
          </rPr>
          <t>/var/log</t>
        </r>
        <r>
          <rPr>
            <sz val="11"/>
            <color rgb="FF000000"/>
            <rFont val="Calibri"/>
          </rPr>
          <t>"</t>
        </r>
        <r>
          <rPr>
            <sz val="11"/>
            <color rgb="FF000000"/>
            <rFont val="Calibri"/>
          </rPr>
          <t xml:space="preserve"> directory must be owned by root.</t>
        </r>
      </text>
    </comment>
    <comment ref="O30" authorId="0" shapeId="0" xr:uid="{00000000-0006-0000-0600-00009E000000}">
      <text>
        <r>
          <rPr>
            <sz val="11"/>
            <rFont val="Calibri"/>
          </rPr>
          <t xml:space="preserve">The OL 8 </t>
        </r>
        <r>
          <rPr>
            <sz val="11"/>
            <color rgb="FF000000"/>
            <rFont val="Calibri"/>
          </rPr>
          <t>"</t>
        </r>
        <r>
          <rPr>
            <b/>
            <sz val="11"/>
            <color rgb="FF000000"/>
            <rFont val="Calibri"/>
          </rPr>
          <t>/var/log</t>
        </r>
        <r>
          <rPr>
            <sz val="11"/>
            <color rgb="FF000000"/>
            <rFont val="Calibri"/>
          </rPr>
          <t>"</t>
        </r>
        <r>
          <rPr>
            <sz val="11"/>
            <color rgb="FF000000"/>
            <rFont val="Calibri"/>
          </rPr>
          <t xml:space="preserve"> directory must be group-owned by root.</t>
        </r>
      </text>
    </comment>
    <comment ref="P30" authorId="0" shapeId="0" xr:uid="{00000000-0006-0000-0600-00009F000000}">
      <text>
        <r>
          <rPr>
            <sz val="11"/>
            <rFont val="Calibri"/>
          </rPr>
          <t>OL 8 must label all offloaded audit logs before sending them to the central log server.</t>
        </r>
      </text>
    </comment>
    <comment ref="Q30" authorId="0" shapeId="0" xr:uid="{00000000-0006-0000-0600-0000A0000000}">
      <text>
        <r>
          <rPr>
            <sz val="11"/>
            <rFont val="Calibri"/>
          </rPr>
          <t xml:space="preserve">OL 8 audit logs must have a mode of </t>
        </r>
        <r>
          <rPr>
            <sz val="11"/>
            <color rgb="FF000000"/>
            <rFont val="Calibri"/>
          </rPr>
          <t>"</t>
        </r>
        <r>
          <rPr>
            <b/>
            <sz val="11"/>
            <color rgb="FF000000"/>
            <rFont val="Calibri"/>
          </rPr>
          <t>0600</t>
        </r>
        <r>
          <rPr>
            <sz val="11"/>
            <color rgb="FF000000"/>
            <rFont val="Calibri"/>
          </rPr>
          <t>"</t>
        </r>
        <r>
          <rPr>
            <sz val="11"/>
            <color rgb="FF000000"/>
            <rFont val="Calibri"/>
          </rPr>
          <t xml:space="preserve"> or less permissive to prevent unauthorized read access.</t>
        </r>
      </text>
    </comment>
    <comment ref="R30" authorId="0" shapeId="0" xr:uid="{00000000-0006-0000-0600-0000A1000000}">
      <text>
        <r>
          <rPr>
            <sz val="11"/>
            <rFont val="Calibri"/>
          </rPr>
          <t>OL 8 audit logs must be owned by root to prevent unauthorized read access.</t>
        </r>
      </text>
    </comment>
    <comment ref="S30" authorId="0" shapeId="0" xr:uid="{00000000-0006-0000-0600-0000A2000000}">
      <text>
        <r>
          <rPr>
            <sz val="11"/>
            <rFont val="Calibri"/>
          </rPr>
          <t>OL 8 audit logs must be group-owned by root to prevent unauthorized read access.</t>
        </r>
      </text>
    </comment>
    <comment ref="T30" authorId="0" shapeId="0" xr:uid="{00000000-0006-0000-0600-0000A3000000}">
      <text>
        <r>
          <rPr>
            <sz val="11"/>
            <rFont val="Calibri"/>
          </rPr>
          <t>The OL 8 audit log directory must be owned by root to prevent unauthorized read access.</t>
        </r>
      </text>
    </comment>
    <comment ref="U30" authorId="0" shapeId="0" xr:uid="{00000000-0006-0000-0600-0000A4000000}">
      <text>
        <r>
          <rPr>
            <sz val="11"/>
            <rFont val="Calibri"/>
          </rPr>
          <t>The OL 8 audit log directory must be group-owned by root to prevent unauthorized read access.</t>
        </r>
      </text>
    </comment>
    <comment ref="V30" authorId="0" shapeId="0" xr:uid="{00000000-0006-0000-0600-0000A5000000}">
      <text>
        <r>
          <rPr>
            <sz val="11"/>
            <rFont val="Calibri"/>
          </rPr>
          <t>The OL 8 audit log directory must have a mode of 0700 or less permissive to prevent unauthorized read access.</t>
        </r>
      </text>
    </comment>
    <comment ref="W30" authorId="0" shapeId="0" xr:uid="{00000000-0006-0000-0600-0000A6000000}">
      <text>
        <r>
          <rPr>
            <sz val="11"/>
            <rFont val="Calibri"/>
          </rPr>
          <t>The OL 8 audit system must protect auditing rules from unauthorized change.</t>
        </r>
      </text>
    </comment>
    <comment ref="X30" authorId="0" shapeId="0" xr:uid="{00000000-0006-0000-0600-0000A7000000}">
      <text>
        <r>
          <rPr>
            <sz val="11"/>
            <rFont val="Calibri"/>
          </rPr>
          <t>The OL 8 audit system must protect logon UIDs from unauthorized change.</t>
        </r>
      </text>
    </comment>
    <comment ref="Y30" authorId="0" shapeId="0" xr:uid="{00000000-0006-0000-0600-0000A8000000}">
      <text>
        <r>
          <rPr>
            <sz val="11"/>
            <rFont val="Calibri"/>
          </rPr>
          <t xml:space="preserve">OL 8 audit tools must have a mode of </t>
        </r>
        <r>
          <rPr>
            <sz val="11"/>
            <color rgb="FF000000"/>
            <rFont val="Calibri"/>
          </rPr>
          <t>"</t>
        </r>
        <r>
          <rPr>
            <b/>
            <sz val="11"/>
            <color rgb="FF000000"/>
            <rFont val="Calibri"/>
          </rPr>
          <t>0755</t>
        </r>
        <r>
          <rPr>
            <sz val="11"/>
            <color rgb="FF000000"/>
            <rFont val="Calibri"/>
          </rPr>
          <t>"</t>
        </r>
        <r>
          <rPr>
            <sz val="11"/>
            <color rgb="FF000000"/>
            <rFont val="Calibri"/>
          </rPr>
          <t xml:space="preserve"> or less permissive.</t>
        </r>
      </text>
    </comment>
    <comment ref="Z30" authorId="0" shapeId="0" xr:uid="{00000000-0006-0000-0600-0000A9000000}">
      <text>
        <r>
          <rPr>
            <sz val="11"/>
            <rFont val="Calibri"/>
          </rPr>
          <t>OL 8 audit tools must be owned by root.</t>
        </r>
      </text>
    </comment>
    <comment ref="AA30" authorId="0" shapeId="0" xr:uid="{00000000-0006-0000-0600-0000AA000000}">
      <text>
        <r>
          <rPr>
            <sz val="11"/>
            <rFont val="Calibri"/>
          </rPr>
          <t>OL 8 audit tools must be group-owned by root.</t>
        </r>
      </text>
    </comment>
    <comment ref="AB30" authorId="0" shapeId="0" xr:uid="{00000000-0006-0000-0600-0000AB000000}">
      <text>
        <r>
          <rPr>
            <sz val="11"/>
            <rFont val="Calibri"/>
          </rPr>
          <t>OL 8 must use cryptographic mechanisms to protect the integrity of audit tools.</t>
        </r>
      </text>
    </comment>
    <comment ref="AC30" authorId="0" shapeId="0" xr:uid="{00000000-0006-0000-0600-0000AC000000}">
      <text>
        <r>
          <rPr>
            <sz val="11"/>
            <rFont val="Calibri"/>
          </rPr>
          <t>OL 8 must have the packages required for offloading audit logs installed.</t>
        </r>
      </text>
    </comment>
    <comment ref="AD30" authorId="0" shapeId="0" xr:uid="{00000000-0006-0000-0600-0000AD000000}">
      <text>
        <r>
          <rPr>
            <sz val="11"/>
            <rFont val="Calibri"/>
          </rPr>
          <t>OL 8 must have the packages required for encrypting offloaded audit logs installed.</t>
        </r>
      </text>
    </comment>
    <comment ref="AE30" authorId="0" shapeId="0" xr:uid="{00000000-0006-0000-0600-0000AE000000}">
      <text>
        <r>
          <rPr>
            <sz val="11"/>
            <rFont val="Calibri"/>
          </rPr>
          <t>OL 8 must encrypt the transfer of audit records offloaded onto a different system or media from the system being audited.</t>
        </r>
      </text>
    </comment>
    <comment ref="AF30" authorId="0" shapeId="0" xr:uid="{00000000-0006-0000-0600-0000AF000000}">
      <text>
        <r>
          <rPr>
            <sz val="11"/>
            <rFont val="Calibri"/>
          </rPr>
          <t>OL 8 must authenticate the remote logging server for offloading audit logs.</t>
        </r>
      </text>
    </comment>
    <comment ref="J32" authorId="0" shapeId="0" xr:uid="{00000000-0006-0000-0600-0000B0000000}">
      <text>
        <r>
          <rPr>
            <sz val="11"/>
            <rFont val="Calibri"/>
          </rPr>
          <t>OL 8 operating systems booted with United Extensible Firmware Interface (UEFI) must require authentication upon booting into single-user mode and maintenance.</t>
        </r>
      </text>
    </comment>
    <comment ref="K32" authorId="0" shapeId="0" xr:uid="{00000000-0006-0000-0600-0000B1000000}">
      <text>
        <r>
          <rPr>
            <sz val="11"/>
            <rFont val="Calibri"/>
          </rPr>
          <t>OL 8 operating systems booted with a BIOS must require authentication upon booting into single-user and maintenance modes.</t>
        </r>
      </text>
    </comment>
    <comment ref="L32" authorId="0" shapeId="0" xr:uid="{00000000-0006-0000-0600-0000B2000000}">
      <text>
        <r>
          <rPr>
            <sz val="11"/>
            <rFont val="Calibri"/>
          </rPr>
          <t>OL 8 operating systems must require authentication upon booting into emergency mode.</t>
        </r>
      </text>
    </comment>
    <comment ref="M32" authorId="0" shapeId="0" xr:uid="{00000000-0006-0000-0600-0000B3000000}">
      <text>
        <r>
          <rPr>
            <sz val="11"/>
            <rFont val="Calibri"/>
          </rPr>
          <t>YUM must be configured to prevent the installation of patches, service packs, device drivers, or OL 8 system components that have not been digitally signed using a certificate that is recognized and approved by the organization.</t>
        </r>
      </text>
    </comment>
    <comment ref="J33" authorId="0" shapeId="0" xr:uid="{00000000-0006-0000-0600-0000B4000000}">
      <text>
        <r>
          <rPr>
            <sz val="11"/>
            <rFont val="Calibri"/>
          </rPr>
          <t>A sticky bit must be set on all OL 8 public directories to prevent unauthorized and unintended information transferred via shared system resources.</t>
        </r>
      </text>
    </comment>
    <comment ref="K33" authorId="0" shapeId="0" xr:uid="{00000000-0006-0000-0600-0000B5000000}">
      <text>
        <r>
          <rPr>
            <sz val="11"/>
            <rFont val="Calibri"/>
          </rPr>
          <t>OL 8 system commands must have mode 755 or less permissive.</t>
        </r>
      </text>
    </comment>
    <comment ref="L33" authorId="0" shapeId="0" xr:uid="{00000000-0006-0000-0600-0000B6000000}">
      <text>
        <r>
          <rPr>
            <sz val="11"/>
            <rFont val="Calibri"/>
          </rPr>
          <t>OL 8 system commands must be owned by root.</t>
        </r>
      </text>
    </comment>
    <comment ref="M33" authorId="0" shapeId="0" xr:uid="{00000000-0006-0000-0600-0000B7000000}">
      <text>
        <r>
          <rPr>
            <sz val="11"/>
            <rFont val="Calibri"/>
          </rPr>
          <t>OL 8 system commands must be group-owned by root or a system account.</t>
        </r>
      </text>
    </comment>
    <comment ref="N33" authorId="0" shapeId="0" xr:uid="{00000000-0006-0000-0600-0000B8000000}">
      <text>
        <r>
          <rPr>
            <sz val="11"/>
            <rFont val="Calibri"/>
          </rPr>
          <t>OL 8 library files must have mode 755 or less permissive.</t>
        </r>
      </text>
    </comment>
    <comment ref="O33" authorId="0" shapeId="0" xr:uid="{00000000-0006-0000-0600-0000B9000000}">
      <text>
        <r>
          <rPr>
            <sz val="11"/>
            <rFont val="Calibri"/>
          </rPr>
          <t>OL 8 library files must be owned by root.</t>
        </r>
      </text>
    </comment>
    <comment ref="P33" authorId="0" shapeId="0" xr:uid="{00000000-0006-0000-0600-0000BA000000}">
      <text>
        <r>
          <rPr>
            <sz val="11"/>
            <rFont val="Calibri"/>
          </rPr>
          <t>OL 8 library files must be group-owned by root.</t>
        </r>
      </text>
    </comment>
    <comment ref="Q33" authorId="0" shapeId="0" xr:uid="{00000000-0006-0000-0600-0000BB000000}">
      <text>
        <r>
          <rPr>
            <sz val="11"/>
            <rFont val="Calibri"/>
          </rPr>
          <t xml:space="preserve">The OL 8 SSH public host key files must have mode </t>
        </r>
        <r>
          <rPr>
            <sz val="11"/>
            <color rgb="FF000000"/>
            <rFont val="Calibri"/>
          </rPr>
          <t>"</t>
        </r>
        <r>
          <rPr>
            <b/>
            <sz val="11"/>
            <color rgb="FF000000"/>
            <rFont val="Calibri"/>
          </rPr>
          <t>0644</t>
        </r>
        <r>
          <rPr>
            <sz val="11"/>
            <color rgb="FF000000"/>
            <rFont val="Calibri"/>
          </rPr>
          <t>"</t>
        </r>
        <r>
          <rPr>
            <sz val="11"/>
            <color rgb="FF000000"/>
            <rFont val="Calibri"/>
          </rPr>
          <t xml:space="preserve"> or less permissive.</t>
        </r>
      </text>
    </comment>
    <comment ref="R33" authorId="0" shapeId="0" xr:uid="{00000000-0006-0000-0600-0000BC000000}">
      <text>
        <r>
          <rPr>
            <sz val="11"/>
            <rFont val="Calibri"/>
          </rPr>
          <t xml:space="preserve">The OL 8 SSH private host key files must have mode </t>
        </r>
        <r>
          <rPr>
            <sz val="11"/>
            <color rgb="FF000000"/>
            <rFont val="Calibri"/>
          </rPr>
          <t>"</t>
        </r>
        <r>
          <rPr>
            <b/>
            <sz val="11"/>
            <color rgb="FF000000"/>
            <rFont val="Calibri"/>
          </rPr>
          <t>0640</t>
        </r>
        <r>
          <rPr>
            <sz val="11"/>
            <color rgb="FF000000"/>
            <rFont val="Calibri"/>
          </rPr>
          <t>"</t>
        </r>
        <r>
          <rPr>
            <sz val="11"/>
            <color rgb="FF000000"/>
            <rFont val="Calibri"/>
          </rPr>
          <t xml:space="preserve"> or less permissive.</t>
        </r>
      </text>
    </comment>
    <comment ref="S33" authorId="0" shapeId="0" xr:uid="{00000000-0006-0000-0600-0000BD000000}">
      <text>
        <r>
          <rPr>
            <sz val="11"/>
            <rFont val="Calibri"/>
          </rPr>
          <t>The OL 8 SSH daemon must perform strict mode checking of home directory configuration files.</t>
        </r>
      </text>
    </comment>
    <comment ref="T33" authorId="0" shapeId="0" xr:uid="{00000000-0006-0000-0600-0000BE000000}">
      <text>
        <r>
          <rPr>
            <sz val="11"/>
            <rFont val="Calibri"/>
          </rPr>
          <t>OL 8 must prevent files with the setuid and setgid bit set from being executed on file systems that contain user home directories.</t>
        </r>
      </text>
    </comment>
    <comment ref="U33" authorId="0" shapeId="0" xr:uid="{00000000-0006-0000-0600-0000BF000000}">
      <text>
        <r>
          <rPr>
            <sz val="11"/>
            <rFont val="Calibri"/>
          </rPr>
          <t>OL 8 file systems that contain user home directories must not execute binary files.</t>
        </r>
      </text>
    </comment>
    <comment ref="V33" authorId="0" shapeId="0" xr:uid="{00000000-0006-0000-0600-0000C0000000}">
      <text>
        <r>
          <rPr>
            <sz val="11"/>
            <rFont val="Calibri"/>
          </rPr>
          <t>OL 8 file systems must not execute binary files that are imported via Network File System (NFS).</t>
        </r>
      </text>
    </comment>
    <comment ref="W33" authorId="0" shapeId="0" xr:uid="{00000000-0006-0000-0600-0000C1000000}">
      <text>
        <r>
          <rPr>
            <sz val="11"/>
            <rFont val="Calibri"/>
          </rPr>
          <t>OL 8 file systems must not interpret character or block special devices that are imported via Network File System (NFS).</t>
        </r>
      </text>
    </comment>
    <comment ref="X33" authorId="0" shapeId="0" xr:uid="{00000000-0006-0000-0600-0000C2000000}">
      <text>
        <r>
          <rPr>
            <sz val="11"/>
            <rFont val="Calibri"/>
          </rPr>
          <t>Executable search paths within the initialization files of all local interactive OL 8 users must only contain paths that resolve to the system default or the user</t>
        </r>
        <r>
          <rPr>
            <sz val="11"/>
            <color rgb="FF000000"/>
            <rFont val="Calibri"/>
          </rPr>
          <t>'</t>
        </r>
        <r>
          <rPr>
            <sz val="11"/>
            <color rgb="FF000000"/>
            <rFont val="Calibri"/>
          </rPr>
          <t>s home directory.</t>
        </r>
      </text>
    </comment>
    <comment ref="Y33" authorId="0" shapeId="0" xr:uid="{00000000-0006-0000-0600-0000C3000000}">
      <text>
        <r>
          <rPr>
            <sz val="11"/>
            <rFont val="Calibri"/>
          </rPr>
          <t>All OL 8 world-writable directories must be owned by root, sys, bin, or an application user.</t>
        </r>
      </text>
    </comment>
    <comment ref="Z33" authorId="0" shapeId="0" xr:uid="{00000000-0006-0000-0600-0000C4000000}">
      <text>
        <r>
          <rPr>
            <sz val="11"/>
            <rFont val="Calibri"/>
          </rPr>
          <t>All OL 8 world-writable directories must be group-owned by root, sys, bin, or an application group.</t>
        </r>
      </text>
    </comment>
    <comment ref="AA33" authorId="0" shapeId="0" xr:uid="{00000000-0006-0000-0600-0000C5000000}">
      <text>
        <r>
          <rPr>
            <sz val="11"/>
            <rFont val="Calibri"/>
          </rPr>
          <t xml:space="preserve">All OL 8 local interactive users must have a home directory assigned in the </t>
        </r>
        <r>
          <rPr>
            <sz val="11"/>
            <color rgb="FF000000"/>
            <rFont val="Calibri"/>
          </rPr>
          <t>"</t>
        </r>
        <r>
          <rPr>
            <b/>
            <sz val="11"/>
            <color rgb="FF000000"/>
            <rFont val="Calibri"/>
          </rPr>
          <t>/etc/passwd</t>
        </r>
        <r>
          <rPr>
            <sz val="11"/>
            <color rgb="FF000000"/>
            <rFont val="Calibri"/>
          </rPr>
          <t>"</t>
        </r>
        <r>
          <rPr>
            <sz val="11"/>
            <color rgb="FF000000"/>
            <rFont val="Calibri"/>
          </rPr>
          <t xml:space="preserve"> file.</t>
        </r>
      </text>
    </comment>
    <comment ref="AB33" authorId="0" shapeId="0" xr:uid="{00000000-0006-0000-0600-0000C6000000}">
      <text>
        <r>
          <rPr>
            <sz val="11"/>
            <rFont val="Calibri"/>
          </rPr>
          <t xml:space="preserve">All OL 8 local interactive user home directories must have mode </t>
        </r>
        <r>
          <rPr>
            <sz val="11"/>
            <color rgb="FF000000"/>
            <rFont val="Calibri"/>
          </rPr>
          <t>"</t>
        </r>
        <r>
          <rPr>
            <b/>
            <sz val="11"/>
            <color rgb="FF000000"/>
            <rFont val="Calibri"/>
          </rPr>
          <t>0750</t>
        </r>
        <r>
          <rPr>
            <sz val="11"/>
            <color rgb="FF000000"/>
            <rFont val="Calibri"/>
          </rPr>
          <t>"</t>
        </r>
        <r>
          <rPr>
            <sz val="11"/>
            <color rgb="FF000000"/>
            <rFont val="Calibri"/>
          </rPr>
          <t xml:space="preserve"> or less permissive.</t>
        </r>
      </text>
    </comment>
    <comment ref="AC33" authorId="0" shapeId="0" xr:uid="{00000000-0006-0000-0600-0000C7000000}">
      <text>
        <r>
          <rPr>
            <sz val="11"/>
            <rFont val="Calibri"/>
          </rPr>
          <t xml:space="preserve">All OL 8 local interactive user home directory files must have mode </t>
        </r>
        <r>
          <rPr>
            <sz val="11"/>
            <color rgb="FF000000"/>
            <rFont val="Calibri"/>
          </rPr>
          <t>"</t>
        </r>
        <r>
          <rPr>
            <b/>
            <sz val="11"/>
            <color rgb="FF000000"/>
            <rFont val="Calibri"/>
          </rPr>
          <t>0750</t>
        </r>
        <r>
          <rPr>
            <sz val="11"/>
            <color rgb="FF000000"/>
            <rFont val="Calibri"/>
          </rPr>
          <t>"</t>
        </r>
        <r>
          <rPr>
            <sz val="11"/>
            <color rgb="FF000000"/>
            <rFont val="Calibri"/>
          </rPr>
          <t xml:space="preserve"> or less permissive.</t>
        </r>
      </text>
    </comment>
    <comment ref="AD33" authorId="0" shapeId="0" xr:uid="{00000000-0006-0000-0600-0000C8000000}">
      <text>
        <r>
          <rPr>
            <sz val="11"/>
            <rFont val="Calibri"/>
          </rPr>
          <t>All OL 8 local interactive user home directories must be group-owned by the home directory owner</t>
        </r>
        <r>
          <rPr>
            <sz val="11"/>
            <color rgb="FF000000"/>
            <rFont val="Calibri"/>
          </rPr>
          <t>'</t>
        </r>
        <r>
          <rPr>
            <sz val="11"/>
            <color rgb="FF000000"/>
            <rFont val="Calibri"/>
          </rPr>
          <t>s primary group.</t>
        </r>
      </text>
    </comment>
    <comment ref="AE33" authorId="0" shapeId="0" xr:uid="{00000000-0006-0000-0600-0000C9000000}">
      <text>
        <r>
          <rPr>
            <sz val="11"/>
            <rFont val="Calibri"/>
          </rPr>
          <t>OL 8 must be configured so that all files and directories contained in local interactive user home directories are group-owned by a group of which the home directory owner is a member.</t>
        </r>
      </text>
    </comment>
    <comment ref="AF33" authorId="0" shapeId="0" xr:uid="{00000000-0006-0000-0600-0000CA000000}">
      <text>
        <r>
          <rPr>
            <sz val="11"/>
            <rFont val="Calibri"/>
          </rPr>
          <t xml:space="preserve">All OL 8 local interactive user home directories defined in the </t>
        </r>
        <r>
          <rPr>
            <sz val="11"/>
            <color rgb="FF000000"/>
            <rFont val="Calibri"/>
          </rPr>
          <t>"</t>
        </r>
        <r>
          <rPr>
            <b/>
            <sz val="11"/>
            <color rgb="FF000000"/>
            <rFont val="Calibri"/>
          </rPr>
          <t>/etc/passwd</t>
        </r>
        <r>
          <rPr>
            <sz val="11"/>
            <color rgb="FF000000"/>
            <rFont val="Calibri"/>
          </rPr>
          <t>"</t>
        </r>
        <r>
          <rPr>
            <sz val="11"/>
            <color rgb="FF000000"/>
            <rFont val="Calibri"/>
          </rPr>
          <t xml:space="preserve"> file must exist.</t>
        </r>
      </text>
    </comment>
    <comment ref="AG33" authorId="0" shapeId="0" xr:uid="{00000000-0006-0000-0600-0000CB000000}">
      <text>
        <r>
          <rPr>
            <sz val="11"/>
            <rFont val="Calibri"/>
          </rPr>
          <t>All OL 8 local interactive user accounts must be assigned a home directory upon creation.</t>
        </r>
      </text>
    </comment>
    <comment ref="AH33" authorId="0" shapeId="0" xr:uid="{00000000-0006-0000-0600-0000CC000000}">
      <text>
        <r>
          <rPr>
            <sz val="11"/>
            <rFont val="Calibri"/>
          </rPr>
          <t xml:space="preserve">All OL 8 local initialization files must have mode </t>
        </r>
        <r>
          <rPr>
            <sz val="11"/>
            <color rgb="FF000000"/>
            <rFont val="Calibri"/>
          </rPr>
          <t>"</t>
        </r>
        <r>
          <rPr>
            <b/>
            <sz val="11"/>
            <color rgb="FF000000"/>
            <rFont val="Calibri"/>
          </rPr>
          <t>0740</t>
        </r>
        <r>
          <rPr>
            <sz val="11"/>
            <color rgb="FF000000"/>
            <rFont val="Calibri"/>
          </rPr>
          <t>"</t>
        </r>
        <r>
          <rPr>
            <sz val="11"/>
            <color rgb="FF000000"/>
            <rFont val="Calibri"/>
          </rPr>
          <t xml:space="preserve"> or less permissive.</t>
        </r>
      </text>
    </comment>
    <comment ref="AI33" authorId="0" shapeId="0" xr:uid="{00000000-0006-0000-0600-0000CD000000}">
      <text>
        <r>
          <rPr>
            <sz val="11"/>
            <rFont val="Calibri"/>
          </rPr>
          <t>All OL 8 files and directories must have a valid owner.</t>
        </r>
      </text>
    </comment>
    <comment ref="AJ33" authorId="0" shapeId="0" xr:uid="{00000000-0006-0000-0600-0000CE000000}">
      <text>
        <r>
          <rPr>
            <sz val="11"/>
            <rFont val="Calibri"/>
          </rPr>
          <t>All OL 8 files and directories must have a valid group owner.</t>
        </r>
      </text>
    </comment>
    <comment ref="AK33" authorId="0" shapeId="0" xr:uid="{00000000-0006-0000-0600-0000CF000000}">
      <text>
        <r>
          <rPr>
            <sz val="11"/>
            <rFont val="Calibri"/>
          </rPr>
          <t xml:space="preserve">A separate OL 8 filesystem must be used for user home directories (such as </t>
        </r>
        <r>
          <rPr>
            <sz val="11"/>
            <color rgb="FF000000"/>
            <rFont val="Calibri"/>
          </rPr>
          <t>"</t>
        </r>
        <r>
          <rPr>
            <b/>
            <sz val="11"/>
            <color rgb="FF000000"/>
            <rFont val="Calibri"/>
          </rPr>
          <t>/home</t>
        </r>
        <r>
          <rPr>
            <sz val="11"/>
            <color rgb="FF000000"/>
            <rFont val="Calibri"/>
          </rPr>
          <t>"</t>
        </r>
        <r>
          <rPr>
            <sz val="11"/>
            <color rgb="FF000000"/>
            <rFont val="Calibri"/>
          </rPr>
          <t xml:space="preserve"> or an equivalent).</t>
        </r>
      </text>
    </comment>
    <comment ref="AL33" authorId="0" shapeId="0" xr:uid="{00000000-0006-0000-0600-0000D0000000}">
      <text>
        <r>
          <rPr>
            <sz val="11"/>
            <rFont val="Calibri"/>
          </rPr>
          <t>OL 8 default permissions must be defined in such a way that all authenticated users can read and modify only their own files.</t>
        </r>
      </text>
    </comment>
    <comment ref="AM33" authorId="0" shapeId="0" xr:uid="{00000000-0006-0000-0600-0000D1000000}">
      <text>
        <r>
          <rPr>
            <sz val="11"/>
            <rFont val="Calibri"/>
          </rPr>
          <t>OL 8 must set the umask value to 077 for all local interactive user accounts.</t>
        </r>
      </text>
    </comment>
    <comment ref="AN33" authorId="0" shapeId="0" xr:uid="{00000000-0006-0000-0600-0000D2000000}">
      <text>
        <r>
          <rPr>
            <sz val="11"/>
            <rFont val="Calibri"/>
          </rPr>
          <t>OL 8 must define default permissions for logon and non-logon shells.</t>
        </r>
      </text>
    </comment>
    <comment ref="AO33" authorId="0" shapeId="0" xr:uid="{00000000-0006-0000-0600-0000D3000000}">
      <text>
        <r>
          <rPr>
            <sz val="11"/>
            <rFont val="Calibri"/>
          </rPr>
          <t>OL 8 library directories must have mode 755 or less permissive.</t>
        </r>
      </text>
    </comment>
    <comment ref="AP33" authorId="0" shapeId="0" xr:uid="{00000000-0006-0000-0600-0000D4000000}">
      <text>
        <r>
          <rPr>
            <sz val="11"/>
            <rFont val="Calibri"/>
          </rPr>
          <t>OL 8 library directories must be owned by root.</t>
        </r>
      </text>
    </comment>
    <comment ref="AQ33" authorId="0" shapeId="0" xr:uid="{00000000-0006-0000-0600-0000D5000000}">
      <text>
        <r>
          <rPr>
            <sz val="11"/>
            <rFont val="Calibri"/>
          </rPr>
          <t>OL 8 library directories must be group-owned by root or a system account.</t>
        </r>
      </text>
    </comment>
    <comment ref="J34" authorId="0" shapeId="0" xr:uid="{00000000-0006-0000-0600-0000D6000000}">
      <text>
        <r>
          <rPr>
            <sz val="11"/>
            <rFont val="Calibri"/>
          </rPr>
          <t xml:space="preserve">OL 8 must generate audit records for any use of the </t>
        </r>
        <r>
          <rPr>
            <sz val="11"/>
            <color rgb="FF000000"/>
            <rFont val="Calibri"/>
          </rPr>
          <t>"</t>
        </r>
        <r>
          <rPr>
            <b/>
            <sz val="11"/>
            <color rgb="FF000000"/>
            <rFont val="Calibri"/>
          </rPr>
          <t>init_module</t>
        </r>
        <r>
          <rPr>
            <sz val="11"/>
            <color rgb="FF000000"/>
            <rFont val="Calibri"/>
          </rPr>
          <t>"</t>
        </r>
        <r>
          <rPr>
            <sz val="11"/>
            <color rgb="FF000000"/>
            <rFont val="Calibri"/>
          </rPr>
          <t xml:space="preserve"> and </t>
        </r>
        <r>
          <rPr>
            <sz val="11"/>
            <color rgb="FF000000"/>
            <rFont val="Calibri"/>
          </rPr>
          <t>"</t>
        </r>
        <r>
          <rPr>
            <b/>
            <sz val="11"/>
            <color rgb="FF000000"/>
            <rFont val="Calibri"/>
          </rPr>
          <t>finit_module</t>
        </r>
        <r>
          <rPr>
            <sz val="11"/>
            <color rgb="FF000000"/>
            <rFont val="Calibri"/>
          </rPr>
          <t>"</t>
        </r>
        <r>
          <rPr>
            <sz val="11"/>
            <color rgb="FF000000"/>
            <rFont val="Calibri"/>
          </rPr>
          <t xml:space="preserve"> system calls.</t>
        </r>
      </text>
    </comment>
    <comment ref="K34" authorId="0" shapeId="0" xr:uid="{00000000-0006-0000-0600-0000D7000000}">
      <text>
        <r>
          <rPr>
            <sz val="11"/>
            <rFont val="Calibri"/>
          </rPr>
          <t>OL 8 must generate audit records for any use of the delete_module syscall.</t>
        </r>
      </text>
    </comment>
    <comment ref="L34" authorId="0" shapeId="0" xr:uid="{00000000-0006-0000-0600-0000D8000000}">
      <text>
        <r>
          <rPr>
            <sz val="11"/>
            <rFont val="Calibri"/>
          </rPr>
          <t xml:space="preserve">OL 8 must generate audit records for any use of the </t>
        </r>
        <r>
          <rPr>
            <sz val="11"/>
            <color rgb="FF000000"/>
            <rFont val="Calibri"/>
          </rPr>
          <t>"</t>
        </r>
        <r>
          <rPr>
            <b/>
            <sz val="11"/>
            <color rgb="FF000000"/>
            <rFont val="Calibri"/>
          </rPr>
          <t>kmod</t>
        </r>
        <r>
          <rPr>
            <sz val="11"/>
            <color rgb="FF000000"/>
            <rFont val="Calibri"/>
          </rPr>
          <t>"</t>
        </r>
        <r>
          <rPr>
            <sz val="11"/>
            <color rgb="FF000000"/>
            <rFont val="Calibri"/>
          </rPr>
          <t xml:space="preserve"> command.</t>
        </r>
      </text>
    </comment>
    <comment ref="J37" authorId="0" shapeId="0" xr:uid="{00000000-0006-0000-0600-0000D9000000}">
      <text>
        <r>
          <rPr>
            <sz val="11"/>
            <rFont val="Calibri"/>
          </rPr>
          <t>OL 8 must prevent system daemons from using Kerberos for authentication.</t>
        </r>
      </text>
    </comment>
    <comment ref="K37" authorId="0" shapeId="0" xr:uid="{00000000-0006-0000-0600-0000DA000000}">
      <text>
        <r>
          <rPr>
            <sz val="11"/>
            <rFont val="Calibri"/>
          </rPr>
          <t>OL 8 must use a Linux Security Module configured to enforce limits on system services.</t>
        </r>
      </text>
    </comment>
    <comment ref="L37" authorId="0" shapeId="0" xr:uid="{00000000-0006-0000-0600-0000DB000000}">
      <text>
        <r>
          <rPr>
            <sz val="11"/>
            <rFont val="Calibri"/>
          </rPr>
          <t>OL 8 must prevent the loading of a new kernel for later execution.</t>
        </r>
      </text>
    </comment>
    <comment ref="M37" authorId="0" shapeId="0" xr:uid="{00000000-0006-0000-0600-0000DC000000}">
      <text>
        <r>
          <rPr>
            <sz val="11"/>
            <rFont val="Calibri"/>
          </rPr>
          <t>OL 8 must enable kernel parameters to enforce Discretionary Access Control (DAC) on symlinks.</t>
        </r>
      </text>
    </comment>
    <comment ref="N37" authorId="0" shapeId="0" xr:uid="{00000000-0006-0000-0600-0000DD000000}">
      <text>
        <r>
          <rPr>
            <sz val="11"/>
            <rFont val="Calibri"/>
          </rPr>
          <t>OL 8 must enable kernel parameters to enforce Discretionary Access Control (DAC) on hardlinks.</t>
        </r>
      </text>
    </comment>
    <comment ref="O37" authorId="0" shapeId="0" xr:uid="{00000000-0006-0000-0600-0000DE000000}">
      <text>
        <r>
          <rPr>
            <sz val="11"/>
            <rFont val="Calibri"/>
          </rPr>
          <t>OL 8 must restrict access to the kernel message buffer.</t>
        </r>
      </text>
    </comment>
    <comment ref="P37" authorId="0" shapeId="0" xr:uid="{00000000-0006-0000-0600-0000DF000000}">
      <text>
        <r>
          <rPr>
            <sz val="11"/>
            <rFont val="Calibri"/>
          </rPr>
          <t>OL 8 must prevent kernel profiling by nonprivileged users.</t>
        </r>
      </text>
    </comment>
    <comment ref="Q37" authorId="0" shapeId="0" xr:uid="{00000000-0006-0000-0600-0000E0000000}">
      <text>
        <r>
          <rPr>
            <sz val="11"/>
            <rFont val="Calibri"/>
          </rPr>
          <t>OL 8 must implement non-executable data to protect its memory from unauthorized code execution.</t>
        </r>
      </text>
    </comment>
    <comment ref="R37" authorId="0" shapeId="0" xr:uid="{00000000-0006-0000-0600-0000E1000000}">
      <text>
        <r>
          <rPr>
            <sz val="11"/>
            <rFont val="Calibri"/>
          </rPr>
          <t>OL 8 must clear the page allocator to prevent use-after-free attacks.</t>
        </r>
      </text>
    </comment>
    <comment ref="S37" authorId="0" shapeId="0" xr:uid="{00000000-0006-0000-0600-0000E2000000}">
      <text>
        <r>
          <rPr>
            <sz val="11"/>
            <rFont val="Calibri"/>
          </rPr>
          <t>OL 8 must clear memory when it is freed to prevent use-after-free attacks.</t>
        </r>
      </text>
    </comment>
    <comment ref="T37" authorId="0" shapeId="0" xr:uid="{00000000-0006-0000-0600-0000E3000000}">
      <text>
        <r>
          <rPr>
            <sz val="11"/>
            <rFont val="Calibri"/>
          </rPr>
          <t>OL 8 must implement address space layout randomization (ASLR) to protect its memory from unauthorized code execution.</t>
        </r>
      </text>
    </comment>
    <comment ref="U37" authorId="0" shapeId="0" xr:uid="{00000000-0006-0000-0600-0000E4000000}">
      <text>
        <r>
          <rPr>
            <sz val="11"/>
            <rFont val="Calibri"/>
          </rPr>
          <t>YUM must remove all software components after updated versions have been installed on OL 8.</t>
        </r>
      </text>
    </comment>
    <comment ref="V37" authorId="0" shapeId="0" xr:uid="{00000000-0006-0000-0600-0000E5000000}">
      <text>
        <r>
          <rPr>
            <sz val="11"/>
            <rFont val="Calibri"/>
          </rPr>
          <t>OL 8 must enable the SELinux targeted policy.</t>
        </r>
      </text>
    </comment>
    <comment ref="W37" authorId="0" shapeId="0" xr:uid="{00000000-0006-0000-0600-0000E6000000}">
      <text>
        <r>
          <rPr>
            <sz val="11"/>
            <rFont val="Calibri"/>
          </rPr>
          <t xml:space="preserve">OL 8 must use a separate file system for </t>
        </r>
        <r>
          <rPr>
            <sz val="11"/>
            <color rgb="FF000000"/>
            <rFont val="Calibri"/>
          </rPr>
          <t>"</t>
        </r>
        <r>
          <rPr>
            <b/>
            <sz val="11"/>
            <color rgb="FF000000"/>
            <rFont val="Calibri"/>
          </rPr>
          <t>/var</t>
        </r>
        <r>
          <rPr>
            <sz val="11"/>
            <color rgb="FF000000"/>
            <rFont val="Calibri"/>
          </rPr>
          <t>"</t>
        </r>
        <r>
          <rPr>
            <sz val="11"/>
            <color rgb="FF000000"/>
            <rFont val="Calibri"/>
          </rPr>
          <t>.</t>
        </r>
      </text>
    </comment>
    <comment ref="X37" authorId="0" shapeId="0" xr:uid="{00000000-0006-0000-0600-0000E7000000}">
      <text>
        <r>
          <rPr>
            <sz val="11"/>
            <rFont val="Calibri"/>
          </rPr>
          <t xml:space="preserve">OL 8 must use a separate file system for </t>
        </r>
        <r>
          <rPr>
            <sz val="11"/>
            <color rgb="FF000000"/>
            <rFont val="Calibri"/>
          </rPr>
          <t>"</t>
        </r>
        <r>
          <rPr>
            <b/>
            <sz val="11"/>
            <color rgb="FF000000"/>
            <rFont val="Calibri"/>
          </rPr>
          <t>/var/log</t>
        </r>
        <r>
          <rPr>
            <sz val="11"/>
            <color rgb="FF000000"/>
            <rFont val="Calibri"/>
          </rPr>
          <t>"</t>
        </r>
        <r>
          <rPr>
            <sz val="11"/>
            <color rgb="FF000000"/>
            <rFont val="Calibri"/>
          </rPr>
          <t>.</t>
        </r>
      </text>
    </comment>
    <comment ref="Y37" authorId="0" shapeId="0" xr:uid="{00000000-0006-0000-0600-0000E8000000}">
      <text>
        <r>
          <rPr>
            <sz val="11"/>
            <rFont val="Calibri"/>
          </rPr>
          <t xml:space="preserve">OL 8 must use a separate file system for </t>
        </r>
        <r>
          <rPr>
            <sz val="11"/>
            <color rgb="FF000000"/>
            <rFont val="Calibri"/>
          </rPr>
          <t>"</t>
        </r>
        <r>
          <rPr>
            <b/>
            <sz val="11"/>
            <color rgb="FF000000"/>
            <rFont val="Calibri"/>
          </rPr>
          <t>/tmp</t>
        </r>
        <r>
          <rPr>
            <sz val="11"/>
            <color rgb="FF000000"/>
            <rFont val="Calibri"/>
          </rPr>
          <t>"</t>
        </r>
        <r>
          <rPr>
            <sz val="11"/>
            <color rgb="FF000000"/>
            <rFont val="Calibri"/>
          </rPr>
          <t>.</t>
        </r>
      </text>
    </comment>
    <comment ref="Z37" authorId="0" shapeId="0" xr:uid="{00000000-0006-0000-0600-0000E9000000}">
      <text>
        <r>
          <rPr>
            <sz val="11"/>
            <rFont val="Calibri"/>
          </rPr>
          <t>OL 8 must use a separate file system for /var/tmp.</t>
        </r>
      </text>
    </comment>
    <comment ref="AA37" authorId="0" shapeId="0" xr:uid="{00000000-0006-0000-0600-0000EA000000}">
      <text>
        <r>
          <rPr>
            <sz val="11"/>
            <rFont val="Calibri"/>
          </rPr>
          <t>OL 8 must prevent files with the setuid and setgid bit set from being executed on the /boot directory.</t>
        </r>
      </text>
    </comment>
    <comment ref="AB37" authorId="0" shapeId="0" xr:uid="{00000000-0006-0000-0600-0000EB000000}">
      <text>
        <r>
          <rPr>
            <sz val="11"/>
            <rFont val="Calibri"/>
          </rPr>
          <t>OL 8 must prevent files with the setuid and setgid bit set from being executed on the /boot/efi directory.</t>
        </r>
      </text>
    </comment>
    <comment ref="AC37" authorId="0" shapeId="0" xr:uid="{00000000-0006-0000-0600-0000EC000000}">
      <text>
        <r>
          <rPr>
            <sz val="11"/>
            <rFont val="Calibri"/>
          </rPr>
          <t>OL 8 must prevent files with the setuid and setgid bit set from being executed on file systems that are used with removable media.</t>
        </r>
      </text>
    </comment>
    <comment ref="AD37" authorId="0" shapeId="0" xr:uid="{00000000-0006-0000-0600-0000ED000000}">
      <text>
        <r>
          <rPr>
            <sz val="11"/>
            <rFont val="Calibri"/>
          </rPr>
          <t>OL 8 must prevent files with the setuid and setgid bit set from being executed on file systems that are imported via Network File System (NFS).</t>
        </r>
      </text>
    </comment>
    <comment ref="AE37" authorId="0" shapeId="0" xr:uid="{00000000-0006-0000-0600-0000EE000000}">
      <text>
        <r>
          <rPr>
            <sz val="11"/>
            <rFont val="Calibri"/>
          </rPr>
          <t xml:space="preserve">OL 8 must disable the </t>
        </r>
        <r>
          <rPr>
            <sz val="11"/>
            <color rgb="FF000000"/>
            <rFont val="Calibri"/>
          </rPr>
          <t>"</t>
        </r>
        <r>
          <rPr>
            <b/>
            <sz val="11"/>
            <color rgb="FF000000"/>
            <rFont val="Calibri"/>
          </rPr>
          <t>kernel.core_pattern</t>
        </r>
        <r>
          <rPr>
            <sz val="11"/>
            <color rgb="FF000000"/>
            <rFont val="Calibri"/>
          </rPr>
          <t>"</t>
        </r>
        <r>
          <rPr>
            <sz val="11"/>
            <color rgb="FF000000"/>
            <rFont val="Calibri"/>
          </rPr>
          <t>.</t>
        </r>
      </text>
    </comment>
    <comment ref="AF37" authorId="0" shapeId="0" xr:uid="{00000000-0006-0000-0600-0000EF000000}">
      <text>
        <r>
          <rPr>
            <sz val="11"/>
            <rFont val="Calibri"/>
          </rPr>
          <t>OL 8 must disable acquiring, saving, and processing core dumps.</t>
        </r>
      </text>
    </comment>
    <comment ref="AG37" authorId="0" shapeId="0" xr:uid="{00000000-0006-0000-0600-0000F0000000}">
      <text>
        <r>
          <rPr>
            <sz val="11"/>
            <rFont val="Calibri"/>
          </rPr>
          <t>OL 8 must disable core dumps for all users.</t>
        </r>
      </text>
    </comment>
    <comment ref="AH37" authorId="0" shapeId="0" xr:uid="{00000000-0006-0000-0600-0000F1000000}">
      <text>
        <r>
          <rPr>
            <sz val="11"/>
            <rFont val="Calibri"/>
          </rPr>
          <t>OL 8 must disable storing core dumps.</t>
        </r>
      </text>
    </comment>
    <comment ref="AI37" authorId="0" shapeId="0" xr:uid="{00000000-0006-0000-0600-0000F2000000}">
      <text>
        <r>
          <rPr>
            <sz val="11"/>
            <rFont val="Calibri"/>
          </rPr>
          <t>OL 8 must disable core dump backtraces.</t>
        </r>
      </text>
    </comment>
    <comment ref="AJ37" authorId="0" shapeId="0" xr:uid="{00000000-0006-0000-0600-0000F3000000}">
      <text>
        <r>
          <rPr>
            <sz val="11"/>
            <rFont val="Calibri"/>
          </rPr>
          <t>Unattended or automatic logon via the OL 8 graphical user interface must not be allowed.</t>
        </r>
      </text>
    </comment>
    <comment ref="AK37" authorId="0" shapeId="0" xr:uid="{00000000-0006-0000-0600-0000F4000000}">
      <text>
        <r>
          <rPr>
            <sz val="11"/>
            <rFont val="Calibri"/>
          </rPr>
          <t>OL 8 must not allow users to override SSH environment variables.</t>
        </r>
      </text>
    </comment>
    <comment ref="AL37" authorId="0" shapeId="0" xr:uid="{00000000-0006-0000-0600-0000F5000000}">
      <text>
        <r>
          <rPr>
            <sz val="11"/>
            <rFont val="Calibri"/>
          </rPr>
          <t>OL 8 systems, versions 8.2 and above, must configure SELinux context type to allow the use of a non-default faillock tally directory.</t>
        </r>
      </text>
    </comment>
    <comment ref="AM37" authorId="0" shapeId="0" xr:uid="{00000000-0006-0000-0600-0000F6000000}">
      <text>
        <r>
          <rPr>
            <sz val="11"/>
            <rFont val="Calibri"/>
          </rPr>
          <t>OL 8 systems below version 8.2 must configure SELinux context type to allow the use of a non-default faillock tally directory.</t>
        </r>
      </text>
    </comment>
    <comment ref="AN37" authorId="0" shapeId="0" xr:uid="{00000000-0006-0000-0600-0000F7000000}">
      <text>
        <r>
          <rPr>
            <sz val="11"/>
            <rFont val="Calibri"/>
          </rPr>
          <t>OL 8 must disable the user list at logon for graphical user interfaces.</t>
        </r>
      </text>
    </comment>
    <comment ref="AO37" authorId="0" shapeId="0" xr:uid="{00000000-0006-0000-0600-0000F8000000}">
      <text>
        <r>
          <rPr>
            <sz val="11"/>
            <rFont val="Calibri"/>
          </rPr>
          <t>OL 8 must not have the telnet-server package installed.</t>
        </r>
      </text>
    </comment>
    <comment ref="AP37" authorId="0" shapeId="0" xr:uid="{00000000-0006-0000-0600-0000F9000000}">
      <text>
        <r>
          <rPr>
            <sz val="11"/>
            <rFont val="Calibri"/>
          </rPr>
          <t>OL 8 must enable mitigations against processor-based vulnerabilities.</t>
        </r>
      </text>
    </comment>
    <comment ref="AQ37" authorId="0" shapeId="0" xr:uid="{00000000-0006-0000-0600-0000FA000000}">
      <text>
        <r>
          <rPr>
            <sz val="11"/>
            <rFont val="Calibri"/>
          </rPr>
          <t>OL 8 must not install packages from the Extra Packages for Enterprise Linux (EPEL) repository.</t>
        </r>
      </text>
    </comment>
    <comment ref="AR37" authorId="0" shapeId="0" xr:uid="{00000000-0006-0000-0600-0000FB000000}">
      <text>
        <r>
          <rPr>
            <sz val="11"/>
            <rFont val="Calibri"/>
          </rPr>
          <t>OL 8 must cover or disable the built-in or attached camera when not in use.</t>
        </r>
      </text>
    </comment>
    <comment ref="AS37" authorId="0" shapeId="0" xr:uid="{00000000-0006-0000-0600-0000FC000000}">
      <text>
        <r>
          <rPr>
            <sz val="11"/>
            <rFont val="Calibri"/>
          </rPr>
          <t>OL 8 must not have the asynchronous transfer mode (ATM) kernel module installed if not required for operational support.</t>
        </r>
      </text>
    </comment>
    <comment ref="AT37" authorId="0" shapeId="0" xr:uid="{00000000-0006-0000-0600-0000FD000000}">
      <text>
        <r>
          <rPr>
            <sz val="11"/>
            <rFont val="Calibri"/>
          </rPr>
          <t>OL 8 must not have the Controller Area Network (CAN) kernel module installed if not required for operational support.</t>
        </r>
      </text>
    </comment>
    <comment ref="AU37" authorId="0" shapeId="0" xr:uid="{00000000-0006-0000-0600-0000FE000000}">
      <text>
        <r>
          <rPr>
            <sz val="11"/>
            <rFont val="Calibri"/>
          </rPr>
          <t>OL 8 must not have the stream control transmission protocol (SCTP) kernel module installed if not required for operational support.</t>
        </r>
      </text>
    </comment>
    <comment ref="AV37" authorId="0" shapeId="0" xr:uid="{00000000-0006-0000-0600-0000FF000000}">
      <text>
        <r>
          <rPr>
            <sz val="11"/>
            <rFont val="Calibri"/>
          </rPr>
          <t>OL 8 must disable the transparent inter-process communication (TIPC) protocol.</t>
        </r>
      </text>
    </comment>
    <comment ref="AW37" authorId="0" shapeId="0" xr:uid="{00000000-0006-0000-0600-000000010000}">
      <text>
        <r>
          <rPr>
            <sz val="11"/>
            <rFont val="Calibri"/>
          </rPr>
          <t>OL 8 must disable mounting of cramfs.</t>
        </r>
      </text>
    </comment>
    <comment ref="J43" authorId="0" shapeId="0" xr:uid="{00000000-0006-0000-0600-000001010000}">
      <text>
        <r>
          <rPr>
            <sz val="11"/>
            <rFont val="Calibri"/>
          </rPr>
          <t xml:space="preserve">There must be no </t>
        </r>
        <r>
          <rPr>
            <sz val="11"/>
            <color rgb="FF000000"/>
            <rFont val="Calibri"/>
          </rPr>
          <t>"</t>
        </r>
        <r>
          <rPr>
            <b/>
            <sz val="11"/>
            <color rgb="FF000000"/>
            <rFont val="Calibri"/>
          </rPr>
          <t>shosts.equiv</t>
        </r>
        <r>
          <rPr>
            <sz val="11"/>
            <color rgb="FF000000"/>
            <rFont val="Calibri"/>
          </rPr>
          <t>"</t>
        </r>
        <r>
          <rPr>
            <sz val="11"/>
            <color rgb="FF000000"/>
            <rFont val="Calibri"/>
          </rPr>
          <t xml:space="preserve"> files on the OL 8 operating system.</t>
        </r>
      </text>
    </comment>
    <comment ref="K43" authorId="0" shapeId="0" xr:uid="{00000000-0006-0000-0600-000002010000}">
      <text>
        <r>
          <rPr>
            <sz val="11"/>
            <rFont val="Calibri"/>
          </rPr>
          <t xml:space="preserve">There must be no </t>
        </r>
        <r>
          <rPr>
            <sz val="11"/>
            <color rgb="FF000000"/>
            <rFont val="Calibri"/>
          </rPr>
          <t>"</t>
        </r>
        <r>
          <rPr>
            <b/>
            <sz val="11"/>
            <color rgb="FF000000"/>
            <rFont val="Calibri"/>
          </rPr>
          <t>.shosts</t>
        </r>
        <r>
          <rPr>
            <sz val="11"/>
            <color rgb="FF000000"/>
            <rFont val="Calibri"/>
          </rPr>
          <t>"</t>
        </r>
        <r>
          <rPr>
            <sz val="11"/>
            <color rgb="FF000000"/>
            <rFont val="Calibri"/>
          </rPr>
          <t xml:space="preserve"> files on the OL 8 operating system.</t>
        </r>
      </text>
    </comment>
    <comment ref="L43" authorId="0" shapeId="0" xr:uid="{00000000-0006-0000-0600-000003010000}">
      <text>
        <r>
          <rPr>
            <sz val="11"/>
            <rFont val="Calibri"/>
          </rPr>
          <t>The OL 8 SSH daemon must not allow authentication using known host</t>
        </r>
        <r>
          <rPr>
            <sz val="11"/>
            <color rgb="FF000000"/>
            <rFont val="Calibri"/>
          </rPr>
          <t>'</t>
        </r>
        <r>
          <rPr>
            <sz val="11"/>
            <color rgb="FF000000"/>
            <rFont val="Calibri"/>
          </rPr>
          <t>s authentication.</t>
        </r>
      </text>
    </comment>
    <comment ref="M43" authorId="0" shapeId="0" xr:uid="{00000000-0006-0000-0600-000004010000}">
      <text>
        <r>
          <rPr>
            <sz val="11"/>
            <rFont val="Calibri"/>
          </rPr>
          <t>The OL 8 SSH daemon must not allow Kerberos authentication, except to fulfill documented and validated mission requirements.</t>
        </r>
      </text>
    </comment>
    <comment ref="N43" authorId="0" shapeId="0" xr:uid="{00000000-0006-0000-0600-000005010000}">
      <text>
        <r>
          <rPr>
            <sz val="11"/>
            <rFont val="Calibri"/>
          </rPr>
          <t>The OL 8 SSH daemon must not allow GSSAPI authentication, except to fulfill documented and validated mission requirements.</t>
        </r>
      </text>
    </comment>
    <comment ref="O43" authorId="0" shapeId="0" xr:uid="{00000000-0006-0000-0600-000006010000}">
      <text>
        <r>
          <rPr>
            <sz val="11"/>
            <rFont val="Calibri"/>
          </rPr>
          <t>OL 8 must map the authenticated identity to the user or group account for PKI-based authentication.</t>
        </r>
      </text>
    </comment>
    <comment ref="P43" authorId="0" shapeId="0" xr:uid="{00000000-0006-0000-0600-000007010000}">
      <text>
        <r>
          <rPr>
            <sz val="11"/>
            <rFont val="Calibri"/>
          </rPr>
          <t>OL 8 duplicate User IDs (UIDs) must not exist for interactive users.</t>
        </r>
      </text>
    </comment>
    <comment ref="Q43" authorId="0" shapeId="0" xr:uid="{00000000-0006-0000-0600-000008010000}">
      <text>
        <r>
          <rPr>
            <sz val="11"/>
            <rFont val="Calibri"/>
          </rPr>
          <t>OL 8 must not have unnecessary accounts.</t>
        </r>
      </text>
    </comment>
    <comment ref="J45" authorId="0" shapeId="0" xr:uid="{00000000-0006-0000-0600-000009010000}">
      <text>
        <r>
          <rPr>
            <sz val="11"/>
            <rFont val="Calibri"/>
          </rPr>
          <t>OL 8 must prevent the installation of software, patches, service packs, device drivers, or operating system components of local packages without verification they have been digitally signed using a certificate that is issued by a Certificate Authority (CA) that is recognized and approved by the organization.</t>
        </r>
      </text>
    </comment>
    <comment ref="K45" authorId="0" shapeId="0" xr:uid="{00000000-0006-0000-0600-00000A010000}">
      <text>
        <r>
          <rPr>
            <sz val="11"/>
            <rFont val="Calibri"/>
          </rPr>
          <t>OL 8 must have the package required for multifactor authentication installed.</t>
        </r>
      </text>
    </comment>
    <comment ref="L45" authorId="0" shapeId="0" xr:uid="{00000000-0006-0000-0600-00000B010000}">
      <text>
        <r>
          <rPr>
            <sz val="11"/>
            <rFont val="Calibri"/>
          </rPr>
          <t>OL 8 must implement certificate status checking for multifactor authentication.</t>
        </r>
      </text>
    </comment>
    <comment ref="M45" authorId="0" shapeId="0" xr:uid="{00000000-0006-0000-0600-00000C010000}">
      <text>
        <r>
          <rPr>
            <sz val="11"/>
            <rFont val="Calibri"/>
          </rPr>
          <t>OL 8 must accept Personal Identity Verification (PIV) credentials.</t>
        </r>
      </text>
    </comment>
    <comment ref="N45" authorId="0" shapeId="0" xr:uid="{00000000-0006-0000-0600-00000D010000}">
      <text>
        <r>
          <rPr>
            <sz val="11"/>
            <rFont val="Calibri"/>
          </rPr>
          <t>OL 8 must map the authenticated identity to the user or group account for PKI-based authentication.</t>
        </r>
      </text>
    </comment>
    <comment ref="O45" authorId="0" shapeId="0" xr:uid="{00000000-0006-0000-0600-00000E010000}">
      <text>
        <r>
          <rPr>
            <sz val="11"/>
            <rFont val="Calibri"/>
          </rPr>
          <t>OL 8 must implement multifactor authentication for access to interactive accounts.</t>
        </r>
      </text>
    </comment>
    <comment ref="P45" authorId="0" shapeId="0" xr:uid="{00000000-0006-0000-0600-00000F010000}">
      <text>
        <r>
          <rPr>
            <sz val="11"/>
            <rFont val="Calibri"/>
          </rPr>
          <t>OL 8 must prohibit the use of cached authentications after one day.</t>
        </r>
      </text>
    </comment>
    <comment ref="J48" authorId="0" shapeId="0" xr:uid="{00000000-0006-0000-0600-000010010000}">
      <text>
        <r>
          <rPr>
            <sz val="11"/>
            <rFont val="Calibri"/>
          </rPr>
          <t>OL 8 must ensure the password complexity module is enabled in the password-auth file.</t>
        </r>
      </text>
    </comment>
    <comment ref="K48" authorId="0" shapeId="0" xr:uid="{00000000-0006-0000-0600-000011010000}">
      <text>
        <r>
          <rPr>
            <sz val="11"/>
            <rFont val="Calibri"/>
          </rPr>
          <t>OL 8 must enforce password complexity by requiring that at least one uppercase character be used.</t>
        </r>
      </text>
    </comment>
    <comment ref="L48" authorId="0" shapeId="0" xr:uid="{00000000-0006-0000-0600-000012010000}">
      <text>
        <r>
          <rPr>
            <sz val="11"/>
            <rFont val="Calibri"/>
          </rPr>
          <t>OL 8 must enforce password complexity by requiring that at least one lowercase character be used.</t>
        </r>
      </text>
    </comment>
    <comment ref="M48" authorId="0" shapeId="0" xr:uid="{00000000-0006-0000-0600-000013010000}">
      <text>
        <r>
          <rPr>
            <sz val="11"/>
            <rFont val="Calibri"/>
          </rPr>
          <t>OL 8 must enforce password complexity by requiring that at least one numeric character be used.</t>
        </r>
      </text>
    </comment>
    <comment ref="N48" authorId="0" shapeId="0" xr:uid="{00000000-0006-0000-0600-000014010000}">
      <text>
        <r>
          <rPr>
            <sz val="11"/>
            <rFont val="Calibri"/>
          </rPr>
          <t>OL 8 must require the maximum number of repeating characters of the same character class be limited to four when passwords are changed.</t>
        </r>
      </text>
    </comment>
    <comment ref="O48" authorId="0" shapeId="0" xr:uid="{00000000-0006-0000-0600-000015010000}">
      <text>
        <r>
          <rPr>
            <sz val="11"/>
            <rFont val="Calibri"/>
          </rPr>
          <t>OL 8 must require the maximum number of repeating characters be limited to three when passwords are changed.</t>
        </r>
      </text>
    </comment>
    <comment ref="P48" authorId="0" shapeId="0" xr:uid="{00000000-0006-0000-0600-000016010000}">
      <text>
        <r>
          <rPr>
            <sz val="11"/>
            <rFont val="Calibri"/>
          </rPr>
          <t>OL 8 must require the change of at least four character classes when passwords are changed.</t>
        </r>
      </text>
    </comment>
    <comment ref="Q48" authorId="0" shapeId="0" xr:uid="{00000000-0006-0000-0600-000017010000}">
      <text>
        <r>
          <rPr>
            <sz val="11"/>
            <rFont val="Calibri"/>
          </rPr>
          <t>OL 8 must require the change of at least eight characters when passwords are changed.</t>
        </r>
      </text>
    </comment>
    <comment ref="R48" authorId="0" shapeId="0" xr:uid="{00000000-0006-0000-0600-000018010000}">
      <text>
        <r>
          <rPr>
            <sz val="11"/>
            <rFont val="Calibri"/>
          </rPr>
          <t xml:space="preserve">OL 8 passwords for new users or password changes must have a 24 hours/one day minimum password lifetime restriction in </t>
        </r>
        <r>
          <rPr>
            <sz val="11"/>
            <color rgb="FF000000"/>
            <rFont val="Calibri"/>
          </rPr>
          <t>"</t>
        </r>
        <r>
          <rPr>
            <b/>
            <sz val="11"/>
            <color rgb="FF000000"/>
            <rFont val="Calibri"/>
          </rPr>
          <t>/etc/shadow</t>
        </r>
        <r>
          <rPr>
            <sz val="11"/>
            <color rgb="FF000000"/>
            <rFont val="Calibri"/>
          </rPr>
          <t>"</t>
        </r>
        <r>
          <rPr>
            <sz val="11"/>
            <color rgb="FF000000"/>
            <rFont val="Calibri"/>
          </rPr>
          <t>.</t>
        </r>
      </text>
    </comment>
    <comment ref="S48" authorId="0" shapeId="0" xr:uid="{00000000-0006-0000-0600-000019010000}">
      <text>
        <r>
          <rPr>
            <sz val="11"/>
            <rFont val="Calibri"/>
          </rPr>
          <t xml:space="preserve">OL 8 passwords for new users or password changes must have a 24 hours/one day minimum password lifetime restriction in </t>
        </r>
        <r>
          <rPr>
            <sz val="11"/>
            <color rgb="FF000000"/>
            <rFont val="Calibri"/>
          </rPr>
          <t>"</t>
        </r>
        <r>
          <rPr>
            <b/>
            <sz val="11"/>
            <color rgb="FF000000"/>
            <rFont val="Calibri"/>
          </rPr>
          <t>/etc/login.defs</t>
        </r>
        <r>
          <rPr>
            <sz val="11"/>
            <color rgb="FF000000"/>
            <rFont val="Calibri"/>
          </rPr>
          <t>"</t>
        </r>
        <r>
          <rPr>
            <sz val="11"/>
            <color rgb="FF000000"/>
            <rFont val="Calibri"/>
          </rPr>
          <t>.</t>
        </r>
      </text>
    </comment>
    <comment ref="T48" authorId="0" shapeId="0" xr:uid="{00000000-0006-0000-0600-00001A010000}">
      <text>
        <r>
          <rPr>
            <sz val="11"/>
            <rFont val="Calibri"/>
          </rPr>
          <t>OL 8 user account passwords must have a 60-day maximum password lifetime restriction.</t>
        </r>
      </text>
    </comment>
    <comment ref="U48" authorId="0" shapeId="0" xr:uid="{00000000-0006-0000-0600-00001B010000}">
      <text>
        <r>
          <rPr>
            <sz val="11"/>
            <rFont val="Calibri"/>
          </rPr>
          <t>OL 8 user account passwords must be configured so that existing passwords are restricted to a 60-day maximum lifetime.</t>
        </r>
      </text>
    </comment>
    <comment ref="V48" authorId="0" shapeId="0" xr:uid="{00000000-0006-0000-0600-00001C010000}">
      <text>
        <r>
          <rPr>
            <sz val="11"/>
            <rFont val="Calibri"/>
          </rPr>
          <t>OL 8 passwords must have a minimum of 15 characters.</t>
        </r>
      </text>
    </comment>
    <comment ref="W48" authorId="0" shapeId="0" xr:uid="{00000000-0006-0000-0600-00001D010000}">
      <text>
        <r>
          <rPr>
            <sz val="11"/>
            <rFont val="Calibri"/>
          </rPr>
          <t>All OL 8 passwords must contain at least one special character.</t>
        </r>
      </text>
    </comment>
    <comment ref="X48" authorId="0" shapeId="0" xr:uid="{00000000-0006-0000-0600-00001E010000}">
      <text>
        <r>
          <rPr>
            <sz val="11"/>
            <rFont val="Calibri"/>
          </rPr>
          <t>OL 8 must prevent the use of dictionary words for passwords.</t>
        </r>
      </text>
    </comment>
    <comment ref="Y48" authorId="0" shapeId="0" xr:uid="{00000000-0006-0000-0600-00001F010000}">
      <text>
        <r>
          <rPr>
            <sz val="11"/>
            <rFont val="Calibri"/>
          </rPr>
          <t>OL 8 must not allow accounts configured with blank or null passwords.</t>
        </r>
      </text>
    </comment>
    <comment ref="Z48" authorId="0" shapeId="0" xr:uid="{00000000-0006-0000-0600-000020010000}">
      <text>
        <r>
          <rPr>
            <sz val="11"/>
            <rFont val="Calibri"/>
          </rPr>
          <t>OL 8 must not allow blank or null passwords in the system-auth file.</t>
        </r>
      </text>
    </comment>
    <comment ref="AA48" authorId="0" shapeId="0" xr:uid="{00000000-0006-0000-0600-000021010000}">
      <text>
        <r>
          <rPr>
            <sz val="11"/>
            <rFont val="Calibri"/>
          </rPr>
          <t>OL 8 must not allow blank or null passwords in the password-auth file.</t>
        </r>
      </text>
    </comment>
    <comment ref="AB48" authorId="0" shapeId="0" xr:uid="{00000000-0006-0000-0600-000022010000}">
      <text>
        <r>
          <rPr>
            <sz val="11"/>
            <rFont val="Calibri"/>
          </rPr>
          <t>The OL 8 operating system must not have accounts configured with blank or null passwords.</t>
        </r>
      </text>
    </comment>
    <comment ref="AC48" authorId="0" shapeId="0" xr:uid="{00000000-0006-0000-0600-000023010000}">
      <text>
        <r>
          <rPr>
            <sz val="11"/>
            <rFont val="Calibri"/>
          </rPr>
          <t>OL 8 must ensure the password complexity module is enabled in the system-auth file.</t>
        </r>
      </text>
    </comment>
    <comment ref="AD48" authorId="0" shapeId="0" xr:uid="{00000000-0006-0000-0600-000024010000}">
      <text>
        <r>
          <rPr>
            <sz val="11"/>
            <rFont val="Calibri"/>
          </rPr>
          <t>OL 8 systems below version 8.4 must ensure the password complexity module in the system-auth file is configured for three retries or less.</t>
        </r>
      </text>
    </comment>
    <comment ref="AE48" authorId="0" shapeId="0" xr:uid="{00000000-0006-0000-0600-000025010000}">
      <text>
        <r>
          <rPr>
            <sz val="11"/>
            <rFont val="Calibri"/>
          </rPr>
          <t>OL 8 systems below version 8.4 must ensure the password complexity module in the password-auth file is configured for three retries or less.</t>
        </r>
      </text>
    </comment>
    <comment ref="AF48" authorId="0" shapeId="0" xr:uid="{00000000-0006-0000-0600-000026010000}">
      <text>
        <r>
          <rPr>
            <sz val="11"/>
            <rFont val="Calibri"/>
          </rPr>
          <t>OL 8 systems, version 8.4 and above, must ensure the password complexity module is configured for three retries or less.</t>
        </r>
      </text>
    </comment>
    <comment ref="J67" authorId="0" shapeId="0" xr:uid="{00000000-0006-0000-0600-000027010000}">
      <text>
        <r>
          <rPr>
            <sz val="11"/>
            <rFont val="Calibri"/>
          </rPr>
          <t>The OL 8 file system automounter must be disabled.</t>
        </r>
      </text>
    </comment>
    <comment ref="K67" authorId="0" shapeId="0" xr:uid="{00000000-0006-0000-0600-000028010000}">
      <text>
        <r>
          <rPr>
            <sz val="11"/>
            <rFont val="Calibri"/>
          </rPr>
          <t>OL 8 must be configured to disable the ability to use USB mass storage devices.</t>
        </r>
      </text>
    </comment>
    <comment ref="L67" authorId="0" shapeId="0" xr:uid="{00000000-0006-0000-0600-000029010000}">
      <text>
        <r>
          <rPr>
            <sz val="11"/>
            <rFont val="Calibri"/>
          </rPr>
          <t>OL 8 must have the USBGuard installed.</t>
        </r>
      </text>
    </comment>
    <comment ref="M67" authorId="0" shapeId="0" xr:uid="{00000000-0006-0000-0600-00002A010000}">
      <text>
        <r>
          <rPr>
            <sz val="11"/>
            <rFont val="Calibri"/>
          </rPr>
          <t>OL 8 must block unauthorized peripherals before establishing a connection.</t>
        </r>
      </text>
    </comment>
    <comment ref="N67" authorId="0" shapeId="0" xr:uid="{00000000-0006-0000-0600-00002B010000}">
      <text>
        <r>
          <rPr>
            <sz val="11"/>
            <rFont val="Calibri"/>
          </rPr>
          <t>OL 8 must enable the USBGuard.</t>
        </r>
      </text>
    </comment>
    <comment ref="J88" authorId="0" shapeId="0" xr:uid="{00000000-0006-0000-0600-00002C010000}">
      <text>
        <r>
          <rPr>
            <sz val="11"/>
            <rFont val="Calibri"/>
          </rPr>
          <t>OL 8 must not send Internet Control Message Protocol (ICMP) redirects.</t>
        </r>
      </text>
    </comment>
    <comment ref="K88" authorId="0" shapeId="0" xr:uid="{00000000-0006-0000-0600-00002D010000}">
      <text>
        <r>
          <rPr>
            <sz val="11"/>
            <rFont val="Calibri"/>
          </rPr>
          <t>OL 8 must not respond to Internet Control Message Protocol (ICMP) echoes sent to a broadcast address.</t>
        </r>
      </text>
    </comment>
    <comment ref="L88" authorId="0" shapeId="0" xr:uid="{00000000-0006-0000-0600-00002E010000}">
      <text>
        <r>
          <rPr>
            <sz val="11"/>
            <rFont val="Calibri"/>
          </rPr>
          <t>OL 8 must not forward IPv4 source-routed packets.</t>
        </r>
      </text>
    </comment>
    <comment ref="M88" authorId="0" shapeId="0" xr:uid="{00000000-0006-0000-0600-00002F010000}">
      <text>
        <r>
          <rPr>
            <sz val="11"/>
            <rFont val="Calibri"/>
          </rPr>
          <t>OL 8 must not forward IPv6 source-routed packets.</t>
        </r>
      </text>
    </comment>
    <comment ref="N88" authorId="0" shapeId="0" xr:uid="{00000000-0006-0000-0600-000030010000}">
      <text>
        <r>
          <rPr>
            <sz val="11"/>
            <rFont val="Calibri"/>
          </rPr>
          <t>OL 8 must not forward IPv4 source-routed packets by default.</t>
        </r>
      </text>
    </comment>
    <comment ref="O88" authorId="0" shapeId="0" xr:uid="{00000000-0006-0000-0600-000031010000}">
      <text>
        <r>
          <rPr>
            <sz val="11"/>
            <rFont val="Calibri"/>
          </rPr>
          <t>OL 8 must not forward IPv6 source-routed packets by default.</t>
        </r>
      </text>
    </comment>
    <comment ref="P88" authorId="0" shapeId="0" xr:uid="{00000000-0006-0000-0600-000032010000}">
      <text>
        <r>
          <rPr>
            <sz val="11"/>
            <rFont val="Calibri"/>
          </rPr>
          <t>OL 8 must not enable IPv6 packet forwarding unless the system is a router.</t>
        </r>
      </text>
    </comment>
    <comment ref="Q88" authorId="0" shapeId="0" xr:uid="{00000000-0006-0000-0600-000033010000}">
      <text>
        <r>
          <rPr>
            <sz val="11"/>
            <rFont val="Calibri"/>
          </rPr>
          <t>OL 8 must not accept router advertisements on all IPv6 interfaces.</t>
        </r>
      </text>
    </comment>
    <comment ref="R88" authorId="0" shapeId="0" xr:uid="{00000000-0006-0000-0600-000034010000}">
      <text>
        <r>
          <rPr>
            <sz val="11"/>
            <rFont val="Calibri"/>
          </rPr>
          <t>OL 8 must not accept router advertisements on all IPv6 interfaces by default.</t>
        </r>
      </text>
    </comment>
    <comment ref="S88" authorId="0" shapeId="0" xr:uid="{00000000-0006-0000-0600-000035010000}">
      <text>
        <r>
          <rPr>
            <sz val="11"/>
            <rFont val="Calibri"/>
          </rPr>
          <t>OL 8 must ignore IPv4 Internet Control Message Protocol (ICMP) redirect messages.</t>
        </r>
      </text>
    </comment>
    <comment ref="T88" authorId="0" shapeId="0" xr:uid="{00000000-0006-0000-0600-000036010000}">
      <text>
        <r>
          <rPr>
            <sz val="11"/>
            <rFont val="Calibri"/>
          </rPr>
          <t>OL 8 must ignore IPv6 Internet Control Message Protocol (ICMP) redirect messages.</t>
        </r>
      </text>
    </comment>
    <comment ref="U88" authorId="0" shapeId="0" xr:uid="{00000000-0006-0000-0600-000037010000}">
      <text>
        <r>
          <rPr>
            <sz val="11"/>
            <rFont val="Calibri"/>
          </rPr>
          <t>OL 8 must use reverse path filtering on all IPv4 interfaces.</t>
        </r>
      </text>
    </comment>
    <comment ref="V88" authorId="0" shapeId="0" xr:uid="{00000000-0006-0000-0600-000038010000}">
      <text>
        <r>
          <rPr>
            <sz val="11"/>
            <rFont val="Calibri"/>
          </rPr>
          <t>OL 8 remote X connections for interactive users must be disabled unless to fulfill documented and validated mission requirements.</t>
        </r>
      </text>
    </comment>
    <comment ref="W88" authorId="0" shapeId="0" xr:uid="{00000000-0006-0000-0600-000039010000}">
      <text>
        <r>
          <rPr>
            <sz val="11"/>
            <rFont val="Calibri"/>
          </rPr>
          <t>The OL 8 SSH daemon must prevent remote hosts from connecting to the proxy display.</t>
        </r>
      </text>
    </comment>
    <comment ref="X88" authorId="0" shapeId="0" xr:uid="{00000000-0006-0000-0600-00003A010000}">
      <text>
        <r>
          <rPr>
            <sz val="11"/>
            <rFont val="Calibri"/>
          </rPr>
          <t>OL 8 must not enable IPv4 packet forwarding unless the system is a router.</t>
        </r>
      </text>
    </comment>
    <comment ref="J90" authorId="0" shapeId="0" xr:uid="{00000000-0006-0000-0600-00003B010000}">
      <text>
        <r>
          <rPr>
            <sz val="11"/>
            <rFont val="Calibri"/>
          </rPr>
          <t>An OL 8 firewall must employ a deny-all, allow-by-exception policy for allowing connections to other systems.</t>
        </r>
      </text>
    </comment>
    <comment ref="K90" authorId="0" shapeId="0" xr:uid="{00000000-0006-0000-0600-00003C010000}">
      <text>
        <r>
          <rPr>
            <sz val="11"/>
            <rFont val="Calibri"/>
          </rPr>
          <t>A firewall must be installed on OL 8.</t>
        </r>
      </text>
    </comment>
    <comment ref="L90" authorId="0" shapeId="0" xr:uid="{00000000-0006-0000-0600-00003D010000}">
      <text>
        <r>
          <rPr>
            <sz val="11"/>
            <rFont val="Calibri"/>
          </rPr>
          <t>A firewall must be active on OL 8.</t>
        </r>
      </text>
    </comment>
    <comment ref="M90" authorId="0" shapeId="0" xr:uid="{00000000-0006-0000-0600-00003E010000}">
      <text>
        <r>
          <rPr>
            <sz val="11"/>
            <rFont val="Calibri"/>
          </rPr>
          <t>A firewall must be able to protect against or limit the effects of denial-of-service (DoS) attacks by ensuring OL 8 can implement rate-limiting measures on impacted network interfaces.</t>
        </r>
      </text>
    </comment>
    <comment ref="N90" authorId="0" shapeId="0" xr:uid="{00000000-0006-0000-0600-00003F010000}">
      <text>
        <r>
          <rPr>
            <sz val="11"/>
            <rFont val="Calibri"/>
          </rPr>
          <t>OL 8 network interfaces must not be in promiscuous mode.</t>
        </r>
      </text>
    </comment>
    <comment ref="J91" authorId="0" shapeId="0" xr:uid="{00000000-0006-0000-0600-000040010000}">
      <text>
        <r>
          <rPr>
            <sz val="11"/>
            <rFont val="Calibri"/>
          </rPr>
          <t>OL 8 must implement NIST FIPS-validated cryptography for the following: To provision digital signatures, to generate cryptographic hashes, and to protect data requiring data-at-rest protections in accordance with applicable federal laws, Executive Orders, directives, policies, regulations, and standards.</t>
        </r>
      </text>
    </comment>
    <comment ref="K91" authorId="0" shapeId="0" xr:uid="{00000000-0006-0000-0600-000041010000}">
      <text>
        <r>
          <rPr>
            <sz val="11"/>
            <rFont val="Calibri"/>
          </rPr>
          <t>All OL 8 local disk partitions must implement cryptographic mechanisms to prevent unauthorized disclosure or modification of all information that requires at-rest protection.</t>
        </r>
      </text>
    </comment>
    <comment ref="L91" authorId="0" shapeId="0" xr:uid="{00000000-0006-0000-0600-000042010000}">
      <text>
        <r>
          <rPr>
            <sz val="11"/>
            <rFont val="Calibri"/>
          </rPr>
          <t>OL 8 must encrypt all stored passwords with a FIPS 140-2 approved cryptographic hashing algorithm.</t>
        </r>
      </text>
    </comment>
    <comment ref="M91" authorId="0" shapeId="0" xr:uid="{00000000-0006-0000-0600-000043010000}">
      <text>
        <r>
          <rPr>
            <sz val="11"/>
            <rFont val="Calibri"/>
          </rPr>
          <t>OL 8 must employ FIPS 140-2 approved cryptographic hashing algorithms for all stored passwords.</t>
        </r>
      </text>
    </comment>
    <comment ref="N91" authorId="0" shapeId="0" xr:uid="{00000000-0006-0000-0600-000044010000}">
      <text>
        <r>
          <rPr>
            <sz val="11"/>
            <rFont val="Calibri"/>
          </rPr>
          <t xml:space="preserve">The OL 8 </t>
        </r>
        <r>
          <rPr>
            <sz val="11"/>
            <color rgb="FF000000"/>
            <rFont val="Calibri"/>
          </rPr>
          <t>"</t>
        </r>
        <r>
          <rPr>
            <b/>
            <sz val="11"/>
            <color rgb="FF000000"/>
            <rFont val="Calibri"/>
          </rPr>
          <t>pam_unix.so</t>
        </r>
        <r>
          <rPr>
            <sz val="11"/>
            <color rgb="FF000000"/>
            <rFont val="Calibri"/>
          </rPr>
          <t>"</t>
        </r>
        <r>
          <rPr>
            <sz val="11"/>
            <color rgb="FF000000"/>
            <rFont val="Calibri"/>
          </rPr>
          <t xml:space="preserve"> module must be configured in the system-auth file to use a FIPS 140-2 approved cryptographic hashing algorithm for system authentication.</t>
        </r>
      </text>
    </comment>
    <comment ref="O91" authorId="0" shapeId="0" xr:uid="{00000000-0006-0000-0600-000045010000}">
      <text>
        <r>
          <rPr>
            <sz val="11"/>
            <rFont val="Calibri"/>
          </rPr>
          <t xml:space="preserve">The OL 8 </t>
        </r>
        <r>
          <rPr>
            <sz val="11"/>
            <color rgb="FF000000"/>
            <rFont val="Calibri"/>
          </rPr>
          <t>"</t>
        </r>
        <r>
          <rPr>
            <b/>
            <sz val="11"/>
            <color rgb="FF000000"/>
            <rFont val="Calibri"/>
          </rPr>
          <t>pam_unix.so</t>
        </r>
        <r>
          <rPr>
            <sz val="11"/>
            <color rgb="FF000000"/>
            <rFont val="Calibri"/>
          </rPr>
          <t>"</t>
        </r>
        <r>
          <rPr>
            <sz val="11"/>
            <color rgb="FF000000"/>
            <rFont val="Calibri"/>
          </rPr>
          <t xml:space="preserve"> module must be configured in the password-auth file to use a FIPS 140-2 approved cryptographic hashing algorithm for system authentication.</t>
        </r>
      </text>
    </comment>
    <comment ref="P91" authorId="0" shapeId="0" xr:uid="{00000000-0006-0000-0600-000046010000}">
      <text>
        <r>
          <rPr>
            <sz val="11"/>
            <rFont val="Calibri"/>
          </rPr>
          <t>OL 8 must be configured so that all network connections associated with SSH traffic terminate after becoming unresponsive.</t>
        </r>
      </text>
    </comment>
    <comment ref="Q91" authorId="0" shapeId="0" xr:uid="{00000000-0006-0000-0600-000047010000}">
      <text>
        <r>
          <rPr>
            <sz val="11"/>
            <rFont val="Calibri"/>
          </rPr>
          <t>OL 8 must be configured so that all network connections associated with SSH traffic are terminated after 10 minutes of becoming unresponsive.</t>
        </r>
      </text>
    </comment>
    <comment ref="R91" authorId="0" shapeId="0" xr:uid="{00000000-0006-0000-0600-000048010000}">
      <text>
        <r>
          <rPr>
            <sz val="11"/>
            <rFont val="Calibri"/>
          </rPr>
          <t>The OL 8 SSH server must be configured to use strong entropy.</t>
        </r>
      </text>
    </comment>
    <comment ref="S91" authorId="0" shapeId="0" xr:uid="{00000000-0006-0000-0600-000049010000}">
      <text>
        <r>
          <rPr>
            <sz val="11"/>
            <rFont val="Calibri"/>
          </rPr>
          <t>OL 8 must enable the hardware random number generator entropy gatherer service.</t>
        </r>
      </text>
    </comment>
    <comment ref="T91" authorId="0" shapeId="0" xr:uid="{00000000-0006-0000-0600-00004A010000}">
      <text>
        <r>
          <rPr>
            <sz val="11"/>
            <rFont val="Calibri"/>
          </rPr>
          <t>OL 8 must have the packages required to use the hardware random number generator entropy gatherer service.</t>
        </r>
      </text>
    </comment>
    <comment ref="U91" authorId="0" shapeId="0" xr:uid="{00000000-0006-0000-0600-00004B010000}">
      <text>
        <r>
          <rPr>
            <sz val="11"/>
            <rFont val="Calibri"/>
          </rPr>
          <t>For OL 8 systems using Domain Name Servers (DNS) resolution, at least two name servers must be configured.</t>
        </r>
      </text>
    </comment>
    <comment ref="V91" authorId="0" shapeId="0" xr:uid="{00000000-0006-0000-0600-00004C010000}">
      <text>
        <r>
          <rPr>
            <sz val="11"/>
            <rFont val="Calibri"/>
          </rPr>
          <t>OL 8 must not have the telnet-server package installed.</t>
        </r>
      </text>
    </comment>
    <comment ref="W91" authorId="0" shapeId="0" xr:uid="{00000000-0006-0000-0600-00004D010000}">
      <text>
        <r>
          <rPr>
            <sz val="11"/>
            <rFont val="Calibri"/>
          </rPr>
          <t>All OL 8 networked systems must have SSH installed.</t>
        </r>
      </text>
    </comment>
    <comment ref="X91" authorId="0" shapeId="0" xr:uid="{00000000-0006-0000-0600-00004E010000}">
      <text>
        <r>
          <rPr>
            <sz val="11"/>
            <rFont val="Calibri"/>
          </rPr>
          <t>All OL 8 networked systems must have and implement SSH to protect the confidentiality and integrity of transmitted and received information, as well as information during preparation for transmission.</t>
        </r>
      </text>
    </comment>
    <comment ref="Y91" authorId="0" shapeId="0" xr:uid="{00000000-0006-0000-0600-00004F010000}">
      <text>
        <r>
          <rPr>
            <sz val="11"/>
            <rFont val="Calibri"/>
          </rPr>
          <t>OL 8 must force a frequent session key renegotiation for SSH connections to the server.</t>
        </r>
      </text>
    </comment>
    <comment ref="Z91" authorId="0" shapeId="0" xr:uid="{00000000-0006-0000-0600-000050010000}">
      <text>
        <r>
          <rPr>
            <sz val="11"/>
            <rFont val="Calibri"/>
          </rPr>
          <t>OL 8 must have the crypto-policies package installed.</t>
        </r>
      </text>
    </comment>
    <comment ref="AA91" authorId="0" shapeId="0" xr:uid="{00000000-0006-0000-0600-000051010000}">
      <text>
        <r>
          <rPr>
            <sz val="11"/>
            <rFont val="Calibri"/>
          </rPr>
          <t>OL 8 must implement a FIPS 140-3-compliant systemwide cryptographic policy.</t>
        </r>
      </text>
    </comment>
    <comment ref="AB91" authorId="0" shapeId="0" xr:uid="{00000000-0006-0000-0600-000052010000}">
      <text>
        <r>
          <rPr>
            <sz val="11"/>
            <rFont val="Calibri"/>
          </rPr>
          <t>OL 8 must implement NIST FIPS-validated cryptography for the following: To provision digital signatures, to generate cryptographic hashes, and to protect data requiring data-at-rest protections in accordance with applicable federal laws, Executive Orders, directives, policies, regulations, and standards.</t>
        </r>
      </text>
    </comment>
    <comment ref="AC91" authorId="0" shapeId="0" xr:uid="{00000000-0006-0000-0600-000053010000}">
      <text>
        <r>
          <rPr>
            <sz val="11"/>
            <rFont val="Calibri"/>
          </rPr>
          <t>OL 8 cryptographic policy must not be overridden.</t>
        </r>
      </text>
    </comment>
    <comment ref="AD91" authorId="0" shapeId="0" xr:uid="{00000000-0006-0000-0600-000054010000}">
      <text>
        <r>
          <rPr>
            <sz val="11"/>
            <rFont val="Calibri"/>
          </rPr>
          <t>The OL 8 SSH client must be configured to use only DOD-approved encryption ciphers employing FIPS 140-3-validated cryptographic hash algorithms to protect the confidentiality of SSH client connections.</t>
        </r>
      </text>
    </comment>
    <comment ref="AE91" authorId="0" shapeId="0" xr:uid="{00000000-0006-0000-0600-000055010000}">
      <text>
        <r>
          <rPr>
            <sz val="11"/>
            <rFont val="Calibri"/>
          </rPr>
          <t>The OL 8 SSH client must be configured to use only DOD-approved Message Authentication Codes (MACs) employing FIPS 140-3-validated cryptographic hash algorithms to protect the confidentiality of SSH client connections.</t>
        </r>
      </text>
    </comment>
    <comment ref="AF91" authorId="0" shapeId="0" xr:uid="{00000000-0006-0000-0600-000056010000}">
      <text>
        <r>
          <rPr>
            <sz val="11"/>
            <rFont val="Calibri"/>
          </rPr>
          <t>OL 8 IP tunnels must use FIPS 140-3-approved cryptographic algorithms.</t>
        </r>
      </text>
    </comment>
    <comment ref="AG91" authorId="0" shapeId="0" xr:uid="{00000000-0006-0000-0600-000057010000}">
      <text>
        <r>
          <rPr>
            <sz val="11"/>
            <rFont val="Calibri"/>
          </rPr>
          <t>OL 8 must implement DOD-approved encryption in the bind package.</t>
        </r>
      </text>
    </comment>
    <comment ref="AH91" authorId="0" shapeId="0" xr:uid="{00000000-0006-0000-0600-000058010000}">
      <text>
        <r>
          <rPr>
            <sz val="11"/>
            <rFont val="Calibri"/>
          </rPr>
          <t>The OL 8 SSH server must be configured to use only Message Authentication Codes (MACs) employing FIPS 140-3 validated cryptographic hash algorithms to protect the confidentiality of SSH server connections.</t>
        </r>
      </text>
    </comment>
    <comment ref="AI91" authorId="0" shapeId="0" xr:uid="{00000000-0006-0000-0600-000059010000}">
      <text>
        <r>
          <rPr>
            <sz val="11"/>
            <rFont val="Calibri"/>
          </rPr>
          <t>The OL 8 SSH server must be configured to use only DOD-approved encryption ciphers employing FIPS 140-3 validated cryptographic hash algorithms to protect the confidentiality of SSH server connections.</t>
        </r>
      </text>
    </comment>
    <comment ref="J93" authorId="0" shapeId="0" xr:uid="{00000000-0006-0000-0600-00005A010000}">
      <text>
        <r>
          <rPr>
            <sz val="11"/>
            <rFont val="Calibri"/>
          </rPr>
          <t>All OL 8 local disk partitions must implement cryptographic mechanisms to prevent unauthorized disclosure or modification of all information that requires at-rest protection.</t>
        </r>
      </text>
    </comment>
    <comment ref="K93" authorId="0" shapeId="0" xr:uid="{00000000-0006-0000-0600-00005B010000}">
      <text>
        <r>
          <rPr>
            <sz val="11"/>
            <rFont val="Calibri"/>
          </rPr>
          <t>OL 8 must prevent the installation of software, patches, service packs, device drivers, or operating system components of local packages without verification they have been digitally signed using a certificate that is issued by a Certificate Authority (CA) that is recognized and approved by the organization.</t>
        </r>
      </text>
    </comment>
    <comment ref="L93" authorId="0" shapeId="0" xr:uid="{00000000-0006-0000-0600-00005C010000}">
      <text>
        <r>
          <rPr>
            <sz val="11"/>
            <rFont val="Calibri"/>
          </rPr>
          <t xml:space="preserve">The OL 8 SSH private host key files must have mode </t>
        </r>
        <r>
          <rPr>
            <sz val="11"/>
            <color rgb="FF000000"/>
            <rFont val="Calibri"/>
          </rPr>
          <t>"</t>
        </r>
        <r>
          <rPr>
            <b/>
            <sz val="11"/>
            <color rgb="FF000000"/>
            <rFont val="Calibri"/>
          </rPr>
          <t>0640</t>
        </r>
        <r>
          <rPr>
            <sz val="11"/>
            <color rgb="FF000000"/>
            <rFont val="Calibri"/>
          </rPr>
          <t>"</t>
        </r>
        <r>
          <rPr>
            <sz val="11"/>
            <color rgb="FF000000"/>
            <rFont val="Calibri"/>
          </rPr>
          <t xml:space="preserve"> or less permissive.</t>
        </r>
      </text>
    </comment>
    <comment ref="J94" authorId="0" shapeId="0" xr:uid="{00000000-0006-0000-0600-00005D010000}">
      <text>
        <r>
          <rPr>
            <sz val="11"/>
            <rFont val="Calibri"/>
          </rPr>
          <t>OL 8 must implement NIST FIPS-validated cryptography for the following: To provision digital signatures, to generate cryptographic hashes, and to protect data requiring data-at-rest protections in accordance with applicable federal laws, Executive Orders, directives, policies, regulations, and standards.</t>
        </r>
      </text>
    </comment>
    <comment ref="K94" authorId="0" shapeId="0" xr:uid="{00000000-0006-0000-0600-00005E010000}">
      <text>
        <r>
          <rPr>
            <sz val="11"/>
            <rFont val="Calibri"/>
          </rPr>
          <t>OL 8 must encrypt all stored passwords with a FIPS 140-2 approved cryptographic hashing algorithm.</t>
        </r>
      </text>
    </comment>
    <comment ref="L94" authorId="0" shapeId="0" xr:uid="{00000000-0006-0000-0600-00005F010000}">
      <text>
        <r>
          <rPr>
            <sz val="11"/>
            <rFont val="Calibri"/>
          </rPr>
          <t>OL 8 must employ FIPS 140-2 approved cryptographic hashing algorithms for all stored passwords.</t>
        </r>
      </text>
    </comment>
    <comment ref="M94" authorId="0" shapeId="0" xr:uid="{00000000-0006-0000-0600-000060010000}">
      <text>
        <r>
          <rPr>
            <sz val="11"/>
            <rFont val="Calibri"/>
          </rPr>
          <t>The OL 8 shadow password suite must be configured to use a sufficient number of hashing rounds.</t>
        </r>
      </text>
    </comment>
    <comment ref="N94" authorId="0" shapeId="0" xr:uid="{00000000-0006-0000-0600-000061010000}">
      <text>
        <r>
          <rPr>
            <sz val="11"/>
            <rFont val="Calibri"/>
          </rPr>
          <t xml:space="preserve">The OL 8 </t>
        </r>
        <r>
          <rPr>
            <sz val="11"/>
            <color rgb="FF000000"/>
            <rFont val="Calibri"/>
          </rPr>
          <t>"</t>
        </r>
        <r>
          <rPr>
            <b/>
            <sz val="11"/>
            <color rgb="FF000000"/>
            <rFont val="Calibri"/>
          </rPr>
          <t>pam_unix.so</t>
        </r>
        <r>
          <rPr>
            <sz val="11"/>
            <color rgb="FF000000"/>
            <rFont val="Calibri"/>
          </rPr>
          <t>"</t>
        </r>
        <r>
          <rPr>
            <sz val="11"/>
            <color rgb="FF000000"/>
            <rFont val="Calibri"/>
          </rPr>
          <t xml:space="preserve"> module must be configured in the system-auth file to use a FIPS 140-2 approved cryptographic hashing algorithm for system authentication.</t>
        </r>
      </text>
    </comment>
    <comment ref="O94" authorId="0" shapeId="0" xr:uid="{00000000-0006-0000-0600-000062010000}">
      <text>
        <r>
          <rPr>
            <sz val="11"/>
            <rFont val="Calibri"/>
          </rPr>
          <t xml:space="preserve">The OL 8 </t>
        </r>
        <r>
          <rPr>
            <sz val="11"/>
            <color rgb="FF000000"/>
            <rFont val="Calibri"/>
          </rPr>
          <t>"</t>
        </r>
        <r>
          <rPr>
            <b/>
            <sz val="11"/>
            <color rgb="FF000000"/>
            <rFont val="Calibri"/>
          </rPr>
          <t>pam_unix.so</t>
        </r>
        <r>
          <rPr>
            <sz val="11"/>
            <color rgb="FF000000"/>
            <rFont val="Calibri"/>
          </rPr>
          <t>"</t>
        </r>
        <r>
          <rPr>
            <sz val="11"/>
            <color rgb="FF000000"/>
            <rFont val="Calibri"/>
          </rPr>
          <t xml:space="preserve"> module must be configured in the password-auth file to use a FIPS 140-2 approved cryptographic hashing algorithm for system authentication.</t>
        </r>
      </text>
    </comment>
    <comment ref="P94" authorId="0" shapeId="0" xr:uid="{00000000-0006-0000-0600-000063010000}">
      <text>
        <r>
          <rPr>
            <sz val="11"/>
            <rFont val="Calibri"/>
          </rPr>
          <t>OL 8 must be configured so that all network connections associated with SSH traffic terminate after becoming unresponsive.</t>
        </r>
      </text>
    </comment>
    <comment ref="Q94" authorId="0" shapeId="0" xr:uid="{00000000-0006-0000-0600-000064010000}">
      <text>
        <r>
          <rPr>
            <sz val="11"/>
            <rFont val="Calibri"/>
          </rPr>
          <t>OL 8 must be configured so that all network connections associated with SSH traffic are terminated after 10 minutes of becoming unresponsive.</t>
        </r>
      </text>
    </comment>
    <comment ref="R94" authorId="0" shapeId="0" xr:uid="{00000000-0006-0000-0600-000065010000}">
      <text>
        <r>
          <rPr>
            <sz val="11"/>
            <rFont val="Calibri"/>
          </rPr>
          <t>The OL 8 SSH server must be configured to use strong entropy.</t>
        </r>
      </text>
    </comment>
    <comment ref="S94" authorId="0" shapeId="0" xr:uid="{00000000-0006-0000-0600-000066010000}">
      <text>
        <r>
          <rPr>
            <sz val="11"/>
            <rFont val="Calibri"/>
          </rPr>
          <t>OL 8 must enable the hardware random number generator entropy gatherer service.</t>
        </r>
      </text>
    </comment>
    <comment ref="T94" authorId="0" shapeId="0" xr:uid="{00000000-0006-0000-0600-000067010000}">
      <text>
        <r>
          <rPr>
            <sz val="11"/>
            <rFont val="Calibri"/>
          </rPr>
          <t>OL 8 must have the packages required to use the hardware random number generator entropy gatherer service.</t>
        </r>
      </text>
    </comment>
    <comment ref="U94" authorId="0" shapeId="0" xr:uid="{00000000-0006-0000-0600-000068010000}">
      <text>
        <r>
          <rPr>
            <sz val="11"/>
            <rFont val="Calibri"/>
          </rPr>
          <t>All OL 8 networked systems must have SSH installed.</t>
        </r>
      </text>
    </comment>
    <comment ref="V94" authorId="0" shapeId="0" xr:uid="{00000000-0006-0000-0600-000069010000}">
      <text>
        <r>
          <rPr>
            <sz val="11"/>
            <rFont val="Calibri"/>
          </rPr>
          <t>All OL 8 networked systems must have and implement SSH to protect the confidentiality and integrity of transmitted and received information, as well as information during preparation for transmission.</t>
        </r>
      </text>
    </comment>
    <comment ref="W94" authorId="0" shapeId="0" xr:uid="{00000000-0006-0000-0600-00006A010000}">
      <text>
        <r>
          <rPr>
            <sz val="11"/>
            <rFont val="Calibri"/>
          </rPr>
          <t>OL 8 must have the crypto-policies package installed.</t>
        </r>
      </text>
    </comment>
    <comment ref="X94" authorId="0" shapeId="0" xr:uid="{00000000-0006-0000-0600-00006B010000}">
      <text>
        <r>
          <rPr>
            <sz val="11"/>
            <rFont val="Calibri"/>
          </rPr>
          <t>OL 8 must implement a FIPS 140-3-compliant systemwide cryptographic policy.</t>
        </r>
      </text>
    </comment>
    <comment ref="Y94" authorId="0" shapeId="0" xr:uid="{00000000-0006-0000-0600-00006C010000}">
      <text>
        <r>
          <rPr>
            <sz val="11"/>
            <rFont val="Calibri"/>
          </rPr>
          <t>OL 8 must implement NIST FIPS-validated cryptography for the following: To provision digital signatures, to generate cryptographic hashes, and to protect data requiring data-at-rest protections in accordance with applicable federal laws, Executive Orders, directives, policies, regulations, and standards.</t>
        </r>
      </text>
    </comment>
    <comment ref="Z94" authorId="0" shapeId="0" xr:uid="{00000000-0006-0000-0600-00006D010000}">
      <text>
        <r>
          <rPr>
            <sz val="11"/>
            <rFont val="Calibri"/>
          </rPr>
          <t>OL 8 cryptographic policy must not be overridden.</t>
        </r>
      </text>
    </comment>
    <comment ref="AA94" authorId="0" shapeId="0" xr:uid="{00000000-0006-0000-0600-00006E010000}">
      <text>
        <r>
          <rPr>
            <sz val="11"/>
            <rFont val="Calibri"/>
          </rPr>
          <t>The OL 8 SSH client must be configured to use only DOD-approved encryption ciphers employing FIPS 140-3-validated cryptographic hash algorithms to protect the confidentiality of SSH client connections.</t>
        </r>
      </text>
    </comment>
    <comment ref="AB94" authorId="0" shapeId="0" xr:uid="{00000000-0006-0000-0600-00006F010000}">
      <text>
        <r>
          <rPr>
            <sz val="11"/>
            <rFont val="Calibri"/>
          </rPr>
          <t>The OL 8 SSH client must be configured to use only DOD-approved Message Authentication Codes (MACs) employing FIPS 140-3-validated cryptographic hash algorithms to protect the confidentiality of SSH client connections.</t>
        </r>
      </text>
    </comment>
    <comment ref="AC94" authorId="0" shapeId="0" xr:uid="{00000000-0006-0000-0600-000070010000}">
      <text>
        <r>
          <rPr>
            <sz val="11"/>
            <rFont val="Calibri"/>
          </rPr>
          <t>OL 8 IP tunnels must use FIPS 140-3-approved cryptographic algorithms.</t>
        </r>
      </text>
    </comment>
    <comment ref="AD94" authorId="0" shapeId="0" xr:uid="{00000000-0006-0000-0600-000071010000}">
      <text>
        <r>
          <rPr>
            <sz val="11"/>
            <rFont val="Calibri"/>
          </rPr>
          <t>OL 8 must implement DOD-approved encryption in the bind package.</t>
        </r>
      </text>
    </comment>
    <comment ref="AE94" authorId="0" shapeId="0" xr:uid="{00000000-0006-0000-0600-000072010000}">
      <text>
        <r>
          <rPr>
            <sz val="11"/>
            <rFont val="Calibri"/>
          </rPr>
          <t>The OL 8 SSH server must be configured to use only DOD-approved encryption ciphers employing FIPS 140-3 validated cryptographic hash algorithms to protect the confidentiality of SSH server connections.</t>
        </r>
      </text>
    </comment>
    <comment ref="J99" authorId="0" shapeId="0" xr:uid="{00000000-0006-0000-0600-000073010000}">
      <text>
        <r>
          <rPr>
            <sz val="11"/>
            <rFont val="Calibri"/>
          </rPr>
          <t>OL 8 must be a vendor-supported release.</t>
        </r>
      </text>
    </comment>
    <comment ref="K99" authorId="0" shapeId="0" xr:uid="{00000000-0006-0000-0600-000074010000}">
      <text>
        <r>
          <rPr>
            <sz val="11"/>
            <rFont val="Calibri"/>
          </rPr>
          <t>OL 8 vendor-packaged system security patches and updates must be installed and up to date.</t>
        </r>
      </text>
    </comment>
    <comment ref="L99" authorId="0" shapeId="0" xr:uid="{00000000-0006-0000-0600-000075010000}">
      <text>
        <r>
          <rPr>
            <sz val="11"/>
            <rFont val="Calibri"/>
          </rPr>
          <t xml:space="preserve">OL 8 must have the </t>
        </r>
        <r>
          <rPr>
            <sz val="11"/>
            <color rgb="FF000000"/>
            <rFont val="Calibri"/>
          </rPr>
          <t>"</t>
        </r>
        <r>
          <rPr>
            <b/>
            <sz val="11"/>
            <color rgb="FF000000"/>
            <rFont val="Calibri"/>
          </rPr>
          <t>policycoreutils</t>
        </r>
        <r>
          <rPr>
            <sz val="11"/>
            <color rgb="FF000000"/>
            <rFont val="Calibri"/>
          </rPr>
          <t>"</t>
        </r>
        <r>
          <rPr>
            <sz val="11"/>
            <color rgb="FF000000"/>
            <rFont val="Calibri"/>
          </rPr>
          <t xml:space="preserve"> package installed.</t>
        </r>
      </text>
    </comment>
    <comment ref="J100" authorId="0" shapeId="0" xr:uid="{00000000-0006-0000-0600-000076010000}">
      <text>
        <r>
          <rPr>
            <sz val="11"/>
            <rFont val="Calibri"/>
          </rPr>
          <t xml:space="preserve">The OL 8 </t>
        </r>
        <r>
          <rPr>
            <sz val="11"/>
            <color rgb="FF000000"/>
            <rFont val="Calibri"/>
          </rPr>
          <t>"</t>
        </r>
        <r>
          <rPr>
            <b/>
            <sz val="11"/>
            <color rgb="FF000000"/>
            <rFont val="Calibri"/>
          </rPr>
          <t>fapolicy</t>
        </r>
        <r>
          <rPr>
            <sz val="11"/>
            <color rgb="FF000000"/>
            <rFont val="Calibri"/>
          </rPr>
          <t>"</t>
        </r>
        <r>
          <rPr>
            <sz val="11"/>
            <color rgb="FF000000"/>
            <rFont val="Calibri"/>
          </rPr>
          <t xml:space="preserve"> module must be installed.</t>
        </r>
      </text>
    </comment>
    <comment ref="K100" authorId="0" shapeId="0" xr:uid="{00000000-0006-0000-0600-000077010000}">
      <text>
        <r>
          <rPr>
            <sz val="11"/>
            <rFont val="Calibri"/>
          </rPr>
          <t xml:space="preserve">The OL 8 </t>
        </r>
        <r>
          <rPr>
            <sz val="11"/>
            <color rgb="FF000000"/>
            <rFont val="Calibri"/>
          </rPr>
          <t>"</t>
        </r>
        <r>
          <rPr>
            <b/>
            <sz val="11"/>
            <color rgb="FF000000"/>
            <rFont val="Calibri"/>
          </rPr>
          <t>fapolicy</t>
        </r>
        <r>
          <rPr>
            <sz val="11"/>
            <color rgb="FF000000"/>
            <rFont val="Calibri"/>
          </rPr>
          <t>"</t>
        </r>
        <r>
          <rPr>
            <sz val="11"/>
            <color rgb="FF000000"/>
            <rFont val="Calibri"/>
          </rPr>
          <t xml:space="preserve"> module must be enabled.</t>
        </r>
      </text>
    </comment>
    <comment ref="L100" authorId="0" shapeId="0" xr:uid="{00000000-0006-0000-0600-000078010000}">
      <text>
        <r>
          <rPr>
            <sz val="11"/>
            <rFont val="Calibri"/>
          </rPr>
          <t>The OL 8 fapolicy module must be configured to employ a deny-all, permit-by-exception policy to allow the execution of authorized software programs.</t>
        </r>
      </text>
    </comment>
    <comment ref="J102" authorId="0" shapeId="0" xr:uid="{00000000-0006-0000-0600-000079010000}">
      <text>
        <r>
          <rPr>
            <sz val="11"/>
            <rFont val="Calibri"/>
          </rPr>
          <t>The OL 8 file integrity tool must notify the system administrator (SA) when changes to the baseline configuration or anomalies in the operation of any security functions are discovered within an organizationally defined frequency.</t>
        </r>
      </text>
    </comment>
    <comment ref="K102" authorId="0" shapeId="0" xr:uid="{00000000-0006-0000-0600-00007A010000}">
      <text>
        <r>
          <rPr>
            <sz val="11"/>
            <rFont val="Calibri"/>
          </rPr>
          <t>The OL 8 file integrity tool must be configured to verify extended attributes.</t>
        </r>
      </text>
    </comment>
    <comment ref="L102" authorId="0" shapeId="0" xr:uid="{00000000-0006-0000-0600-00007B010000}">
      <text>
        <r>
          <rPr>
            <sz val="11"/>
            <rFont val="Calibri"/>
          </rPr>
          <t>The OL 8 file integrity tool must be configured to verify Access Control Lists (ACLs).</t>
        </r>
      </text>
    </comment>
    <comment ref="M102" authorId="0" shapeId="0" xr:uid="{00000000-0006-0000-0600-00007C010000}">
      <text>
        <r>
          <rPr>
            <sz val="11"/>
            <rFont val="Calibri"/>
          </rPr>
          <t>The OL 8 operating system must use a file integrity tool to verify correct operation of all security functions.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89" authorId="0" shapeId="0" xr:uid="{00000000-0006-0000-0700-000001000000}">
      <text>
        <r>
          <rPr>
            <sz val="11"/>
            <rFont val="Calibri"/>
          </rPr>
          <t>OL 8 temporary user accounts must be provisioned with an expiration time of 72 hours or less.</t>
        </r>
      </text>
    </comment>
    <comment ref="I89" authorId="0" shapeId="0" xr:uid="{00000000-0006-0000-0700-000007000000}">
      <text>
        <r>
          <rPr>
            <sz val="11"/>
            <rFont val="Calibri"/>
          </rPr>
          <t>OL 8 must map the authenticated identity to the user or group account for PKI-based authentication.</t>
        </r>
      </text>
    </comment>
    <comment ref="J89" authorId="0" shapeId="0" xr:uid="{00000000-0006-0000-0700-000002000000}">
      <text>
        <r>
          <rPr>
            <sz val="11"/>
            <rFont val="Calibri"/>
          </rPr>
          <t>OL 8 duplicate User IDs (UIDs) must not exist for interactive users.</t>
        </r>
      </text>
    </comment>
    <comment ref="K89" authorId="0" shapeId="0" xr:uid="{00000000-0006-0000-0700-000003000000}">
      <text>
        <r>
          <rPr>
            <sz val="11"/>
            <rFont val="Calibri"/>
          </rPr>
          <t>The OL 8 system-auth file must disable access to the system for account identifiers (individuals, groups, roles, and devices) with 35 days of inactivity.</t>
        </r>
      </text>
    </comment>
    <comment ref="L89" authorId="0" shapeId="0" xr:uid="{00000000-0006-0000-0700-000004000000}">
      <text>
        <r>
          <rPr>
            <sz val="11"/>
            <rFont val="Calibri"/>
          </rPr>
          <t>The OL 8 password-auth file must disable access to the system for account identifiers (individuals, groups, roles, and devices) with 35 days of inactivity.</t>
        </r>
      </text>
    </comment>
    <comment ref="M89" authorId="0" shapeId="0" xr:uid="{00000000-0006-0000-0700-000005000000}">
      <text>
        <r>
          <rPr>
            <sz val="11"/>
            <rFont val="Calibri"/>
          </rPr>
          <t>OL 8 must automatically expire temporary accounts within 72 hours.</t>
        </r>
      </text>
    </comment>
    <comment ref="N89" authorId="0" shapeId="0" xr:uid="{00000000-0006-0000-0700-000006000000}">
      <text>
        <r>
          <rPr>
            <sz val="11"/>
            <rFont val="Calibri"/>
          </rPr>
          <t>OL 8 must not have unnecessary accounts.</t>
        </r>
      </text>
    </comment>
    <comment ref="H91" authorId="0" shapeId="0" xr:uid="{00000000-0006-0000-0700-000008000000}">
      <text>
        <r>
          <rPr>
            <sz val="11"/>
            <rFont val="Calibri"/>
          </rPr>
          <t>OL 8 must prevent the installation of software, patches, service packs, device drivers, or operating system components of local packages without verification they have been digitally signed using a certificate that is issued by a Certificate Authority (CA) that is recognized and approved by the organization.</t>
        </r>
      </text>
    </comment>
    <comment ref="I91" authorId="0" shapeId="0" xr:uid="{00000000-0006-0000-0700-00000E000000}">
      <text>
        <r>
          <rPr>
            <sz val="11"/>
            <rFont val="Calibri"/>
          </rPr>
          <t>OL 8 must have the package required for multifactor authentication installed.</t>
        </r>
      </text>
    </comment>
    <comment ref="J91" authorId="0" shapeId="0" xr:uid="{00000000-0006-0000-0700-00000F000000}">
      <text>
        <r>
          <rPr>
            <sz val="11"/>
            <rFont val="Calibri"/>
          </rPr>
          <t>OL 8 must implement certificate status checking for multifactor authentication.</t>
        </r>
      </text>
    </comment>
    <comment ref="K91" authorId="0" shapeId="0" xr:uid="{00000000-0006-0000-0700-000010000000}">
      <text>
        <r>
          <rPr>
            <sz val="11"/>
            <rFont val="Calibri"/>
          </rPr>
          <t>OL 8 must accept Personal Identity Verification (PIV) credentials.</t>
        </r>
      </text>
    </comment>
    <comment ref="L91" authorId="0" shapeId="0" xr:uid="{00000000-0006-0000-0700-000011000000}">
      <text>
        <r>
          <rPr>
            <sz val="11"/>
            <rFont val="Calibri"/>
          </rPr>
          <t xml:space="preserve">There must be no </t>
        </r>
        <r>
          <rPr>
            <sz val="11"/>
            <color rgb="FF000000"/>
            <rFont val="Calibri"/>
          </rPr>
          <t>"</t>
        </r>
        <r>
          <rPr>
            <b/>
            <sz val="11"/>
            <color rgb="FF000000"/>
            <rFont val="Calibri"/>
          </rPr>
          <t>shosts.equiv</t>
        </r>
        <r>
          <rPr>
            <sz val="11"/>
            <color rgb="FF000000"/>
            <rFont val="Calibri"/>
          </rPr>
          <t>"</t>
        </r>
        <r>
          <rPr>
            <sz val="11"/>
            <color rgb="FF000000"/>
            <rFont val="Calibri"/>
          </rPr>
          <t xml:space="preserve"> files on the OL 8 operating system.</t>
        </r>
      </text>
    </comment>
    <comment ref="M91" authorId="0" shapeId="0" xr:uid="{00000000-0006-0000-0700-000012000000}">
      <text>
        <r>
          <rPr>
            <sz val="11"/>
            <rFont val="Calibri"/>
          </rPr>
          <t xml:space="preserve">There must be no </t>
        </r>
        <r>
          <rPr>
            <sz val="11"/>
            <color rgb="FF000000"/>
            <rFont val="Calibri"/>
          </rPr>
          <t>"</t>
        </r>
        <r>
          <rPr>
            <b/>
            <sz val="11"/>
            <color rgb="FF000000"/>
            <rFont val="Calibri"/>
          </rPr>
          <t>.shosts</t>
        </r>
        <r>
          <rPr>
            <sz val="11"/>
            <color rgb="FF000000"/>
            <rFont val="Calibri"/>
          </rPr>
          <t>"</t>
        </r>
        <r>
          <rPr>
            <sz val="11"/>
            <color rgb="FF000000"/>
            <rFont val="Calibri"/>
          </rPr>
          <t xml:space="preserve"> files on the OL 8 operating system.</t>
        </r>
      </text>
    </comment>
    <comment ref="N91" authorId="0" shapeId="0" xr:uid="{00000000-0006-0000-0700-000013000000}">
      <text>
        <r>
          <rPr>
            <sz val="11"/>
            <rFont val="Calibri"/>
          </rPr>
          <t>The OL 8 SSH daemon must not allow authentication using known host</t>
        </r>
        <r>
          <rPr>
            <sz val="11"/>
            <color rgb="FF000000"/>
            <rFont val="Calibri"/>
          </rPr>
          <t>'</t>
        </r>
        <r>
          <rPr>
            <sz val="11"/>
            <color rgb="FF000000"/>
            <rFont val="Calibri"/>
          </rPr>
          <t>s authentication.</t>
        </r>
      </text>
    </comment>
    <comment ref="O91" authorId="0" shapeId="0" xr:uid="{00000000-0006-0000-0700-000009000000}">
      <text>
        <r>
          <rPr>
            <sz val="11"/>
            <rFont val="Calibri"/>
          </rPr>
          <t>The OL 8 SSH daemon must not allow Kerberos authentication, except to fulfill documented and validated mission requirements.</t>
        </r>
      </text>
    </comment>
    <comment ref="P91" authorId="0" shapeId="0" xr:uid="{00000000-0006-0000-0700-00000A000000}">
      <text>
        <r>
          <rPr>
            <sz val="11"/>
            <rFont val="Calibri"/>
          </rPr>
          <t>The OL 8 SSH daemon must not allow GSSAPI authentication, except to fulfill documented and validated mission requirements.</t>
        </r>
      </text>
    </comment>
    <comment ref="Q91" authorId="0" shapeId="0" xr:uid="{00000000-0006-0000-0700-00000B000000}">
      <text>
        <r>
          <rPr>
            <sz val="11"/>
            <rFont val="Calibri"/>
          </rPr>
          <t>OL 8 must map the authenticated identity to the user or group account for PKI-based authentication.</t>
        </r>
      </text>
    </comment>
    <comment ref="R91" authorId="0" shapeId="0" xr:uid="{00000000-0006-0000-0700-00000C000000}">
      <text>
        <r>
          <rPr>
            <sz val="11"/>
            <rFont val="Calibri"/>
          </rPr>
          <t>OL 8 must implement multifactor authentication for access to interactive accounts.</t>
        </r>
      </text>
    </comment>
    <comment ref="S91" authorId="0" shapeId="0" xr:uid="{00000000-0006-0000-0700-00000D000000}">
      <text>
        <r>
          <rPr>
            <sz val="11"/>
            <rFont val="Calibri"/>
          </rPr>
          <t>OL 8 must prohibit the use of cached authentications after one day.</t>
        </r>
      </text>
    </comment>
    <comment ref="H93" authorId="0" shapeId="0" xr:uid="{00000000-0006-0000-0700-000014000000}">
      <text>
        <r>
          <rPr>
            <sz val="11"/>
            <rFont val="Calibri"/>
          </rPr>
          <t>OL 8 must require users to provide a password for privilege escalation.</t>
        </r>
      </text>
    </comment>
    <comment ref="I93" authorId="0" shapeId="0" xr:uid="{00000000-0006-0000-0700-000031000000}">
      <text>
        <r>
          <rPr>
            <sz val="11"/>
            <rFont val="Calibri"/>
          </rPr>
          <t>OL 8 must require users to reauthenticate for privilege escalation and changing roles.</t>
        </r>
      </text>
    </comment>
    <comment ref="J93" authorId="0" shapeId="0" xr:uid="{00000000-0006-0000-0700-000032000000}">
      <text>
        <r>
          <rPr>
            <sz val="11"/>
            <rFont val="Calibri"/>
          </rPr>
          <t>OL 8 must restrict privilege elevation to authorized personnel.</t>
        </r>
      </text>
    </comment>
    <comment ref="K93" authorId="0" shapeId="0" xr:uid="{00000000-0006-0000-0700-000033000000}">
      <text>
        <r>
          <rPr>
            <sz val="11"/>
            <rFont val="Calibri"/>
          </rPr>
          <t>OL 8 must use the invoking user</t>
        </r>
        <r>
          <rPr>
            <sz val="11"/>
            <color rgb="FF000000"/>
            <rFont val="Calibri"/>
          </rPr>
          <t>'</t>
        </r>
        <r>
          <rPr>
            <sz val="11"/>
            <color rgb="FF000000"/>
            <rFont val="Calibri"/>
          </rPr>
          <t xml:space="preserve">s password for privilege escalation when using </t>
        </r>
        <r>
          <rPr>
            <sz val="11"/>
            <color rgb="FF000000"/>
            <rFont val="Calibri"/>
          </rPr>
          <t>"</t>
        </r>
        <r>
          <rPr>
            <b/>
            <sz val="11"/>
            <color rgb="FF000000"/>
            <rFont val="Calibri"/>
          </rPr>
          <t>sudo</t>
        </r>
        <r>
          <rPr>
            <sz val="11"/>
            <color rgb="FF000000"/>
            <rFont val="Calibri"/>
          </rPr>
          <t>"</t>
        </r>
        <r>
          <rPr>
            <sz val="11"/>
            <color rgb="FF000000"/>
            <rFont val="Calibri"/>
          </rPr>
          <t>.</t>
        </r>
      </text>
    </comment>
    <comment ref="L93" authorId="0" shapeId="0" xr:uid="{00000000-0006-0000-0700-000034000000}">
      <text>
        <r>
          <rPr>
            <sz val="11"/>
            <rFont val="Calibri"/>
          </rPr>
          <t>OL 8 must enable the SELinux targeted policy.</t>
        </r>
      </text>
    </comment>
    <comment ref="M93" authorId="0" shapeId="0" xr:uid="{00000000-0006-0000-0700-000035000000}">
      <text>
        <r>
          <rPr>
            <sz val="11"/>
            <rFont val="Calibri"/>
          </rPr>
          <t>OL 8 must not permit direct logons to the root account using remote access via SSH.</t>
        </r>
      </text>
    </comment>
    <comment ref="N93" authorId="0" shapeId="0" xr:uid="{00000000-0006-0000-0700-000036000000}">
      <text>
        <r>
          <rPr>
            <sz val="11"/>
            <rFont val="Calibri"/>
          </rPr>
          <t>OL 8 systems below version 8.2 must automatically lock an account when three unsuccessful logon attempts occur.</t>
        </r>
      </text>
    </comment>
    <comment ref="O93" authorId="0" shapeId="0" xr:uid="{00000000-0006-0000-0700-000037000000}">
      <text>
        <r>
          <rPr>
            <sz val="11"/>
            <rFont val="Calibri"/>
          </rPr>
          <t>OL 8 systems, versions 8.2 and above, must automatically lock an account when three unsuccessful logon attempts occur.</t>
        </r>
      </text>
    </comment>
    <comment ref="P93" authorId="0" shapeId="0" xr:uid="{00000000-0006-0000-0700-000038000000}">
      <text>
        <r>
          <rPr>
            <sz val="11"/>
            <rFont val="Calibri"/>
          </rPr>
          <t>OL 8 systems below version 8.2 must automatically lock an account when three unsuccessful logon attempts occur during a 15-minute time period.</t>
        </r>
      </text>
    </comment>
    <comment ref="Q93" authorId="0" shapeId="0" xr:uid="{00000000-0006-0000-0700-000039000000}">
      <text>
        <r>
          <rPr>
            <sz val="11"/>
            <rFont val="Calibri"/>
          </rPr>
          <t>OL 8 systems, versions 8.2 and above, must automatically lock an account when three unsuccessful logon attempts occur during a 15-minute time period.</t>
        </r>
      </text>
    </comment>
    <comment ref="R93" authorId="0" shapeId="0" xr:uid="{00000000-0006-0000-0700-00003A000000}">
      <text>
        <r>
          <rPr>
            <sz val="11"/>
            <rFont val="Calibri"/>
          </rPr>
          <t>OL 8 systems below version 8.2 must automatically lock an account until the locked account is released by an administrator when three unsuccessful logon attempts occur during a 15-minute time period.</t>
        </r>
      </text>
    </comment>
    <comment ref="S93" authorId="0" shapeId="0" xr:uid="{00000000-0006-0000-0700-00003B000000}">
      <text>
        <r>
          <rPr>
            <sz val="11"/>
            <rFont val="Calibri"/>
          </rPr>
          <t>OL 8 systems, versions 8.2 and above, must automatically lock an account until the locked account is released by an administrator when three unsuccessful logon attempts occur during a 15-minute time period.</t>
        </r>
      </text>
    </comment>
    <comment ref="T93" authorId="0" shapeId="0" xr:uid="{00000000-0006-0000-0700-000015000000}">
      <text>
        <r>
          <rPr>
            <sz val="11"/>
            <rFont val="Calibri"/>
          </rPr>
          <t>OL 8 systems below version 8.2 must ensure account lockouts persist.</t>
        </r>
      </text>
    </comment>
    <comment ref="U93" authorId="0" shapeId="0" xr:uid="{00000000-0006-0000-0700-000016000000}">
      <text>
        <r>
          <rPr>
            <sz val="11"/>
            <rFont val="Calibri"/>
          </rPr>
          <t>OL 8 systems, versions 8.2 and above, must ensure account lockouts persist.</t>
        </r>
      </text>
    </comment>
    <comment ref="V93" authorId="0" shapeId="0" xr:uid="{00000000-0006-0000-0700-000017000000}">
      <text>
        <r>
          <rPr>
            <sz val="11"/>
            <rFont val="Calibri"/>
          </rPr>
          <t>OL 8 systems below version 8.2 must include root when automatically locking an account until the locked account is released by an administrator when three unsuccessful logon attempts occur during a 15-minute time period.</t>
        </r>
      </text>
    </comment>
    <comment ref="W93" authorId="0" shapeId="0" xr:uid="{00000000-0006-0000-0700-000018000000}">
      <text>
        <r>
          <rPr>
            <sz val="11"/>
            <rFont val="Calibri"/>
          </rPr>
          <t>OL 8 systems, versions 8.2 and above, must include root when automatically locking an account until the locked account is released by an administrator when three unsuccessful logon attempts occur during a 15-minute time period.</t>
        </r>
      </text>
    </comment>
    <comment ref="X93" authorId="0" shapeId="0" xr:uid="{00000000-0006-0000-0700-000019000000}">
      <text>
        <r>
          <rPr>
            <sz val="11"/>
            <rFont val="Calibri"/>
          </rPr>
          <t>OL 8 must limit the number of concurrent sessions to 10 for all accounts and/or account types.</t>
        </r>
      </text>
    </comment>
    <comment ref="Y93" authorId="0" shapeId="0" xr:uid="{00000000-0006-0000-0700-00001A000000}">
      <text>
        <r>
          <rPr>
            <sz val="11"/>
            <rFont val="Calibri"/>
          </rPr>
          <t>OL 8 must configure the use of the pam_faillock.so module in the /etc/pam.d/system-auth file.</t>
        </r>
      </text>
    </comment>
    <comment ref="Z93" authorId="0" shapeId="0" xr:uid="{00000000-0006-0000-0700-00001B000000}">
      <text>
        <r>
          <rPr>
            <sz val="11"/>
            <rFont val="Calibri"/>
          </rPr>
          <t>OL 8 must configure the use of the pam_faillock.so module in the /etc/pam.d/password-auth file.</t>
        </r>
      </text>
    </comment>
    <comment ref="AA93" authorId="0" shapeId="0" xr:uid="{00000000-0006-0000-0700-00001C000000}">
      <text>
        <r>
          <rPr>
            <sz val="11"/>
            <rFont val="Calibri"/>
          </rPr>
          <t>OL 8 must enable a user session lock until that user reestablishes access using established identification and authentication procedures for graphical user sessions.</t>
        </r>
      </text>
    </comment>
    <comment ref="AB93" authorId="0" shapeId="0" xr:uid="{00000000-0006-0000-0700-00001D000000}">
      <text>
        <r>
          <rPr>
            <sz val="11"/>
            <rFont val="Calibri"/>
          </rPr>
          <t>OL 8 must initiate a session lock for graphical user interfaces when the screensaver is activated.</t>
        </r>
      </text>
    </comment>
    <comment ref="AC93" authorId="0" shapeId="0" xr:uid="{00000000-0006-0000-0700-00001E000000}">
      <text>
        <r>
          <rPr>
            <sz val="11"/>
            <rFont val="Calibri"/>
          </rPr>
          <t>OL 8 must enable a user session lock until that user reestablishes access using established identification and authentication procedures for command line sessions.</t>
        </r>
      </text>
    </comment>
    <comment ref="AD93" authorId="0" shapeId="0" xr:uid="{00000000-0006-0000-0700-00001F000000}">
      <text>
        <r>
          <rPr>
            <sz val="11"/>
            <rFont val="Calibri"/>
          </rPr>
          <t>OL 8 must be able to initiate directly a session lock for all connection types using smartcard when the smartcard is removed.</t>
        </r>
      </text>
    </comment>
    <comment ref="AE93" authorId="0" shapeId="0" xr:uid="{00000000-0006-0000-0700-000020000000}">
      <text>
        <r>
          <rPr>
            <sz val="11"/>
            <rFont val="Calibri"/>
          </rPr>
          <t>OL 8 must automatically lock graphical user sessions after 15 minutes of inactivity.</t>
        </r>
      </text>
    </comment>
    <comment ref="AF93" authorId="0" shapeId="0" xr:uid="{00000000-0006-0000-0700-000021000000}">
      <text>
        <r>
          <rPr>
            <sz val="11"/>
            <rFont val="Calibri"/>
          </rPr>
          <t>OL 8 must prevent a user from overriding the session lock-delay setting for the graphical user interface.</t>
        </r>
      </text>
    </comment>
    <comment ref="AG93" authorId="0" shapeId="0" xr:uid="{00000000-0006-0000-0700-000022000000}">
      <text>
        <r>
          <rPr>
            <sz val="11"/>
            <rFont val="Calibri"/>
          </rPr>
          <t>OL 8 must prevent a user from overriding the session idle-delay setting for the graphical user interface.</t>
        </r>
      </text>
    </comment>
    <comment ref="AH93" authorId="0" shapeId="0" xr:uid="{00000000-0006-0000-0700-000023000000}">
      <text>
        <r>
          <rPr>
            <sz val="11"/>
            <rFont val="Calibri"/>
          </rPr>
          <t>OL 8 must prevent a user from overriding the session lock-enabled setting for the graphical user interface.</t>
        </r>
      </text>
    </comment>
    <comment ref="AI93" authorId="0" shapeId="0" xr:uid="{00000000-0006-0000-0700-000024000000}">
      <text>
        <r>
          <rPr>
            <sz val="11"/>
            <rFont val="Calibri"/>
          </rPr>
          <t>OL 8 must ensure the password complexity module is enabled in the password-auth file.</t>
        </r>
      </text>
    </comment>
    <comment ref="AJ93" authorId="0" shapeId="0" xr:uid="{00000000-0006-0000-0700-000025000000}">
      <text>
        <r>
          <rPr>
            <sz val="11"/>
            <rFont val="Calibri"/>
          </rPr>
          <t>OL 8 must enforce password complexity by requiring that at least one uppercase character be used.</t>
        </r>
      </text>
    </comment>
    <comment ref="AK93" authorId="0" shapeId="0" xr:uid="{00000000-0006-0000-0700-000026000000}">
      <text>
        <r>
          <rPr>
            <sz val="11"/>
            <rFont val="Calibri"/>
          </rPr>
          <t>OL 8 must enforce password complexity by requiring that at least one lowercase character be used.</t>
        </r>
      </text>
    </comment>
    <comment ref="AL93" authorId="0" shapeId="0" xr:uid="{00000000-0006-0000-0700-000027000000}">
      <text>
        <r>
          <rPr>
            <sz val="11"/>
            <rFont val="Calibri"/>
          </rPr>
          <t>OL 8 must enforce password complexity by requiring that at least one numeric character be used.</t>
        </r>
      </text>
    </comment>
    <comment ref="AM93" authorId="0" shapeId="0" xr:uid="{00000000-0006-0000-0700-000028000000}">
      <text>
        <r>
          <rPr>
            <sz val="11"/>
            <rFont val="Calibri"/>
          </rPr>
          <t>OL 8 must require the maximum number of repeating characters of the same character class be limited to four when passwords are changed.</t>
        </r>
      </text>
    </comment>
    <comment ref="AN93" authorId="0" shapeId="0" xr:uid="{00000000-0006-0000-0700-000029000000}">
      <text>
        <r>
          <rPr>
            <sz val="11"/>
            <rFont val="Calibri"/>
          </rPr>
          <t>OL 8 must require the maximum number of repeating characters be limited to three when passwords are changed.</t>
        </r>
      </text>
    </comment>
    <comment ref="AO93" authorId="0" shapeId="0" xr:uid="{00000000-0006-0000-0700-00002A000000}">
      <text>
        <r>
          <rPr>
            <sz val="11"/>
            <rFont val="Calibri"/>
          </rPr>
          <t>OL 8 must require the change of at least four character classes when passwords are changed.</t>
        </r>
      </text>
    </comment>
    <comment ref="AP93" authorId="0" shapeId="0" xr:uid="{00000000-0006-0000-0700-00002B000000}">
      <text>
        <r>
          <rPr>
            <sz val="11"/>
            <rFont val="Calibri"/>
          </rPr>
          <t>OL 8 must require the change of at least eight characters when passwords are changed.</t>
        </r>
      </text>
    </comment>
    <comment ref="AQ93" authorId="0" shapeId="0" xr:uid="{00000000-0006-0000-0700-00002C000000}">
      <text>
        <r>
          <rPr>
            <sz val="11"/>
            <rFont val="Calibri"/>
          </rPr>
          <t xml:space="preserve">OL 8 passwords for new users or password changes must have a 24 hours/one day minimum password lifetime restriction in </t>
        </r>
        <r>
          <rPr>
            <sz val="11"/>
            <color rgb="FF000000"/>
            <rFont val="Calibri"/>
          </rPr>
          <t>"</t>
        </r>
        <r>
          <rPr>
            <b/>
            <sz val="11"/>
            <color rgb="FF000000"/>
            <rFont val="Calibri"/>
          </rPr>
          <t>/etc/shadow</t>
        </r>
        <r>
          <rPr>
            <sz val="11"/>
            <color rgb="FF000000"/>
            <rFont val="Calibri"/>
          </rPr>
          <t>"</t>
        </r>
        <r>
          <rPr>
            <sz val="11"/>
            <color rgb="FF000000"/>
            <rFont val="Calibri"/>
          </rPr>
          <t>.</t>
        </r>
      </text>
    </comment>
    <comment ref="AR93" authorId="0" shapeId="0" xr:uid="{00000000-0006-0000-0700-00002D000000}">
      <text>
        <r>
          <rPr>
            <sz val="11"/>
            <rFont val="Calibri"/>
          </rPr>
          <t xml:space="preserve">OL 8 passwords for new users or password changes must have a 24 hours/one day minimum password lifetime restriction in </t>
        </r>
        <r>
          <rPr>
            <sz val="11"/>
            <color rgb="FF000000"/>
            <rFont val="Calibri"/>
          </rPr>
          <t>"</t>
        </r>
        <r>
          <rPr>
            <b/>
            <sz val="11"/>
            <color rgb="FF000000"/>
            <rFont val="Calibri"/>
          </rPr>
          <t>/etc/login.defs</t>
        </r>
        <r>
          <rPr>
            <sz val="11"/>
            <color rgb="FF000000"/>
            <rFont val="Calibri"/>
          </rPr>
          <t>"</t>
        </r>
        <r>
          <rPr>
            <sz val="11"/>
            <color rgb="FF000000"/>
            <rFont val="Calibri"/>
          </rPr>
          <t>.</t>
        </r>
      </text>
    </comment>
    <comment ref="AS93" authorId="0" shapeId="0" xr:uid="{00000000-0006-0000-0700-00002E000000}">
      <text>
        <r>
          <rPr>
            <sz val="11"/>
            <rFont val="Calibri"/>
          </rPr>
          <t>OL 8 user account passwords must have a 60-day maximum password lifetime restriction.</t>
        </r>
      </text>
    </comment>
    <comment ref="AT93" authorId="0" shapeId="0" xr:uid="{00000000-0006-0000-0700-00002F000000}">
      <text>
        <r>
          <rPr>
            <sz val="11"/>
            <rFont val="Calibri"/>
          </rPr>
          <t>OL 8 user account passwords must be configured so that existing passwords are restricted to a 60-day maximum lifetime.</t>
        </r>
      </text>
    </comment>
    <comment ref="AU93" authorId="0" shapeId="0" xr:uid="{00000000-0006-0000-0700-000030000000}">
      <text>
        <r>
          <rPr>
            <sz val="11"/>
            <rFont val="Calibri"/>
          </rPr>
          <t>OL 8 passwords must have a minimum of 15 characters.</t>
        </r>
      </text>
    </comment>
    <comment ref="H110" authorId="0" shapeId="0" xr:uid="{00000000-0006-0000-0700-00003C000000}">
      <text>
        <r>
          <rPr>
            <sz val="11"/>
            <rFont val="Calibri"/>
          </rPr>
          <t>All OL 8 local disk partitions must implement cryptographic mechanisms to prevent unauthorized disclosure or modification of all information that requires at-rest protection.</t>
        </r>
      </text>
    </comment>
    <comment ref="I110" authorId="0" shapeId="0" xr:uid="{00000000-0006-0000-0700-00003D000000}">
      <text>
        <r>
          <rPr>
            <sz val="11"/>
            <rFont val="Calibri"/>
          </rPr>
          <t>The OL 8 shadow password suite must be configured to use a sufficient number of hashing rounds.</t>
        </r>
      </text>
    </comment>
    <comment ref="J110" authorId="0" shapeId="0" xr:uid="{00000000-0006-0000-0700-00003E000000}">
      <text>
        <r>
          <rPr>
            <sz val="11"/>
            <rFont val="Calibri"/>
          </rPr>
          <t xml:space="preserve">The OL 8 SSH private host key files must have mode </t>
        </r>
        <r>
          <rPr>
            <sz val="11"/>
            <color rgb="FF000000"/>
            <rFont val="Calibri"/>
          </rPr>
          <t>"</t>
        </r>
        <r>
          <rPr>
            <b/>
            <sz val="11"/>
            <color rgb="FF000000"/>
            <rFont val="Calibri"/>
          </rPr>
          <t>0640</t>
        </r>
        <r>
          <rPr>
            <sz val="11"/>
            <color rgb="FF000000"/>
            <rFont val="Calibri"/>
          </rPr>
          <t>"</t>
        </r>
        <r>
          <rPr>
            <sz val="11"/>
            <color rgb="FF000000"/>
            <rFont val="Calibri"/>
          </rPr>
          <t xml:space="preserve"> or less permissive.</t>
        </r>
      </text>
    </comment>
    <comment ref="H111" authorId="0" shapeId="0" xr:uid="{00000000-0006-0000-0700-00003F000000}">
      <text>
        <r>
          <rPr>
            <sz val="11"/>
            <rFont val="Calibri"/>
          </rPr>
          <t>OL 8 must implement NIST FIPS-validated cryptography for the following: To provision digital signatures, to generate cryptographic hashes, and to protect data requiring data-at-rest protections in accordance with applicable federal laws, Executive Orders, directives, policies, regulations, and standards.</t>
        </r>
      </text>
    </comment>
    <comment ref="I111" authorId="0" shapeId="0" xr:uid="{00000000-0006-0000-0700-000040000000}">
      <text>
        <r>
          <rPr>
            <sz val="11"/>
            <rFont val="Calibri"/>
          </rPr>
          <t>OL 8 must encrypt all stored passwords with a FIPS 140-2 approved cryptographic hashing algorithm.</t>
        </r>
      </text>
    </comment>
    <comment ref="J111" authorId="0" shapeId="0" xr:uid="{00000000-0006-0000-0700-000041000000}">
      <text>
        <r>
          <rPr>
            <sz val="11"/>
            <rFont val="Calibri"/>
          </rPr>
          <t>OL 8 must employ FIPS 140-2 approved cryptographic hashing algorithms for all stored passwords.</t>
        </r>
      </text>
    </comment>
    <comment ref="K111" authorId="0" shapeId="0" xr:uid="{00000000-0006-0000-0700-000042000000}">
      <text>
        <r>
          <rPr>
            <sz val="11"/>
            <rFont val="Calibri"/>
          </rPr>
          <t xml:space="preserve">The OL 8 </t>
        </r>
        <r>
          <rPr>
            <sz val="11"/>
            <color rgb="FF000000"/>
            <rFont val="Calibri"/>
          </rPr>
          <t>"</t>
        </r>
        <r>
          <rPr>
            <b/>
            <sz val="11"/>
            <color rgb="FF000000"/>
            <rFont val="Calibri"/>
          </rPr>
          <t>pam_unix.so</t>
        </r>
        <r>
          <rPr>
            <sz val="11"/>
            <color rgb="FF000000"/>
            <rFont val="Calibri"/>
          </rPr>
          <t>"</t>
        </r>
        <r>
          <rPr>
            <sz val="11"/>
            <color rgb="FF000000"/>
            <rFont val="Calibri"/>
          </rPr>
          <t xml:space="preserve"> module must be configured in the system-auth file to use a FIPS 140-2 approved cryptographic hashing algorithm for system authentication.</t>
        </r>
      </text>
    </comment>
    <comment ref="L111" authorId="0" shapeId="0" xr:uid="{00000000-0006-0000-0700-000043000000}">
      <text>
        <r>
          <rPr>
            <sz val="11"/>
            <rFont val="Calibri"/>
          </rPr>
          <t xml:space="preserve">The OL 8 </t>
        </r>
        <r>
          <rPr>
            <sz val="11"/>
            <color rgb="FF000000"/>
            <rFont val="Calibri"/>
          </rPr>
          <t>"</t>
        </r>
        <r>
          <rPr>
            <b/>
            <sz val="11"/>
            <color rgb="FF000000"/>
            <rFont val="Calibri"/>
          </rPr>
          <t>pam_unix.so</t>
        </r>
        <r>
          <rPr>
            <sz val="11"/>
            <color rgb="FF000000"/>
            <rFont val="Calibri"/>
          </rPr>
          <t>"</t>
        </r>
        <r>
          <rPr>
            <sz val="11"/>
            <color rgb="FF000000"/>
            <rFont val="Calibri"/>
          </rPr>
          <t xml:space="preserve"> module must be configured in the password-auth file to use a FIPS 140-2 approved cryptographic hashing algorithm for system authentication.</t>
        </r>
      </text>
    </comment>
    <comment ref="M111" authorId="0" shapeId="0" xr:uid="{00000000-0006-0000-0700-000044000000}">
      <text>
        <r>
          <rPr>
            <sz val="11"/>
            <rFont val="Calibri"/>
          </rPr>
          <t>OL 8 must be configured so that all network connections associated with SSH traffic terminate after becoming unresponsive.</t>
        </r>
      </text>
    </comment>
    <comment ref="N111" authorId="0" shapeId="0" xr:uid="{00000000-0006-0000-0700-000045000000}">
      <text>
        <r>
          <rPr>
            <sz val="11"/>
            <rFont val="Calibri"/>
          </rPr>
          <t>OL 8 must be configured so that all network connections associated with SSH traffic are terminated after 10 minutes of becoming unresponsive.</t>
        </r>
      </text>
    </comment>
    <comment ref="O111" authorId="0" shapeId="0" xr:uid="{00000000-0006-0000-0700-000046000000}">
      <text>
        <r>
          <rPr>
            <sz val="11"/>
            <rFont val="Calibri"/>
          </rPr>
          <t>The OL 8 SSH server must be configured to use strong entropy.</t>
        </r>
      </text>
    </comment>
    <comment ref="P111" authorId="0" shapeId="0" xr:uid="{00000000-0006-0000-0700-000047000000}">
      <text>
        <r>
          <rPr>
            <sz val="11"/>
            <rFont val="Calibri"/>
          </rPr>
          <t>OL 8 must enable the hardware random number generator entropy gatherer service.</t>
        </r>
      </text>
    </comment>
    <comment ref="Q111" authorId="0" shapeId="0" xr:uid="{00000000-0006-0000-0700-000048000000}">
      <text>
        <r>
          <rPr>
            <sz val="11"/>
            <rFont val="Calibri"/>
          </rPr>
          <t>OL 8 must have the packages required to use the hardware random number generator entropy gatherer service.</t>
        </r>
      </text>
    </comment>
    <comment ref="R111" authorId="0" shapeId="0" xr:uid="{00000000-0006-0000-0700-000049000000}">
      <text>
        <r>
          <rPr>
            <sz val="11"/>
            <rFont val="Calibri"/>
          </rPr>
          <t>For OL 8 systems using Domain Name Servers (DNS) resolution, at least two name servers must be configured.</t>
        </r>
      </text>
    </comment>
    <comment ref="S111" authorId="0" shapeId="0" xr:uid="{00000000-0006-0000-0700-00004A000000}">
      <text>
        <r>
          <rPr>
            <sz val="11"/>
            <rFont val="Calibri"/>
          </rPr>
          <t>All OL 8 networked systems must have SSH installed.</t>
        </r>
      </text>
    </comment>
    <comment ref="T111" authorId="0" shapeId="0" xr:uid="{00000000-0006-0000-0700-00004B000000}">
      <text>
        <r>
          <rPr>
            <sz val="11"/>
            <rFont val="Calibri"/>
          </rPr>
          <t>All OL 8 networked systems must have and implement SSH to protect the confidentiality and integrity of transmitted and received information, as well as information during preparation for transmission.</t>
        </r>
      </text>
    </comment>
    <comment ref="U111" authorId="0" shapeId="0" xr:uid="{00000000-0006-0000-0700-00004C000000}">
      <text>
        <r>
          <rPr>
            <sz val="11"/>
            <rFont val="Calibri"/>
          </rPr>
          <t>OL 8 must force a frequent session key renegotiation for SSH connections to the server.</t>
        </r>
      </text>
    </comment>
    <comment ref="V111" authorId="0" shapeId="0" xr:uid="{00000000-0006-0000-0700-00004D000000}">
      <text>
        <r>
          <rPr>
            <sz val="11"/>
            <rFont val="Calibri"/>
          </rPr>
          <t>OL 8 must have the crypto-policies package installed.</t>
        </r>
      </text>
    </comment>
    <comment ref="W111" authorId="0" shapeId="0" xr:uid="{00000000-0006-0000-0700-00004E000000}">
      <text>
        <r>
          <rPr>
            <sz val="11"/>
            <rFont val="Calibri"/>
          </rPr>
          <t>OL 8 must implement a FIPS 140-3-compliant systemwide cryptographic policy.</t>
        </r>
      </text>
    </comment>
    <comment ref="X111" authorId="0" shapeId="0" xr:uid="{00000000-0006-0000-0700-00004F000000}">
      <text>
        <r>
          <rPr>
            <sz val="11"/>
            <rFont val="Calibri"/>
          </rPr>
          <t>OL 8 must implement NIST FIPS-validated cryptography for the following: To provision digital signatures, to generate cryptographic hashes, and to protect data requiring data-at-rest protections in accordance with applicable federal laws, Executive Orders, directives, policies, regulations, and standards.</t>
        </r>
      </text>
    </comment>
    <comment ref="Y111" authorId="0" shapeId="0" xr:uid="{00000000-0006-0000-0700-000050000000}">
      <text>
        <r>
          <rPr>
            <sz val="11"/>
            <rFont val="Calibri"/>
          </rPr>
          <t>OL 8 cryptographic policy must not be overridden.</t>
        </r>
      </text>
    </comment>
    <comment ref="Z111" authorId="0" shapeId="0" xr:uid="{00000000-0006-0000-0700-000051000000}">
      <text>
        <r>
          <rPr>
            <sz val="11"/>
            <rFont val="Calibri"/>
          </rPr>
          <t>The OL 8 SSH client must be configured to use only DOD-approved encryption ciphers employing FIPS 140-3-validated cryptographic hash algorithms to protect the confidentiality of SSH client connections.</t>
        </r>
      </text>
    </comment>
    <comment ref="AA111" authorId="0" shapeId="0" xr:uid="{00000000-0006-0000-0700-000052000000}">
      <text>
        <r>
          <rPr>
            <sz val="11"/>
            <rFont val="Calibri"/>
          </rPr>
          <t>The OL 8 SSH client must be configured to use only DOD-approved Message Authentication Codes (MACs) employing FIPS 140-3-validated cryptographic hash algorithms to protect the confidentiality of SSH client connections.</t>
        </r>
      </text>
    </comment>
    <comment ref="AB111" authorId="0" shapeId="0" xr:uid="{00000000-0006-0000-0700-000053000000}">
      <text>
        <r>
          <rPr>
            <sz val="11"/>
            <rFont val="Calibri"/>
          </rPr>
          <t>OL 8 IP tunnels must use FIPS 140-3-approved cryptographic algorithms.</t>
        </r>
      </text>
    </comment>
    <comment ref="AC111" authorId="0" shapeId="0" xr:uid="{00000000-0006-0000-0700-000054000000}">
      <text>
        <r>
          <rPr>
            <sz val="11"/>
            <rFont val="Calibri"/>
          </rPr>
          <t>OL 8 must implement DOD-approved encryption in the bind package.</t>
        </r>
      </text>
    </comment>
    <comment ref="AD111" authorId="0" shapeId="0" xr:uid="{00000000-0006-0000-0700-000055000000}">
      <text>
        <r>
          <rPr>
            <sz val="11"/>
            <rFont val="Calibri"/>
          </rPr>
          <t>The OL 8 SSH server must be configured to use only Message Authentication Codes (MACs) employing FIPS 140-3 validated cryptographic hash algorithms to protect the confidentiality of SSH server connections.</t>
        </r>
      </text>
    </comment>
    <comment ref="AE111" authorId="0" shapeId="0" xr:uid="{00000000-0006-0000-0700-000056000000}">
      <text>
        <r>
          <rPr>
            <sz val="11"/>
            <rFont val="Calibri"/>
          </rPr>
          <t>The OL 8 SSH server must be configured to use only DOD-approved encryption ciphers employing FIPS 140-3 validated cryptographic hash algorithms to protect the confidentiality of SSH server connections.</t>
        </r>
      </text>
    </comment>
    <comment ref="H115" authorId="0" shapeId="0" xr:uid="{00000000-0006-0000-0700-000057000000}">
      <text>
        <r>
          <rPr>
            <sz val="11"/>
            <rFont val="Calibri"/>
          </rPr>
          <t>The OL 8 file integrity tool must notify the system administrator (SA) when changes to the baseline configuration or anomalies in the operation of any security functions are discovered within an organizationally defined frequency.</t>
        </r>
      </text>
    </comment>
    <comment ref="I115" authorId="0" shapeId="0" xr:uid="{00000000-0006-0000-0700-000058000000}">
      <text>
        <r>
          <rPr>
            <sz val="11"/>
            <rFont val="Calibri"/>
          </rPr>
          <t>YUM must be configured to prevent the installation of patches, service packs, device drivers, or OL 8 system components that have not been digitally signed using a certificate that is recognized and approved by the organization.</t>
        </r>
      </text>
    </comment>
    <comment ref="J115" authorId="0" shapeId="0" xr:uid="{00000000-0006-0000-0700-000059000000}">
      <text>
        <r>
          <rPr>
            <sz val="11"/>
            <rFont val="Calibri"/>
          </rPr>
          <t>The OL 8 file integrity tool must be configured to verify extended attributes.</t>
        </r>
      </text>
    </comment>
    <comment ref="K115" authorId="0" shapeId="0" xr:uid="{00000000-0006-0000-0700-00005A000000}">
      <text>
        <r>
          <rPr>
            <sz val="11"/>
            <rFont val="Calibri"/>
          </rPr>
          <t>The OL 8 file integrity tool must be configured to verify Access Control Lists (ACLs).</t>
        </r>
      </text>
    </comment>
    <comment ref="L115" authorId="0" shapeId="0" xr:uid="{00000000-0006-0000-0700-00005B000000}">
      <text>
        <r>
          <rPr>
            <sz val="11"/>
            <rFont val="Calibri"/>
          </rPr>
          <t>The OL 8 operating system must use a file integrity tool to verify correct operation of all security functions.</t>
        </r>
      </text>
    </comment>
    <comment ref="H134" authorId="0" shapeId="0" xr:uid="{00000000-0006-0000-0700-00005C000000}">
      <text>
        <r>
          <rPr>
            <sz val="11"/>
            <rFont val="Calibri"/>
          </rPr>
          <t>An OL 8 firewall must employ a deny-all, allow-by-exception policy for allowing connections to other systems.</t>
        </r>
      </text>
    </comment>
    <comment ref="H142" authorId="0" shapeId="0" xr:uid="{00000000-0006-0000-0700-00005D000000}">
      <text>
        <r>
          <rPr>
            <sz val="11"/>
            <rFont val="Calibri"/>
          </rPr>
          <t>OL 8 must display the Standard Mandatory DOD Notice and Consent Banner before granting local or remote access to the system via an SSH logon.</t>
        </r>
      </text>
    </comment>
    <comment ref="I142" authorId="0" shapeId="0" xr:uid="{00000000-0006-0000-0700-00005E000000}">
      <text>
        <r>
          <rPr>
            <sz val="11"/>
            <rFont val="Calibri"/>
          </rPr>
          <t>OL 8 must display the Standard Mandatory DoD Notice and Consent Banner before granting local or remote access to the system via a graphical user logon.</t>
        </r>
      </text>
    </comment>
    <comment ref="J142" authorId="0" shapeId="0" xr:uid="{00000000-0006-0000-0700-00005F000000}">
      <text>
        <r>
          <rPr>
            <sz val="11"/>
            <rFont val="Calibri"/>
          </rPr>
          <t>OL 8 must display the Standard Mandatory DoD Notice and Consent Banner before granting local or remote access to the system via a command line user logon.</t>
        </r>
      </text>
    </comment>
    <comment ref="K142" authorId="0" shapeId="0" xr:uid="{00000000-0006-0000-0700-000060000000}">
      <text>
        <r>
          <rPr>
            <sz val="11"/>
            <rFont val="Calibri"/>
          </rPr>
          <t>OL 8 operating systems booted with United Extensible Firmware Interface (UEFI) must require authentication upon booting into single-user mode and maintenance.</t>
        </r>
      </text>
    </comment>
    <comment ref="L142" authorId="0" shapeId="0" xr:uid="{00000000-0006-0000-0700-000061000000}">
      <text>
        <r>
          <rPr>
            <sz val="11"/>
            <rFont val="Calibri"/>
          </rPr>
          <t>OL 8 operating systems booted with a BIOS must require authentication upon booting into single-user and maintenance modes.</t>
        </r>
      </text>
    </comment>
    <comment ref="M142" authorId="0" shapeId="0" xr:uid="{00000000-0006-0000-0700-000062000000}">
      <text>
        <r>
          <rPr>
            <sz val="11"/>
            <rFont val="Calibri"/>
          </rPr>
          <t>OL 8 operating systems must require authentication upon booting into emergency mode.</t>
        </r>
      </text>
    </comment>
    <comment ref="N142" authorId="0" shapeId="0" xr:uid="{00000000-0006-0000-0700-000063000000}">
      <text>
        <r>
          <rPr>
            <sz val="11"/>
            <rFont val="Calibri"/>
          </rPr>
          <t>OL 8 must prevent system daemons from using Kerberos for authentication.</t>
        </r>
      </text>
    </comment>
    <comment ref="O142" authorId="0" shapeId="0" xr:uid="{00000000-0006-0000-0700-000064000000}">
      <text>
        <r>
          <rPr>
            <sz val="11"/>
            <rFont val="Calibri"/>
          </rPr>
          <t>OL 8 must use a Linux Security Module configured to enforce limits on system services.</t>
        </r>
      </text>
    </comment>
    <comment ref="P142" authorId="0" shapeId="0" xr:uid="{00000000-0006-0000-0700-000065000000}">
      <text>
        <r>
          <rPr>
            <sz val="11"/>
            <rFont val="Calibri"/>
          </rPr>
          <t>A sticky bit must be set on all OL 8 public directories to prevent unauthorized and unintended information transferred via shared system resources.</t>
        </r>
      </text>
    </comment>
    <comment ref="Q142" authorId="0" shapeId="0" xr:uid="{00000000-0006-0000-0700-000066000000}">
      <text>
        <r>
          <rPr>
            <sz val="11"/>
            <rFont val="Calibri"/>
          </rPr>
          <t>OL 8 system commands must have mode 755 or less permissive.</t>
        </r>
      </text>
    </comment>
    <comment ref="R142" authorId="0" shapeId="0" xr:uid="{00000000-0006-0000-0700-000067000000}">
      <text>
        <r>
          <rPr>
            <sz val="11"/>
            <rFont val="Calibri"/>
          </rPr>
          <t>OL 8 system commands must be owned by root.</t>
        </r>
      </text>
    </comment>
    <comment ref="S142" authorId="0" shapeId="0" xr:uid="{00000000-0006-0000-0700-000068000000}">
      <text>
        <r>
          <rPr>
            <sz val="11"/>
            <rFont val="Calibri"/>
          </rPr>
          <t>OL 8 system commands must be group-owned by root or a system account.</t>
        </r>
      </text>
    </comment>
    <comment ref="T142" authorId="0" shapeId="0" xr:uid="{00000000-0006-0000-0700-000069000000}">
      <text>
        <r>
          <rPr>
            <sz val="11"/>
            <rFont val="Calibri"/>
          </rPr>
          <t>OL 8 library files must have mode 755 or less permissive.</t>
        </r>
      </text>
    </comment>
    <comment ref="U142" authorId="0" shapeId="0" xr:uid="{00000000-0006-0000-0700-00006A000000}">
      <text>
        <r>
          <rPr>
            <sz val="11"/>
            <rFont val="Calibri"/>
          </rPr>
          <t>OL 8 library files must be owned by root.</t>
        </r>
      </text>
    </comment>
    <comment ref="V142" authorId="0" shapeId="0" xr:uid="{00000000-0006-0000-0700-00006B000000}">
      <text>
        <r>
          <rPr>
            <sz val="11"/>
            <rFont val="Calibri"/>
          </rPr>
          <t>OL 8 library files must be group-owned by root.</t>
        </r>
      </text>
    </comment>
    <comment ref="W142" authorId="0" shapeId="0" xr:uid="{00000000-0006-0000-0700-00006C000000}">
      <text>
        <r>
          <rPr>
            <sz val="11"/>
            <rFont val="Calibri"/>
          </rPr>
          <t>YUM must be configured to prevent the installation of patches, service packs, device drivers, or OL 8 system components that have not been digitally signed using a certificate that is recognized and approved by the organization.</t>
        </r>
      </text>
    </comment>
    <comment ref="X142" authorId="0" shapeId="0" xr:uid="{00000000-0006-0000-0700-00006D000000}">
      <text>
        <r>
          <rPr>
            <sz val="11"/>
            <rFont val="Calibri"/>
          </rPr>
          <t>OL 8 must prevent the loading of a new kernel for later execution.</t>
        </r>
      </text>
    </comment>
    <comment ref="Y142" authorId="0" shapeId="0" xr:uid="{00000000-0006-0000-0700-00006E000000}">
      <text>
        <r>
          <rPr>
            <sz val="11"/>
            <rFont val="Calibri"/>
          </rPr>
          <t>OL 8 must enable kernel parameters to enforce Discretionary Access Control (DAC) on symlinks.</t>
        </r>
      </text>
    </comment>
    <comment ref="Z142" authorId="0" shapeId="0" xr:uid="{00000000-0006-0000-0700-00006F000000}">
      <text>
        <r>
          <rPr>
            <sz val="11"/>
            <rFont val="Calibri"/>
          </rPr>
          <t>OL 8 must enable kernel parameters to enforce Discretionary Access Control (DAC) on hardlinks.</t>
        </r>
      </text>
    </comment>
    <comment ref="AA142" authorId="0" shapeId="0" xr:uid="{00000000-0006-0000-0700-000070000000}">
      <text>
        <r>
          <rPr>
            <sz val="11"/>
            <rFont val="Calibri"/>
          </rPr>
          <t>OL 8 must restrict access to the kernel message buffer.</t>
        </r>
      </text>
    </comment>
    <comment ref="AB142" authorId="0" shapeId="0" xr:uid="{00000000-0006-0000-0700-000071000000}">
      <text>
        <r>
          <rPr>
            <sz val="11"/>
            <rFont val="Calibri"/>
          </rPr>
          <t>OL 8 must prevent kernel profiling by nonprivileged users.</t>
        </r>
      </text>
    </comment>
    <comment ref="AC142" authorId="0" shapeId="0" xr:uid="{00000000-0006-0000-0700-000072000000}">
      <text>
        <r>
          <rPr>
            <sz val="11"/>
            <rFont val="Calibri"/>
          </rPr>
          <t>OL 8 must implement non-executable data to protect its memory from unauthorized code execution.</t>
        </r>
      </text>
    </comment>
    <comment ref="AD142" authorId="0" shapeId="0" xr:uid="{00000000-0006-0000-0700-000073000000}">
      <text>
        <r>
          <rPr>
            <sz val="11"/>
            <rFont val="Calibri"/>
          </rPr>
          <t>OL 8 must clear the page allocator to prevent use-after-free attacks.</t>
        </r>
      </text>
    </comment>
    <comment ref="AE142" authorId="0" shapeId="0" xr:uid="{00000000-0006-0000-0700-000074000000}">
      <text>
        <r>
          <rPr>
            <sz val="11"/>
            <rFont val="Calibri"/>
          </rPr>
          <t>OL 8 must clear memory when it is freed to prevent use-after-free attacks.</t>
        </r>
      </text>
    </comment>
    <comment ref="AF142" authorId="0" shapeId="0" xr:uid="{00000000-0006-0000-0700-000075000000}">
      <text>
        <r>
          <rPr>
            <sz val="11"/>
            <rFont val="Calibri"/>
          </rPr>
          <t>OL 8 must implement address space layout randomization (ASLR) to protect its memory from unauthorized code execution.</t>
        </r>
      </text>
    </comment>
    <comment ref="AG142" authorId="0" shapeId="0" xr:uid="{00000000-0006-0000-0700-000076000000}">
      <text>
        <r>
          <rPr>
            <sz val="11"/>
            <rFont val="Calibri"/>
          </rPr>
          <t>YUM must remove all software components after updated versions have been installed on OL 8.</t>
        </r>
      </text>
    </comment>
    <comment ref="AH142" authorId="0" shapeId="0" xr:uid="{00000000-0006-0000-0700-000077000000}">
      <text>
        <r>
          <rPr>
            <sz val="11"/>
            <rFont val="Calibri"/>
          </rPr>
          <t>OL 8 must enable the SELinux targeted policy.</t>
        </r>
      </text>
    </comment>
    <comment ref="AI142" authorId="0" shapeId="0" xr:uid="{00000000-0006-0000-0700-000078000000}">
      <text>
        <r>
          <rPr>
            <sz val="11"/>
            <rFont val="Calibri"/>
          </rPr>
          <t xml:space="preserve">The OL 8 SSH public host key files must have mode </t>
        </r>
        <r>
          <rPr>
            <sz val="11"/>
            <color rgb="FF000000"/>
            <rFont val="Calibri"/>
          </rPr>
          <t>"</t>
        </r>
        <r>
          <rPr>
            <b/>
            <sz val="11"/>
            <color rgb="FF000000"/>
            <rFont val="Calibri"/>
          </rPr>
          <t>0644</t>
        </r>
        <r>
          <rPr>
            <sz val="11"/>
            <color rgb="FF000000"/>
            <rFont val="Calibri"/>
          </rPr>
          <t>"</t>
        </r>
        <r>
          <rPr>
            <sz val="11"/>
            <color rgb="FF000000"/>
            <rFont val="Calibri"/>
          </rPr>
          <t xml:space="preserve"> or less permissive.</t>
        </r>
      </text>
    </comment>
    <comment ref="AJ142" authorId="0" shapeId="0" xr:uid="{00000000-0006-0000-0700-000079000000}">
      <text>
        <r>
          <rPr>
            <sz val="11"/>
            <rFont val="Calibri"/>
          </rPr>
          <t xml:space="preserve">The OL 8 SSH private host key files must have mode </t>
        </r>
        <r>
          <rPr>
            <sz val="11"/>
            <color rgb="FF000000"/>
            <rFont val="Calibri"/>
          </rPr>
          <t>"</t>
        </r>
        <r>
          <rPr>
            <b/>
            <sz val="11"/>
            <color rgb="FF000000"/>
            <rFont val="Calibri"/>
          </rPr>
          <t>0640</t>
        </r>
        <r>
          <rPr>
            <sz val="11"/>
            <color rgb="FF000000"/>
            <rFont val="Calibri"/>
          </rPr>
          <t>"</t>
        </r>
        <r>
          <rPr>
            <sz val="11"/>
            <color rgb="FF000000"/>
            <rFont val="Calibri"/>
          </rPr>
          <t xml:space="preserve"> or less permissive.</t>
        </r>
      </text>
    </comment>
    <comment ref="AK142" authorId="0" shapeId="0" xr:uid="{00000000-0006-0000-0700-00007A000000}">
      <text>
        <r>
          <rPr>
            <sz val="11"/>
            <rFont val="Calibri"/>
          </rPr>
          <t>The OL 8 SSH daemon must perform strict mode checking of home directory configuration files.</t>
        </r>
      </text>
    </comment>
    <comment ref="AL142" authorId="0" shapeId="0" xr:uid="{00000000-0006-0000-0700-00007B000000}">
      <text>
        <r>
          <rPr>
            <sz val="11"/>
            <rFont val="Calibri"/>
          </rPr>
          <t xml:space="preserve">OL 8 must use a separate file system for </t>
        </r>
        <r>
          <rPr>
            <sz val="11"/>
            <color rgb="FF000000"/>
            <rFont val="Calibri"/>
          </rPr>
          <t>"</t>
        </r>
        <r>
          <rPr>
            <b/>
            <sz val="11"/>
            <color rgb="FF000000"/>
            <rFont val="Calibri"/>
          </rPr>
          <t>/var</t>
        </r>
        <r>
          <rPr>
            <sz val="11"/>
            <color rgb="FF000000"/>
            <rFont val="Calibri"/>
          </rPr>
          <t>"</t>
        </r>
        <r>
          <rPr>
            <sz val="11"/>
            <color rgb="FF000000"/>
            <rFont val="Calibri"/>
          </rPr>
          <t>.</t>
        </r>
      </text>
    </comment>
    <comment ref="AM142" authorId="0" shapeId="0" xr:uid="{00000000-0006-0000-0700-00007C000000}">
      <text>
        <r>
          <rPr>
            <sz val="11"/>
            <rFont val="Calibri"/>
          </rPr>
          <t xml:space="preserve">OL 8 must use a separate file system for </t>
        </r>
        <r>
          <rPr>
            <sz val="11"/>
            <color rgb="FF000000"/>
            <rFont val="Calibri"/>
          </rPr>
          <t>"</t>
        </r>
        <r>
          <rPr>
            <b/>
            <sz val="11"/>
            <color rgb="FF000000"/>
            <rFont val="Calibri"/>
          </rPr>
          <t>/var/log</t>
        </r>
        <r>
          <rPr>
            <sz val="11"/>
            <color rgb="FF000000"/>
            <rFont val="Calibri"/>
          </rPr>
          <t>"</t>
        </r>
        <r>
          <rPr>
            <sz val="11"/>
            <color rgb="FF000000"/>
            <rFont val="Calibri"/>
          </rPr>
          <t>.</t>
        </r>
      </text>
    </comment>
    <comment ref="AN142" authorId="0" shapeId="0" xr:uid="{00000000-0006-0000-0700-00007D000000}">
      <text>
        <r>
          <rPr>
            <sz val="11"/>
            <rFont val="Calibri"/>
          </rPr>
          <t xml:space="preserve">OL 8 must use a separate file system for </t>
        </r>
        <r>
          <rPr>
            <sz val="11"/>
            <color rgb="FF000000"/>
            <rFont val="Calibri"/>
          </rPr>
          <t>"</t>
        </r>
        <r>
          <rPr>
            <b/>
            <sz val="11"/>
            <color rgb="FF000000"/>
            <rFont val="Calibri"/>
          </rPr>
          <t>/tmp</t>
        </r>
        <r>
          <rPr>
            <sz val="11"/>
            <color rgb="FF000000"/>
            <rFont val="Calibri"/>
          </rPr>
          <t>"</t>
        </r>
        <r>
          <rPr>
            <sz val="11"/>
            <color rgb="FF000000"/>
            <rFont val="Calibri"/>
          </rPr>
          <t>.</t>
        </r>
      </text>
    </comment>
    <comment ref="AO142" authorId="0" shapeId="0" xr:uid="{00000000-0006-0000-0700-00007E000000}">
      <text>
        <r>
          <rPr>
            <sz val="11"/>
            <rFont val="Calibri"/>
          </rPr>
          <t>OL 8 must use a separate file system for /var/tmp.</t>
        </r>
      </text>
    </comment>
    <comment ref="AP142" authorId="0" shapeId="0" xr:uid="{00000000-0006-0000-0700-00007F000000}">
      <text>
        <r>
          <rPr>
            <sz val="11"/>
            <rFont val="Calibri"/>
          </rPr>
          <t>OL 8 must prevent files with the setuid and setgid bit set from being executed on file systems that contain user home directories.</t>
        </r>
      </text>
    </comment>
    <comment ref="AQ142" authorId="0" shapeId="0" xr:uid="{00000000-0006-0000-0700-000080000000}">
      <text>
        <r>
          <rPr>
            <sz val="11"/>
            <rFont val="Calibri"/>
          </rPr>
          <t>OL 8 must prevent files with the setuid and setgid bit set from being executed on the /boot directory.</t>
        </r>
      </text>
    </comment>
    <comment ref="AR142" authorId="0" shapeId="0" xr:uid="{00000000-0006-0000-0700-000081000000}">
      <text>
        <r>
          <rPr>
            <sz val="11"/>
            <rFont val="Calibri"/>
          </rPr>
          <t>OL 8 must prevent files with the setuid and setgid bit set from being executed on the /boot/efi directory.</t>
        </r>
      </text>
    </comment>
    <comment ref="AS142" authorId="0" shapeId="0" xr:uid="{00000000-0006-0000-0700-000082000000}">
      <text>
        <r>
          <rPr>
            <sz val="11"/>
            <rFont val="Calibri"/>
          </rPr>
          <t>OL 8 file systems that contain user home directories must not execute binary files.</t>
        </r>
      </text>
    </comment>
    <comment ref="AT142" authorId="0" shapeId="0" xr:uid="{00000000-0006-0000-0700-000083000000}">
      <text>
        <r>
          <rPr>
            <sz val="11"/>
            <rFont val="Calibri"/>
          </rPr>
          <t>OL 8 must prevent files with the setuid and setgid bit set from being executed on file systems that are used with removable media.</t>
        </r>
      </text>
    </comment>
    <comment ref="AU142" authorId="0" shapeId="0" xr:uid="{00000000-0006-0000-0700-000084000000}">
      <text>
        <r>
          <rPr>
            <sz val="11"/>
            <rFont val="Calibri"/>
          </rPr>
          <t>OL 8 file systems must not execute binary files that are imported via Network File System (NFS).</t>
        </r>
      </text>
    </comment>
    <comment ref="H143" authorId="0" shapeId="0" xr:uid="{00000000-0006-0000-0700-000085000000}">
      <text>
        <r>
          <rPr>
            <sz val="11"/>
            <rFont val="Calibri"/>
          </rPr>
          <t>OL 8 must be a vendor-supported release.</t>
        </r>
      </text>
    </comment>
    <comment ref="I143" authorId="0" shapeId="0" xr:uid="{00000000-0006-0000-0700-000086000000}">
      <text>
        <r>
          <rPr>
            <sz val="11"/>
            <rFont val="Calibri"/>
          </rPr>
          <t>OL 8 vendor-packaged system security patches and updates must be installed and up to date.</t>
        </r>
      </text>
    </comment>
    <comment ref="J143" authorId="0" shapeId="0" xr:uid="{00000000-0006-0000-0700-000087000000}">
      <text>
        <r>
          <rPr>
            <sz val="11"/>
            <rFont val="Calibri"/>
          </rPr>
          <t xml:space="preserve">OL 8 must have the </t>
        </r>
        <r>
          <rPr>
            <sz val="11"/>
            <color rgb="FF000000"/>
            <rFont val="Calibri"/>
          </rPr>
          <t>"</t>
        </r>
        <r>
          <rPr>
            <b/>
            <sz val="11"/>
            <color rgb="FF000000"/>
            <rFont val="Calibri"/>
          </rPr>
          <t>policycoreutils</t>
        </r>
        <r>
          <rPr>
            <sz val="11"/>
            <color rgb="FF000000"/>
            <rFont val="Calibri"/>
          </rPr>
          <t>"</t>
        </r>
        <r>
          <rPr>
            <sz val="11"/>
            <color rgb="FF000000"/>
            <rFont val="Calibri"/>
          </rPr>
          <t xml:space="preserve"> package installed.</t>
        </r>
      </text>
    </comment>
    <comment ref="H145" authorId="0" shapeId="0" xr:uid="{00000000-0006-0000-0700-000088000000}">
      <text>
        <r>
          <rPr>
            <sz val="11"/>
            <rFont val="Calibri"/>
          </rPr>
          <t>The OL 8 audit package must be installed.</t>
        </r>
      </text>
    </comment>
    <comment ref="I145" authorId="0" shapeId="0" xr:uid="{00000000-0006-0000-0700-000089000000}">
      <text>
        <r>
          <rPr>
            <sz val="11"/>
            <rFont val="Calibri"/>
          </rPr>
          <t>OL 8 audit records must contain information to establish what type of events occurred, the source of events, where events occurred, and the outcome of events.</t>
        </r>
      </text>
    </comment>
    <comment ref="J145" authorId="0" shapeId="0" xr:uid="{00000000-0006-0000-0700-00008A000000}">
      <text>
        <r>
          <rPr>
            <sz val="11"/>
            <rFont val="Calibri"/>
          </rPr>
          <t>OL 8 must display a banner before granting local or remote access to the system via a graphical user logon.</t>
        </r>
      </text>
    </comment>
    <comment ref="K145" authorId="0" shapeId="0" xr:uid="{00000000-0006-0000-0700-00008B000000}">
      <text>
        <r>
          <rPr>
            <sz val="11"/>
            <rFont val="Calibri"/>
          </rPr>
          <t>All OL 8 remote access methods must be monitored.</t>
        </r>
      </text>
    </comment>
    <comment ref="L145" authorId="0" shapeId="0" xr:uid="{00000000-0006-0000-0700-00008C000000}">
      <text>
        <r>
          <rPr>
            <sz val="11"/>
            <rFont val="Calibri"/>
          </rPr>
          <t>OL 8, for PKI-based authentication, must validate certificates by constructing a certification path (which includes status information) to an accepted trust anchor.</t>
        </r>
      </text>
    </comment>
    <comment ref="M145" authorId="0" shapeId="0" xr:uid="{00000000-0006-0000-0700-00008D000000}">
      <text>
        <r>
          <rPr>
            <sz val="11"/>
            <rFont val="Calibri"/>
          </rPr>
          <t>OL 8, for certificate-based authentication, must enforce authorized access to the corresponding private key.</t>
        </r>
      </text>
    </comment>
    <comment ref="N145" authorId="0" shapeId="0" xr:uid="{00000000-0006-0000-0700-00008E000000}">
      <text>
        <r>
          <rPr>
            <sz val="11"/>
            <rFont val="Calibri"/>
          </rPr>
          <t>OL 8 operating systems booted with United Extensible Firmware Interface (UEFI) must have a unique name for the grub superusers account when booting into single-user mode and maintenance.</t>
        </r>
      </text>
    </comment>
    <comment ref="O145" authorId="0" shapeId="0" xr:uid="{00000000-0006-0000-0700-00008F000000}">
      <text>
        <r>
          <rPr>
            <sz val="11"/>
            <rFont val="Calibri"/>
          </rPr>
          <t>OL 8 operating systems booted with a BIOS must have a unique name for the grub superusers account when booting into single-user and maintenance modes.</t>
        </r>
      </text>
    </comment>
    <comment ref="P145" authorId="0" shapeId="0" xr:uid="{00000000-0006-0000-0700-000090000000}">
      <text>
        <r>
          <rPr>
            <sz val="11"/>
            <rFont val="Calibri"/>
          </rPr>
          <t>OL 8 operating systems must require authentication upon booting into rescue mode.</t>
        </r>
      </text>
    </comment>
    <comment ref="Q145" authorId="0" shapeId="0" xr:uid="{00000000-0006-0000-0700-000091000000}">
      <text>
        <r>
          <rPr>
            <sz val="11"/>
            <rFont val="Calibri"/>
          </rPr>
          <t>The krb5-workstation package must not be installed on OL 8.</t>
        </r>
      </text>
    </comment>
    <comment ref="R145" authorId="0" shapeId="0" xr:uid="{00000000-0006-0000-0700-000092000000}">
      <text>
        <r>
          <rPr>
            <sz val="11"/>
            <rFont val="Calibri"/>
          </rPr>
          <t>The krb5-server package must not be installed on OL 8.</t>
        </r>
      </text>
    </comment>
    <comment ref="S145" authorId="0" shapeId="0" xr:uid="{00000000-0006-0000-0700-000093000000}">
      <text>
        <r>
          <rPr>
            <sz val="11"/>
            <rFont val="Calibri"/>
          </rPr>
          <t xml:space="preserve">The OL 8 </t>
        </r>
        <r>
          <rPr>
            <sz val="11"/>
            <color rgb="FF000000"/>
            <rFont val="Calibri"/>
          </rPr>
          <t>"</t>
        </r>
        <r>
          <rPr>
            <b/>
            <sz val="11"/>
            <color rgb="FF000000"/>
            <rFont val="Calibri"/>
          </rPr>
          <t>/var/log/messages</t>
        </r>
        <r>
          <rPr>
            <sz val="11"/>
            <color rgb="FF000000"/>
            <rFont val="Calibri"/>
          </rPr>
          <t>"</t>
        </r>
        <r>
          <rPr>
            <sz val="11"/>
            <color rgb="FF000000"/>
            <rFont val="Calibri"/>
          </rPr>
          <t xml:space="preserve"> file must have mode 0640 or less permissive.</t>
        </r>
      </text>
    </comment>
    <comment ref="T145" authorId="0" shapeId="0" xr:uid="{00000000-0006-0000-0700-000094000000}">
      <text>
        <r>
          <rPr>
            <sz val="11"/>
            <rFont val="Calibri"/>
          </rPr>
          <t xml:space="preserve">The OL 8 </t>
        </r>
        <r>
          <rPr>
            <sz val="11"/>
            <color rgb="FF000000"/>
            <rFont val="Calibri"/>
          </rPr>
          <t>"</t>
        </r>
        <r>
          <rPr>
            <b/>
            <sz val="11"/>
            <color rgb="FF000000"/>
            <rFont val="Calibri"/>
          </rPr>
          <t>/var/log/messages</t>
        </r>
        <r>
          <rPr>
            <sz val="11"/>
            <color rgb="FF000000"/>
            <rFont val="Calibri"/>
          </rPr>
          <t>"</t>
        </r>
        <r>
          <rPr>
            <sz val="11"/>
            <color rgb="FF000000"/>
            <rFont val="Calibri"/>
          </rPr>
          <t xml:space="preserve"> file must be owned by root.</t>
        </r>
      </text>
    </comment>
    <comment ref="U145" authorId="0" shapeId="0" xr:uid="{00000000-0006-0000-0700-000095000000}">
      <text>
        <r>
          <rPr>
            <sz val="11"/>
            <rFont val="Calibri"/>
          </rPr>
          <t xml:space="preserve">The OL 8 </t>
        </r>
        <r>
          <rPr>
            <sz val="11"/>
            <color rgb="FF000000"/>
            <rFont val="Calibri"/>
          </rPr>
          <t>"</t>
        </r>
        <r>
          <rPr>
            <b/>
            <sz val="11"/>
            <color rgb="FF000000"/>
            <rFont val="Calibri"/>
          </rPr>
          <t>/var/log/messages</t>
        </r>
        <r>
          <rPr>
            <sz val="11"/>
            <color rgb="FF000000"/>
            <rFont val="Calibri"/>
          </rPr>
          <t>"</t>
        </r>
        <r>
          <rPr>
            <sz val="11"/>
            <color rgb="FF000000"/>
            <rFont val="Calibri"/>
          </rPr>
          <t xml:space="preserve"> file must be group-owned by root.</t>
        </r>
      </text>
    </comment>
    <comment ref="V145" authorId="0" shapeId="0" xr:uid="{00000000-0006-0000-0700-000096000000}">
      <text>
        <r>
          <rPr>
            <sz val="11"/>
            <rFont val="Calibri"/>
          </rPr>
          <t xml:space="preserve">The OL 8 </t>
        </r>
        <r>
          <rPr>
            <sz val="11"/>
            <color rgb="FF000000"/>
            <rFont val="Calibri"/>
          </rPr>
          <t>"</t>
        </r>
        <r>
          <rPr>
            <b/>
            <sz val="11"/>
            <color rgb="FF000000"/>
            <rFont val="Calibri"/>
          </rPr>
          <t>/var/log</t>
        </r>
        <r>
          <rPr>
            <sz val="11"/>
            <color rgb="FF000000"/>
            <rFont val="Calibri"/>
          </rPr>
          <t>"</t>
        </r>
        <r>
          <rPr>
            <sz val="11"/>
            <color rgb="FF000000"/>
            <rFont val="Calibri"/>
          </rPr>
          <t xml:space="preserve"> directory must have mode 0755 or less permissive.</t>
        </r>
      </text>
    </comment>
    <comment ref="W145" authorId="0" shapeId="0" xr:uid="{00000000-0006-0000-0700-000097000000}">
      <text>
        <r>
          <rPr>
            <sz val="11"/>
            <rFont val="Calibri"/>
          </rPr>
          <t xml:space="preserve">The OL 8 </t>
        </r>
        <r>
          <rPr>
            <sz val="11"/>
            <color rgb="FF000000"/>
            <rFont val="Calibri"/>
          </rPr>
          <t>"</t>
        </r>
        <r>
          <rPr>
            <b/>
            <sz val="11"/>
            <color rgb="FF000000"/>
            <rFont val="Calibri"/>
          </rPr>
          <t>/var/log</t>
        </r>
        <r>
          <rPr>
            <sz val="11"/>
            <color rgb="FF000000"/>
            <rFont val="Calibri"/>
          </rPr>
          <t>"</t>
        </r>
        <r>
          <rPr>
            <sz val="11"/>
            <color rgb="FF000000"/>
            <rFont val="Calibri"/>
          </rPr>
          <t xml:space="preserve"> directory must be owned by root.</t>
        </r>
      </text>
    </comment>
    <comment ref="X145" authorId="0" shapeId="0" xr:uid="{00000000-0006-0000-0700-000098000000}">
      <text>
        <r>
          <rPr>
            <sz val="11"/>
            <rFont val="Calibri"/>
          </rPr>
          <t xml:space="preserve">The OL 8 </t>
        </r>
        <r>
          <rPr>
            <sz val="11"/>
            <color rgb="FF000000"/>
            <rFont val="Calibri"/>
          </rPr>
          <t>"</t>
        </r>
        <r>
          <rPr>
            <b/>
            <sz val="11"/>
            <color rgb="FF000000"/>
            <rFont val="Calibri"/>
          </rPr>
          <t>/var/log</t>
        </r>
        <r>
          <rPr>
            <sz val="11"/>
            <color rgb="FF000000"/>
            <rFont val="Calibri"/>
          </rPr>
          <t>"</t>
        </r>
        <r>
          <rPr>
            <sz val="11"/>
            <color rgb="FF000000"/>
            <rFont val="Calibri"/>
          </rPr>
          <t xml:space="preserve"> directory must be group-owned by root.</t>
        </r>
      </text>
    </comment>
    <comment ref="Y145" authorId="0" shapeId="0" xr:uid="{00000000-0006-0000-0700-000099000000}">
      <text>
        <r>
          <rPr>
            <sz val="11"/>
            <rFont val="Calibri"/>
          </rPr>
          <t xml:space="preserve">OL 8 must require reauthentication when using the </t>
        </r>
        <r>
          <rPr>
            <sz val="11"/>
            <color rgb="FF000000"/>
            <rFont val="Calibri"/>
          </rPr>
          <t>"</t>
        </r>
        <r>
          <rPr>
            <b/>
            <sz val="11"/>
            <color rgb="FF000000"/>
            <rFont val="Calibri"/>
          </rPr>
          <t>sudo</t>
        </r>
        <r>
          <rPr>
            <sz val="11"/>
            <color rgb="FF000000"/>
            <rFont val="Calibri"/>
          </rPr>
          <t>"</t>
        </r>
        <r>
          <rPr>
            <sz val="11"/>
            <color rgb="FF000000"/>
            <rFont val="Calibri"/>
          </rPr>
          <t xml:space="preserve"> command.</t>
        </r>
      </text>
    </comment>
    <comment ref="Z145" authorId="0" shapeId="0" xr:uid="{00000000-0006-0000-0700-00009A000000}">
      <text>
        <r>
          <rPr>
            <sz val="11"/>
            <rFont val="Calibri"/>
          </rPr>
          <t>OL 8 must disable virtual syscalls.</t>
        </r>
      </text>
    </comment>
    <comment ref="AA145" authorId="0" shapeId="0" xr:uid="{00000000-0006-0000-0700-00009B000000}">
      <text>
        <r>
          <rPr>
            <sz val="11"/>
            <rFont val="Calibri"/>
          </rPr>
          <t>OL 8 must not let Meltdown and Spectre exploit critical vulnerabilities in modern processors.</t>
        </r>
      </text>
    </comment>
    <comment ref="AB145" authorId="0" shapeId="0" xr:uid="{00000000-0006-0000-0700-00009C000000}">
      <text>
        <r>
          <rPr>
            <sz val="11"/>
            <rFont val="Calibri"/>
          </rPr>
          <t>OL 8 must use a separate file system for the system audit data path.</t>
        </r>
      </text>
    </comment>
    <comment ref="AC145" authorId="0" shapeId="0" xr:uid="{00000000-0006-0000-0700-00009D000000}">
      <text>
        <r>
          <rPr>
            <sz val="11"/>
            <rFont val="Calibri"/>
          </rPr>
          <t>OL 8 must have the rsyslog service enabled and active.</t>
        </r>
      </text>
    </comment>
    <comment ref="AD145" authorId="0" shapeId="0" xr:uid="{00000000-0006-0000-0700-00009E000000}">
      <text>
        <r>
          <rPr>
            <sz val="11"/>
            <rFont val="Calibri"/>
          </rPr>
          <t>OL 8 must prevent special devices on nonroot local partitions.</t>
        </r>
      </text>
    </comment>
    <comment ref="AE145" authorId="0" shapeId="0" xr:uid="{00000000-0006-0000-0700-00009F000000}">
      <text>
        <r>
          <rPr>
            <sz val="11"/>
            <rFont val="Calibri"/>
          </rPr>
          <t>OL 8 file systems must not interpret character or block special devices from untrusted file systems.</t>
        </r>
      </text>
    </comment>
    <comment ref="AF145" authorId="0" shapeId="0" xr:uid="{00000000-0006-0000-0700-0000A0000000}">
      <text>
        <r>
          <rPr>
            <sz val="11"/>
            <rFont val="Calibri"/>
          </rPr>
          <t>OL 8 file systems must not execute binary files on removable media.</t>
        </r>
      </text>
    </comment>
    <comment ref="AG145" authorId="0" shapeId="0" xr:uid="{00000000-0006-0000-0700-0000A1000000}">
      <text>
        <r>
          <rPr>
            <sz val="11"/>
            <rFont val="Calibri"/>
          </rPr>
          <t>OL 8 must disable kernel dumps unless needed.</t>
        </r>
      </text>
    </comment>
    <comment ref="AH145" authorId="0" shapeId="0" xr:uid="{00000000-0006-0000-0700-0000A2000000}">
      <text>
        <r>
          <rPr>
            <sz val="11"/>
            <rFont val="Calibri"/>
          </rPr>
          <t>OL 8 systems below version 8.2 must prevent system messages from being presented when three unsuccessful logon attempts occur.</t>
        </r>
      </text>
    </comment>
    <comment ref="AI145" authorId="0" shapeId="0" xr:uid="{00000000-0006-0000-0700-0000A3000000}">
      <text>
        <r>
          <rPr>
            <sz val="11"/>
            <rFont val="Calibri"/>
          </rPr>
          <t>OL 8 systems, versions 8.2 and above, must prevent system messages from being presented when three unsuccessful logon attempts occur.</t>
        </r>
      </text>
    </comment>
    <comment ref="AJ145" authorId="0" shapeId="0" xr:uid="{00000000-0006-0000-0700-0000A4000000}">
      <text>
        <r>
          <rPr>
            <sz val="11"/>
            <rFont val="Calibri"/>
          </rPr>
          <t>OL 8 systems below version 8.2 must log user name information when unsuccessful logon attempts occur.</t>
        </r>
      </text>
    </comment>
    <comment ref="AK145" authorId="0" shapeId="0" xr:uid="{00000000-0006-0000-0700-0000A5000000}">
      <text>
        <r>
          <rPr>
            <sz val="11"/>
            <rFont val="Calibri"/>
          </rPr>
          <t>OL 8 systems, versions 8.2 and above, must log user name information when unsuccessful logon attempts occur.</t>
        </r>
      </text>
    </comment>
    <comment ref="AL145" authorId="0" shapeId="0" xr:uid="{00000000-0006-0000-0700-0000A6000000}">
      <text>
        <r>
          <rPr>
            <sz val="11"/>
            <rFont val="Calibri"/>
          </rPr>
          <t>The OL 8 lastlog command must be owned by root.</t>
        </r>
      </text>
    </comment>
    <comment ref="AM145" authorId="0" shapeId="0" xr:uid="{00000000-0006-0000-0700-0000A7000000}">
      <text>
        <r>
          <rPr>
            <sz val="11"/>
            <rFont val="Calibri"/>
          </rPr>
          <t>The OL 8 lastlog command must be group-owned by root.</t>
        </r>
      </text>
    </comment>
    <comment ref="AN145" authorId="0" shapeId="0" xr:uid="{00000000-0006-0000-0700-0000A8000000}">
      <text>
        <r>
          <rPr>
            <sz val="11"/>
            <rFont val="Calibri"/>
          </rPr>
          <t>The OL 8 audit system must be configured to audit the execution of privileged functions and prevent all software from executing at higher privilege levels than users executing the software.</t>
        </r>
      </text>
    </comment>
    <comment ref="AO145" authorId="0" shapeId="0" xr:uid="{00000000-0006-0000-0700-0000A9000000}">
      <text>
        <r>
          <rPr>
            <sz val="11"/>
            <rFont val="Calibri"/>
          </rPr>
          <t>Cron logging must be implemented in OL 8.</t>
        </r>
      </text>
    </comment>
    <comment ref="AP145" authorId="0" shapeId="0" xr:uid="{00000000-0006-0000-0700-0000AA000000}">
      <text>
        <r>
          <rPr>
            <sz val="11"/>
            <rFont val="Calibri"/>
          </rPr>
          <t>The OL 8 System Administrator (SA) and Information System Security Officer (ISSO) (at a minimum) must be alerted of an audit processing failure event.</t>
        </r>
      </text>
    </comment>
    <comment ref="AQ145" authorId="0" shapeId="0" xr:uid="{00000000-0006-0000-0700-0000AB000000}">
      <text>
        <r>
          <rPr>
            <sz val="11"/>
            <rFont val="Calibri"/>
          </rPr>
          <t>The OL 8 Information System Security Officer (ISSO) and System Administrator (SA) (at a minimum) must have mail aliases to be notified of an audit processing failure.</t>
        </r>
      </text>
    </comment>
    <comment ref="AR145" authorId="0" shapeId="0" xr:uid="{00000000-0006-0000-0700-0000AC000000}">
      <text>
        <r>
          <rPr>
            <sz val="11"/>
            <rFont val="Calibri"/>
          </rPr>
          <t>The OL 8 System must take appropriate action when an audit processing failure occurs.</t>
        </r>
      </text>
    </comment>
    <comment ref="AS145" authorId="0" shapeId="0" xr:uid="{00000000-0006-0000-0700-0000AD000000}">
      <text>
        <r>
          <rPr>
            <sz val="11"/>
            <rFont val="Calibri"/>
          </rPr>
          <t>The OL 8 audit system must take appropriate action when the audit storage volume is full.</t>
        </r>
      </text>
    </comment>
    <comment ref="AT145" authorId="0" shapeId="0" xr:uid="{00000000-0006-0000-0700-0000AE000000}">
      <text>
        <r>
          <rPr>
            <sz val="11"/>
            <rFont val="Calibri"/>
          </rPr>
          <t>The OL 8 audit system must audit local events.</t>
        </r>
      </text>
    </comment>
    <comment ref="AU145" authorId="0" shapeId="0" xr:uid="{00000000-0006-0000-0700-0000AF000000}">
      <text>
        <r>
          <rPr>
            <sz val="11"/>
            <rFont val="Calibri"/>
          </rPr>
          <t>OL 8 must label all offloaded audit logs before sending them to the central log server.</t>
        </r>
      </text>
    </comment>
    <comment ref="H151" authorId="0" shapeId="0" xr:uid="{00000000-0006-0000-0700-0000B0000000}">
      <text>
        <r>
          <rPr>
            <sz val="11"/>
            <rFont val="Calibri"/>
          </rPr>
          <t>OL 8 must not have the asynchronous transfer mode (ATM) kernel module installed if not required for operational support.</t>
        </r>
      </text>
    </comment>
    <comment ref="I151" authorId="0" shapeId="0" xr:uid="{00000000-0006-0000-0700-0000B1000000}">
      <text>
        <r>
          <rPr>
            <sz val="11"/>
            <rFont val="Calibri"/>
          </rPr>
          <t>OL 8 must not have the Controller Area Network (CAN) kernel module installed if not required for operational support.</t>
        </r>
      </text>
    </comment>
    <comment ref="J151" authorId="0" shapeId="0" xr:uid="{00000000-0006-0000-0700-0000B2000000}">
      <text>
        <r>
          <rPr>
            <sz val="11"/>
            <rFont val="Calibri"/>
          </rPr>
          <t>OL 8 must not have the stream control transmission protocol (SCTP) kernel module installed if not required for operational support.</t>
        </r>
      </text>
    </comment>
    <comment ref="K151" authorId="0" shapeId="0" xr:uid="{00000000-0006-0000-0700-0000B3000000}">
      <text>
        <r>
          <rPr>
            <sz val="11"/>
            <rFont val="Calibri"/>
          </rPr>
          <t>OL 8 must disable the transparent inter-process communication (TIPC) protocol.</t>
        </r>
      </text>
    </comment>
    <comment ref="L151" authorId="0" shapeId="0" xr:uid="{00000000-0006-0000-0700-0000B4000000}">
      <text>
        <r>
          <rPr>
            <sz val="11"/>
            <rFont val="Calibri"/>
          </rPr>
          <t>OL 8 must disable mounting of cramfs.</t>
        </r>
      </text>
    </comment>
    <comment ref="M151" authorId="0" shapeId="0" xr:uid="{00000000-0006-0000-0700-0000B5000000}">
      <text>
        <r>
          <rPr>
            <sz val="11"/>
            <rFont val="Calibri"/>
          </rPr>
          <t>OL 8 must disable IEEE 1394 (FireWire) Support.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37" authorId="0" shapeId="0" xr:uid="{00000000-0006-0000-0800-000001000000}">
      <text>
        <r>
          <rPr>
            <sz val="11"/>
            <rFont val="Calibri"/>
          </rPr>
          <t>An OL 8 firewall must employ a deny-all, allow-by-exception policy for allowing connections to other systems.</t>
        </r>
      </text>
    </comment>
    <comment ref="H37" authorId="0" shapeId="0" xr:uid="{00000000-0006-0000-0800-000004000000}">
      <text>
        <r>
          <rPr>
            <sz val="11"/>
            <rFont val="Calibri"/>
          </rPr>
          <t>A firewall must be installed on OL 8.</t>
        </r>
      </text>
    </comment>
    <comment ref="I37" authorId="0" shapeId="0" xr:uid="{00000000-0006-0000-0800-000002000000}">
      <text>
        <r>
          <rPr>
            <sz val="11"/>
            <rFont val="Calibri"/>
          </rPr>
          <t>A firewall must be active on OL 8.</t>
        </r>
      </text>
    </comment>
    <comment ref="J37" authorId="0" shapeId="0" xr:uid="{00000000-0006-0000-0800-000003000000}">
      <text>
        <r>
          <rPr>
            <sz val="11"/>
            <rFont val="Calibri"/>
          </rPr>
          <t>A firewall must be able to protect against or limit the effects of denial-of-service (DoS) attacks by ensuring OL 8 can implement rate-limiting measures on impacted network interfaces.</t>
        </r>
      </text>
    </comment>
    <comment ref="G46" authorId="0" shapeId="0" xr:uid="{00000000-0006-0000-0800-000005000000}">
      <text>
        <r>
          <rPr>
            <sz val="11"/>
            <rFont val="Calibri"/>
          </rPr>
          <t>A firewall must be able to protect against or limit the effects of denial-of-service (DoS) attacks by ensuring OL 8 can implement rate-limiting measures on impacted network interfaces.</t>
        </r>
      </text>
    </comment>
    <comment ref="G52" authorId="0" shapeId="0" xr:uid="{00000000-0006-0000-0800-000006000000}">
      <text>
        <r>
          <rPr>
            <sz val="11"/>
            <rFont val="Calibri"/>
          </rPr>
          <t>OL 8 must prevent system daemons from using Kerberos for authentication.</t>
        </r>
      </text>
    </comment>
    <comment ref="H52" authorId="0" shapeId="0" xr:uid="{00000000-0006-0000-0800-00002B000000}">
      <text>
        <r>
          <rPr>
            <sz val="11"/>
            <rFont val="Calibri"/>
          </rPr>
          <t>OL 8 must use a Linux Security Module configured to enforce limits on system services.</t>
        </r>
      </text>
    </comment>
    <comment ref="I52" authorId="0" shapeId="0" xr:uid="{00000000-0006-0000-0800-00002C000000}">
      <text>
        <r>
          <rPr>
            <sz val="11"/>
            <rFont val="Calibri"/>
          </rPr>
          <t>YUM must be configured to prevent the installation of patches, service packs, device drivers, or OL 8 system components that have not been digitally signed using a certificate that is recognized and approved by the organization.</t>
        </r>
      </text>
    </comment>
    <comment ref="J52" authorId="0" shapeId="0" xr:uid="{00000000-0006-0000-0800-00002D000000}">
      <text>
        <r>
          <rPr>
            <sz val="11"/>
            <rFont val="Calibri"/>
          </rPr>
          <t>OL 8 must implement address space layout randomization (ASLR) to protect its memory from unauthorized code execution.</t>
        </r>
      </text>
    </comment>
    <comment ref="K52" authorId="0" shapeId="0" xr:uid="{00000000-0006-0000-0800-000007000000}">
      <text>
        <r>
          <rPr>
            <sz val="11"/>
            <rFont val="Calibri"/>
          </rPr>
          <t>YUM must remove all software components after updated versions have been installed on OL 8.</t>
        </r>
      </text>
    </comment>
    <comment ref="L52" authorId="0" shapeId="0" xr:uid="{00000000-0006-0000-0800-000008000000}">
      <text>
        <r>
          <rPr>
            <sz val="11"/>
            <rFont val="Calibri"/>
          </rPr>
          <t>OL 8 must enable the SELinux targeted policy.</t>
        </r>
      </text>
    </comment>
    <comment ref="M52" authorId="0" shapeId="0" xr:uid="{00000000-0006-0000-0800-000009000000}">
      <text>
        <r>
          <rPr>
            <sz val="11"/>
            <rFont val="Calibri"/>
          </rPr>
          <t>OL 8 must prevent files with the setuid and setgid bit set from being executed on the /boot directory.</t>
        </r>
      </text>
    </comment>
    <comment ref="N52" authorId="0" shapeId="0" xr:uid="{00000000-0006-0000-0800-00000A000000}">
      <text>
        <r>
          <rPr>
            <sz val="11"/>
            <rFont val="Calibri"/>
          </rPr>
          <t>OL 8 must prevent files with the setuid and setgid bit set from being executed on the /boot/efi directory.</t>
        </r>
      </text>
    </comment>
    <comment ref="O52" authorId="0" shapeId="0" xr:uid="{00000000-0006-0000-0800-00000B000000}">
      <text>
        <r>
          <rPr>
            <sz val="11"/>
            <rFont val="Calibri"/>
          </rPr>
          <t>OL 8 must prevent files with the setuid and setgid bit set from being executed on file systems that are used with removable media.</t>
        </r>
      </text>
    </comment>
    <comment ref="P52" authorId="0" shapeId="0" xr:uid="{00000000-0006-0000-0800-00000C000000}">
      <text>
        <r>
          <rPr>
            <sz val="11"/>
            <rFont val="Calibri"/>
          </rPr>
          <t>OL 8 must prevent files with the setuid and setgid bit set from being executed on file systems that are imported via Network File System (NFS).</t>
        </r>
      </text>
    </comment>
    <comment ref="Q52" authorId="0" shapeId="0" xr:uid="{00000000-0006-0000-0800-00000D000000}">
      <text>
        <r>
          <rPr>
            <sz val="11"/>
            <rFont val="Calibri"/>
          </rPr>
          <t>Unattended or automatic logon via the OL 8 graphical user interface must not be allowed.</t>
        </r>
      </text>
    </comment>
    <comment ref="R52" authorId="0" shapeId="0" xr:uid="{00000000-0006-0000-0800-00000E000000}">
      <text>
        <r>
          <rPr>
            <sz val="11"/>
            <rFont val="Calibri"/>
          </rPr>
          <t>OL 8 must not have the telnet-server package installed.</t>
        </r>
      </text>
    </comment>
    <comment ref="S52" authorId="0" shapeId="0" xr:uid="{00000000-0006-0000-0800-00000F000000}">
      <text>
        <r>
          <rPr>
            <sz val="11"/>
            <rFont val="Calibri"/>
          </rPr>
          <t>OL 8 must not install packages from the Extra Packages for Enterprise Linux (EPEL) repository.</t>
        </r>
      </text>
    </comment>
    <comment ref="T52" authorId="0" shapeId="0" xr:uid="{00000000-0006-0000-0800-000010000000}">
      <text>
        <r>
          <rPr>
            <sz val="11"/>
            <rFont val="Calibri"/>
          </rPr>
          <t>OL 8 must not have the asynchronous transfer mode (ATM) kernel module installed if not required for operational support.</t>
        </r>
      </text>
    </comment>
    <comment ref="U52" authorId="0" shapeId="0" xr:uid="{00000000-0006-0000-0800-000011000000}">
      <text>
        <r>
          <rPr>
            <sz val="11"/>
            <rFont val="Calibri"/>
          </rPr>
          <t>OL 8 must not have the Controller Area Network (CAN) kernel module installed if not required for operational support.</t>
        </r>
      </text>
    </comment>
    <comment ref="V52" authorId="0" shapeId="0" xr:uid="{00000000-0006-0000-0800-000012000000}">
      <text>
        <r>
          <rPr>
            <sz val="11"/>
            <rFont val="Calibri"/>
          </rPr>
          <t>OL 8 must not have the stream control transmission protocol (SCTP) kernel module installed if not required for operational support.</t>
        </r>
      </text>
    </comment>
    <comment ref="W52" authorId="0" shapeId="0" xr:uid="{00000000-0006-0000-0800-000013000000}">
      <text>
        <r>
          <rPr>
            <sz val="11"/>
            <rFont val="Calibri"/>
          </rPr>
          <t>OL 8 must disable the transparent inter-process communication (TIPC) protocol.</t>
        </r>
      </text>
    </comment>
    <comment ref="X52" authorId="0" shapeId="0" xr:uid="{00000000-0006-0000-0800-000014000000}">
      <text>
        <r>
          <rPr>
            <sz val="11"/>
            <rFont val="Calibri"/>
          </rPr>
          <t>OL 8 must disable mounting of cramfs.</t>
        </r>
      </text>
    </comment>
    <comment ref="Y52" authorId="0" shapeId="0" xr:uid="{00000000-0006-0000-0800-000015000000}">
      <text>
        <r>
          <rPr>
            <sz val="11"/>
            <rFont val="Calibri"/>
          </rPr>
          <t>OL 8 must disable IEEE 1394 (FireWire) Support.</t>
        </r>
      </text>
    </comment>
    <comment ref="Z52" authorId="0" shapeId="0" xr:uid="{00000000-0006-0000-0800-000016000000}">
      <text>
        <r>
          <rPr>
            <sz val="11"/>
            <rFont val="Calibri"/>
          </rPr>
          <t>The OL 8 file system automounter must be disabled.</t>
        </r>
      </text>
    </comment>
    <comment ref="AA52" authorId="0" shapeId="0" xr:uid="{00000000-0006-0000-0800-000017000000}">
      <text>
        <r>
          <rPr>
            <sz val="11"/>
            <rFont val="Calibri"/>
          </rPr>
          <t>OL 8 must be configured to disable the ability to use USB mass storage devices.</t>
        </r>
      </text>
    </comment>
    <comment ref="AB52" authorId="0" shapeId="0" xr:uid="{00000000-0006-0000-0800-000018000000}">
      <text>
        <r>
          <rPr>
            <sz val="11"/>
            <rFont val="Calibri"/>
          </rPr>
          <t>OL 8 wireless network adapters must be disabled.</t>
        </r>
      </text>
    </comment>
    <comment ref="AC52" authorId="0" shapeId="0" xr:uid="{00000000-0006-0000-0800-000019000000}">
      <text>
        <r>
          <rPr>
            <sz val="11"/>
            <rFont val="Calibri"/>
          </rPr>
          <t>OL 8 Bluetooth must be disabled.</t>
        </r>
      </text>
    </comment>
    <comment ref="AD52" authorId="0" shapeId="0" xr:uid="{00000000-0006-0000-0800-00001A000000}">
      <text>
        <r>
          <rPr>
            <sz val="11"/>
            <rFont val="Calibri"/>
          </rPr>
          <t xml:space="preserve">OL 8 must mount </t>
        </r>
        <r>
          <rPr>
            <sz val="11"/>
            <color rgb="FF000000"/>
            <rFont val="Calibri"/>
          </rPr>
          <t>"</t>
        </r>
        <r>
          <rPr>
            <b/>
            <sz val="11"/>
            <color rgb="FF000000"/>
            <rFont val="Calibri"/>
          </rPr>
          <t>/dev/shm</t>
        </r>
        <r>
          <rPr>
            <sz val="11"/>
            <color rgb="FF000000"/>
            <rFont val="Calibri"/>
          </rPr>
          <t>"</t>
        </r>
        <r>
          <rPr>
            <sz val="11"/>
            <color rgb="FF000000"/>
            <rFont val="Calibri"/>
          </rPr>
          <t xml:space="preserve"> with the </t>
        </r>
        <r>
          <rPr>
            <sz val="11"/>
            <color rgb="FF000000"/>
            <rFont val="Calibri"/>
          </rPr>
          <t>"</t>
        </r>
        <r>
          <rPr>
            <b/>
            <sz val="11"/>
            <color rgb="FF000000"/>
            <rFont val="Calibri"/>
          </rPr>
          <t>nodev</t>
        </r>
        <r>
          <rPr>
            <sz val="11"/>
            <color rgb="FF000000"/>
            <rFont val="Calibri"/>
          </rPr>
          <t>"</t>
        </r>
        <r>
          <rPr>
            <sz val="11"/>
            <color rgb="FF000000"/>
            <rFont val="Calibri"/>
          </rPr>
          <t xml:space="preserve"> option.</t>
        </r>
      </text>
    </comment>
    <comment ref="AE52" authorId="0" shapeId="0" xr:uid="{00000000-0006-0000-0800-00001B000000}">
      <text>
        <r>
          <rPr>
            <sz val="11"/>
            <rFont val="Calibri"/>
          </rPr>
          <t xml:space="preserve">OL 8 must mount </t>
        </r>
        <r>
          <rPr>
            <sz val="11"/>
            <color rgb="FF000000"/>
            <rFont val="Calibri"/>
          </rPr>
          <t>"</t>
        </r>
        <r>
          <rPr>
            <b/>
            <sz val="11"/>
            <color rgb="FF000000"/>
            <rFont val="Calibri"/>
          </rPr>
          <t>/dev/shm</t>
        </r>
        <r>
          <rPr>
            <sz val="11"/>
            <color rgb="FF000000"/>
            <rFont val="Calibri"/>
          </rPr>
          <t>"</t>
        </r>
        <r>
          <rPr>
            <sz val="11"/>
            <color rgb="FF000000"/>
            <rFont val="Calibri"/>
          </rPr>
          <t xml:space="preserve"> with the </t>
        </r>
        <r>
          <rPr>
            <sz val="11"/>
            <color rgb="FF000000"/>
            <rFont val="Calibri"/>
          </rPr>
          <t>"</t>
        </r>
        <r>
          <rPr>
            <b/>
            <sz val="11"/>
            <color rgb="FF000000"/>
            <rFont val="Calibri"/>
          </rPr>
          <t>nosuid</t>
        </r>
        <r>
          <rPr>
            <sz val="11"/>
            <color rgb="FF000000"/>
            <rFont val="Calibri"/>
          </rPr>
          <t>"</t>
        </r>
        <r>
          <rPr>
            <sz val="11"/>
            <color rgb="FF000000"/>
            <rFont val="Calibri"/>
          </rPr>
          <t xml:space="preserve"> option.</t>
        </r>
      </text>
    </comment>
    <comment ref="AF52" authorId="0" shapeId="0" xr:uid="{00000000-0006-0000-0800-00001C000000}">
      <text>
        <r>
          <rPr>
            <sz val="11"/>
            <rFont val="Calibri"/>
          </rPr>
          <t xml:space="preserve">OL 8 must mount </t>
        </r>
        <r>
          <rPr>
            <sz val="11"/>
            <color rgb="FF000000"/>
            <rFont val="Calibri"/>
          </rPr>
          <t>"</t>
        </r>
        <r>
          <rPr>
            <b/>
            <sz val="11"/>
            <color rgb="FF000000"/>
            <rFont val="Calibri"/>
          </rPr>
          <t>/dev/shm</t>
        </r>
        <r>
          <rPr>
            <sz val="11"/>
            <color rgb="FF000000"/>
            <rFont val="Calibri"/>
          </rPr>
          <t>"</t>
        </r>
        <r>
          <rPr>
            <sz val="11"/>
            <color rgb="FF000000"/>
            <rFont val="Calibri"/>
          </rPr>
          <t xml:space="preserve"> with the </t>
        </r>
        <r>
          <rPr>
            <sz val="11"/>
            <color rgb="FF000000"/>
            <rFont val="Calibri"/>
          </rPr>
          <t>"</t>
        </r>
        <r>
          <rPr>
            <b/>
            <sz val="11"/>
            <color rgb="FF000000"/>
            <rFont val="Calibri"/>
          </rPr>
          <t>noexec</t>
        </r>
        <r>
          <rPr>
            <sz val="11"/>
            <color rgb="FF000000"/>
            <rFont val="Calibri"/>
          </rPr>
          <t>"</t>
        </r>
        <r>
          <rPr>
            <sz val="11"/>
            <color rgb="FF000000"/>
            <rFont val="Calibri"/>
          </rPr>
          <t xml:space="preserve"> option.</t>
        </r>
      </text>
    </comment>
    <comment ref="AG52" authorId="0" shapeId="0" xr:uid="{00000000-0006-0000-0800-00001D000000}">
      <text>
        <r>
          <rPr>
            <sz val="11"/>
            <rFont val="Calibri"/>
          </rPr>
          <t xml:space="preserve">OL 8 must mount </t>
        </r>
        <r>
          <rPr>
            <sz val="11"/>
            <color rgb="FF000000"/>
            <rFont val="Calibri"/>
          </rPr>
          <t>"</t>
        </r>
        <r>
          <rPr>
            <b/>
            <sz val="11"/>
            <color rgb="FF000000"/>
            <rFont val="Calibri"/>
          </rPr>
          <t>/tmp</t>
        </r>
        <r>
          <rPr>
            <sz val="11"/>
            <color rgb="FF000000"/>
            <rFont val="Calibri"/>
          </rPr>
          <t>"</t>
        </r>
        <r>
          <rPr>
            <sz val="11"/>
            <color rgb="FF000000"/>
            <rFont val="Calibri"/>
          </rPr>
          <t xml:space="preserve"> with the </t>
        </r>
        <r>
          <rPr>
            <sz val="11"/>
            <color rgb="FF000000"/>
            <rFont val="Calibri"/>
          </rPr>
          <t>"</t>
        </r>
        <r>
          <rPr>
            <b/>
            <sz val="11"/>
            <color rgb="FF000000"/>
            <rFont val="Calibri"/>
          </rPr>
          <t>nodev</t>
        </r>
        <r>
          <rPr>
            <sz val="11"/>
            <color rgb="FF000000"/>
            <rFont val="Calibri"/>
          </rPr>
          <t>"</t>
        </r>
        <r>
          <rPr>
            <sz val="11"/>
            <color rgb="FF000000"/>
            <rFont val="Calibri"/>
          </rPr>
          <t xml:space="preserve"> option.</t>
        </r>
      </text>
    </comment>
    <comment ref="AH52" authorId="0" shapeId="0" xr:uid="{00000000-0006-0000-0800-00001E000000}">
      <text>
        <r>
          <rPr>
            <sz val="11"/>
            <rFont val="Calibri"/>
          </rPr>
          <t xml:space="preserve">OL 8 must mount </t>
        </r>
        <r>
          <rPr>
            <sz val="11"/>
            <color rgb="FF000000"/>
            <rFont val="Calibri"/>
          </rPr>
          <t>"</t>
        </r>
        <r>
          <rPr>
            <b/>
            <sz val="11"/>
            <color rgb="FF000000"/>
            <rFont val="Calibri"/>
          </rPr>
          <t>/tmp</t>
        </r>
        <r>
          <rPr>
            <sz val="11"/>
            <color rgb="FF000000"/>
            <rFont val="Calibri"/>
          </rPr>
          <t>"</t>
        </r>
        <r>
          <rPr>
            <sz val="11"/>
            <color rgb="FF000000"/>
            <rFont val="Calibri"/>
          </rPr>
          <t xml:space="preserve"> with the </t>
        </r>
        <r>
          <rPr>
            <sz val="11"/>
            <color rgb="FF000000"/>
            <rFont val="Calibri"/>
          </rPr>
          <t>"</t>
        </r>
        <r>
          <rPr>
            <b/>
            <sz val="11"/>
            <color rgb="FF000000"/>
            <rFont val="Calibri"/>
          </rPr>
          <t>nosuid</t>
        </r>
        <r>
          <rPr>
            <sz val="11"/>
            <color rgb="FF000000"/>
            <rFont val="Calibri"/>
          </rPr>
          <t>"</t>
        </r>
        <r>
          <rPr>
            <sz val="11"/>
            <color rgb="FF000000"/>
            <rFont val="Calibri"/>
          </rPr>
          <t xml:space="preserve"> option.</t>
        </r>
      </text>
    </comment>
    <comment ref="AI52" authorId="0" shapeId="0" xr:uid="{00000000-0006-0000-0800-00001F000000}">
      <text>
        <r>
          <rPr>
            <sz val="11"/>
            <rFont val="Calibri"/>
          </rPr>
          <t xml:space="preserve">OL 8 must mount </t>
        </r>
        <r>
          <rPr>
            <sz val="11"/>
            <color rgb="FF000000"/>
            <rFont val="Calibri"/>
          </rPr>
          <t>"</t>
        </r>
        <r>
          <rPr>
            <b/>
            <sz val="11"/>
            <color rgb="FF000000"/>
            <rFont val="Calibri"/>
          </rPr>
          <t>/tmp</t>
        </r>
        <r>
          <rPr>
            <sz val="11"/>
            <color rgb="FF000000"/>
            <rFont val="Calibri"/>
          </rPr>
          <t>"</t>
        </r>
        <r>
          <rPr>
            <sz val="11"/>
            <color rgb="FF000000"/>
            <rFont val="Calibri"/>
          </rPr>
          <t xml:space="preserve"> with the </t>
        </r>
        <r>
          <rPr>
            <sz val="11"/>
            <color rgb="FF000000"/>
            <rFont val="Calibri"/>
          </rPr>
          <t>"</t>
        </r>
        <r>
          <rPr>
            <b/>
            <sz val="11"/>
            <color rgb="FF000000"/>
            <rFont val="Calibri"/>
          </rPr>
          <t>noexec</t>
        </r>
        <r>
          <rPr>
            <sz val="11"/>
            <color rgb="FF000000"/>
            <rFont val="Calibri"/>
          </rPr>
          <t>"</t>
        </r>
        <r>
          <rPr>
            <sz val="11"/>
            <color rgb="FF000000"/>
            <rFont val="Calibri"/>
          </rPr>
          <t xml:space="preserve"> option.</t>
        </r>
      </text>
    </comment>
    <comment ref="AJ52" authorId="0" shapeId="0" xr:uid="{00000000-0006-0000-0800-000020000000}">
      <text>
        <r>
          <rPr>
            <sz val="11"/>
            <rFont val="Calibri"/>
          </rPr>
          <t xml:space="preserve">OL 8 must mount </t>
        </r>
        <r>
          <rPr>
            <sz val="11"/>
            <color rgb="FF000000"/>
            <rFont val="Calibri"/>
          </rPr>
          <t>"</t>
        </r>
        <r>
          <rPr>
            <b/>
            <sz val="11"/>
            <color rgb="FF000000"/>
            <rFont val="Calibri"/>
          </rPr>
          <t>/var/log</t>
        </r>
        <r>
          <rPr>
            <sz val="11"/>
            <color rgb="FF000000"/>
            <rFont val="Calibri"/>
          </rPr>
          <t>"</t>
        </r>
        <r>
          <rPr>
            <sz val="11"/>
            <color rgb="FF000000"/>
            <rFont val="Calibri"/>
          </rPr>
          <t xml:space="preserve"> with the </t>
        </r>
        <r>
          <rPr>
            <sz val="11"/>
            <color rgb="FF000000"/>
            <rFont val="Calibri"/>
          </rPr>
          <t>"</t>
        </r>
        <r>
          <rPr>
            <b/>
            <sz val="11"/>
            <color rgb="FF000000"/>
            <rFont val="Calibri"/>
          </rPr>
          <t>nodev</t>
        </r>
        <r>
          <rPr>
            <sz val="11"/>
            <color rgb="FF000000"/>
            <rFont val="Calibri"/>
          </rPr>
          <t>"</t>
        </r>
        <r>
          <rPr>
            <sz val="11"/>
            <color rgb="FF000000"/>
            <rFont val="Calibri"/>
          </rPr>
          <t xml:space="preserve"> option.</t>
        </r>
      </text>
    </comment>
    <comment ref="AK52" authorId="0" shapeId="0" xr:uid="{00000000-0006-0000-0800-000021000000}">
      <text>
        <r>
          <rPr>
            <sz val="11"/>
            <rFont val="Calibri"/>
          </rPr>
          <t xml:space="preserve">OL 8 must mount </t>
        </r>
        <r>
          <rPr>
            <sz val="11"/>
            <color rgb="FF000000"/>
            <rFont val="Calibri"/>
          </rPr>
          <t>"</t>
        </r>
        <r>
          <rPr>
            <b/>
            <sz val="11"/>
            <color rgb="FF000000"/>
            <rFont val="Calibri"/>
          </rPr>
          <t>/var/log</t>
        </r>
        <r>
          <rPr>
            <sz val="11"/>
            <color rgb="FF000000"/>
            <rFont val="Calibri"/>
          </rPr>
          <t>"</t>
        </r>
        <r>
          <rPr>
            <sz val="11"/>
            <color rgb="FF000000"/>
            <rFont val="Calibri"/>
          </rPr>
          <t xml:space="preserve"> with the </t>
        </r>
        <r>
          <rPr>
            <sz val="11"/>
            <color rgb="FF000000"/>
            <rFont val="Calibri"/>
          </rPr>
          <t>"</t>
        </r>
        <r>
          <rPr>
            <b/>
            <sz val="11"/>
            <color rgb="FF000000"/>
            <rFont val="Calibri"/>
          </rPr>
          <t>nosuid</t>
        </r>
        <r>
          <rPr>
            <sz val="11"/>
            <color rgb="FF000000"/>
            <rFont val="Calibri"/>
          </rPr>
          <t>"</t>
        </r>
        <r>
          <rPr>
            <sz val="11"/>
            <color rgb="FF000000"/>
            <rFont val="Calibri"/>
          </rPr>
          <t xml:space="preserve"> option.</t>
        </r>
      </text>
    </comment>
    <comment ref="AL52" authorId="0" shapeId="0" xr:uid="{00000000-0006-0000-0800-000022000000}">
      <text>
        <r>
          <rPr>
            <sz val="11"/>
            <rFont val="Calibri"/>
          </rPr>
          <t xml:space="preserve">OL 8 must mount </t>
        </r>
        <r>
          <rPr>
            <sz val="11"/>
            <color rgb="FF000000"/>
            <rFont val="Calibri"/>
          </rPr>
          <t>"</t>
        </r>
        <r>
          <rPr>
            <b/>
            <sz val="11"/>
            <color rgb="FF000000"/>
            <rFont val="Calibri"/>
          </rPr>
          <t>/var/log</t>
        </r>
        <r>
          <rPr>
            <sz val="11"/>
            <color rgb="FF000000"/>
            <rFont val="Calibri"/>
          </rPr>
          <t>"</t>
        </r>
        <r>
          <rPr>
            <sz val="11"/>
            <color rgb="FF000000"/>
            <rFont val="Calibri"/>
          </rPr>
          <t xml:space="preserve"> with the </t>
        </r>
        <r>
          <rPr>
            <sz val="11"/>
            <color rgb="FF000000"/>
            <rFont val="Calibri"/>
          </rPr>
          <t>"</t>
        </r>
        <r>
          <rPr>
            <b/>
            <sz val="11"/>
            <color rgb="FF000000"/>
            <rFont val="Calibri"/>
          </rPr>
          <t>noexec</t>
        </r>
        <r>
          <rPr>
            <sz val="11"/>
            <color rgb="FF000000"/>
            <rFont val="Calibri"/>
          </rPr>
          <t>"</t>
        </r>
        <r>
          <rPr>
            <sz val="11"/>
            <color rgb="FF000000"/>
            <rFont val="Calibri"/>
          </rPr>
          <t xml:space="preserve"> option.</t>
        </r>
      </text>
    </comment>
    <comment ref="AM52" authorId="0" shapeId="0" xr:uid="{00000000-0006-0000-0800-000023000000}">
      <text>
        <r>
          <rPr>
            <sz val="11"/>
            <rFont val="Calibri"/>
          </rPr>
          <t xml:space="preserve">OL 8 must mount </t>
        </r>
        <r>
          <rPr>
            <sz val="11"/>
            <color rgb="FF000000"/>
            <rFont val="Calibri"/>
          </rPr>
          <t>"</t>
        </r>
        <r>
          <rPr>
            <b/>
            <sz val="11"/>
            <color rgb="FF000000"/>
            <rFont val="Calibri"/>
          </rPr>
          <t>/var/tmp</t>
        </r>
        <r>
          <rPr>
            <sz val="11"/>
            <color rgb="FF000000"/>
            <rFont val="Calibri"/>
          </rPr>
          <t>"</t>
        </r>
        <r>
          <rPr>
            <sz val="11"/>
            <color rgb="FF000000"/>
            <rFont val="Calibri"/>
          </rPr>
          <t xml:space="preserve"> with the </t>
        </r>
        <r>
          <rPr>
            <sz val="11"/>
            <color rgb="FF000000"/>
            <rFont val="Calibri"/>
          </rPr>
          <t>"</t>
        </r>
        <r>
          <rPr>
            <b/>
            <sz val="11"/>
            <color rgb="FF000000"/>
            <rFont val="Calibri"/>
          </rPr>
          <t>nodev</t>
        </r>
        <r>
          <rPr>
            <sz val="11"/>
            <color rgb="FF000000"/>
            <rFont val="Calibri"/>
          </rPr>
          <t>"</t>
        </r>
        <r>
          <rPr>
            <sz val="11"/>
            <color rgb="FF000000"/>
            <rFont val="Calibri"/>
          </rPr>
          <t xml:space="preserve"> option.</t>
        </r>
      </text>
    </comment>
    <comment ref="AN52" authorId="0" shapeId="0" xr:uid="{00000000-0006-0000-0800-000024000000}">
      <text>
        <r>
          <rPr>
            <sz val="11"/>
            <rFont val="Calibri"/>
          </rPr>
          <t xml:space="preserve">OL 8 must mount </t>
        </r>
        <r>
          <rPr>
            <sz val="11"/>
            <color rgb="FF000000"/>
            <rFont val="Calibri"/>
          </rPr>
          <t>"</t>
        </r>
        <r>
          <rPr>
            <b/>
            <sz val="11"/>
            <color rgb="FF000000"/>
            <rFont val="Calibri"/>
          </rPr>
          <t>/var/tmp</t>
        </r>
        <r>
          <rPr>
            <sz val="11"/>
            <color rgb="FF000000"/>
            <rFont val="Calibri"/>
          </rPr>
          <t>"</t>
        </r>
        <r>
          <rPr>
            <sz val="11"/>
            <color rgb="FF000000"/>
            <rFont val="Calibri"/>
          </rPr>
          <t xml:space="preserve"> with the </t>
        </r>
        <r>
          <rPr>
            <sz val="11"/>
            <color rgb="FF000000"/>
            <rFont val="Calibri"/>
          </rPr>
          <t>"</t>
        </r>
        <r>
          <rPr>
            <b/>
            <sz val="11"/>
            <color rgb="FF000000"/>
            <rFont val="Calibri"/>
          </rPr>
          <t>nosuid</t>
        </r>
        <r>
          <rPr>
            <sz val="11"/>
            <color rgb="FF000000"/>
            <rFont val="Calibri"/>
          </rPr>
          <t>"</t>
        </r>
        <r>
          <rPr>
            <sz val="11"/>
            <color rgb="FF000000"/>
            <rFont val="Calibri"/>
          </rPr>
          <t xml:space="preserve"> option.</t>
        </r>
      </text>
    </comment>
    <comment ref="AO52" authorId="0" shapeId="0" xr:uid="{00000000-0006-0000-0800-000025000000}">
      <text>
        <r>
          <rPr>
            <sz val="11"/>
            <rFont val="Calibri"/>
          </rPr>
          <t xml:space="preserve">OL 8 must mount </t>
        </r>
        <r>
          <rPr>
            <sz val="11"/>
            <color rgb="FF000000"/>
            <rFont val="Calibri"/>
          </rPr>
          <t>"</t>
        </r>
        <r>
          <rPr>
            <b/>
            <sz val="11"/>
            <color rgb="FF000000"/>
            <rFont val="Calibri"/>
          </rPr>
          <t>/var/tmp</t>
        </r>
        <r>
          <rPr>
            <sz val="11"/>
            <color rgb="FF000000"/>
            <rFont val="Calibri"/>
          </rPr>
          <t>"</t>
        </r>
        <r>
          <rPr>
            <sz val="11"/>
            <color rgb="FF000000"/>
            <rFont val="Calibri"/>
          </rPr>
          <t xml:space="preserve"> with the </t>
        </r>
        <r>
          <rPr>
            <sz val="11"/>
            <color rgb="FF000000"/>
            <rFont val="Calibri"/>
          </rPr>
          <t>"</t>
        </r>
        <r>
          <rPr>
            <b/>
            <sz val="11"/>
            <color rgb="FF000000"/>
            <rFont val="Calibri"/>
          </rPr>
          <t>noexec</t>
        </r>
        <r>
          <rPr>
            <sz val="11"/>
            <color rgb="FF000000"/>
            <rFont val="Calibri"/>
          </rPr>
          <t>"</t>
        </r>
        <r>
          <rPr>
            <sz val="11"/>
            <color rgb="FF000000"/>
            <rFont val="Calibri"/>
          </rPr>
          <t xml:space="preserve"> option.</t>
        </r>
      </text>
    </comment>
    <comment ref="AP52" authorId="0" shapeId="0" xr:uid="{00000000-0006-0000-0800-000026000000}">
      <text>
        <r>
          <rPr>
            <sz val="11"/>
            <rFont val="Calibri"/>
          </rPr>
          <t xml:space="preserve">The OL 8 </t>
        </r>
        <r>
          <rPr>
            <sz val="11"/>
            <color rgb="FF000000"/>
            <rFont val="Calibri"/>
          </rPr>
          <t>"</t>
        </r>
        <r>
          <rPr>
            <b/>
            <sz val="11"/>
            <color rgb="FF000000"/>
            <rFont val="Calibri"/>
          </rPr>
          <t>fapolicy</t>
        </r>
        <r>
          <rPr>
            <sz val="11"/>
            <color rgb="FF000000"/>
            <rFont val="Calibri"/>
          </rPr>
          <t>"</t>
        </r>
        <r>
          <rPr>
            <sz val="11"/>
            <color rgb="FF000000"/>
            <rFont val="Calibri"/>
          </rPr>
          <t xml:space="preserve"> module must be installed.</t>
        </r>
      </text>
    </comment>
    <comment ref="AQ52" authorId="0" shapeId="0" xr:uid="{00000000-0006-0000-0800-000027000000}">
      <text>
        <r>
          <rPr>
            <sz val="11"/>
            <rFont val="Calibri"/>
          </rPr>
          <t xml:space="preserve">The OL 8 </t>
        </r>
        <r>
          <rPr>
            <sz val="11"/>
            <color rgb="FF000000"/>
            <rFont val="Calibri"/>
          </rPr>
          <t>"</t>
        </r>
        <r>
          <rPr>
            <b/>
            <sz val="11"/>
            <color rgb="FF000000"/>
            <rFont val="Calibri"/>
          </rPr>
          <t>fapolicy</t>
        </r>
        <r>
          <rPr>
            <sz val="11"/>
            <color rgb="FF000000"/>
            <rFont val="Calibri"/>
          </rPr>
          <t>"</t>
        </r>
        <r>
          <rPr>
            <sz val="11"/>
            <color rgb="FF000000"/>
            <rFont val="Calibri"/>
          </rPr>
          <t xml:space="preserve"> module must be enabled.</t>
        </r>
      </text>
    </comment>
    <comment ref="AR52" authorId="0" shapeId="0" xr:uid="{00000000-0006-0000-0800-000028000000}">
      <text>
        <r>
          <rPr>
            <sz val="11"/>
            <rFont val="Calibri"/>
          </rPr>
          <t>The OL 8 fapolicy module must be configured to employ a deny-all, permit-by-exception policy to allow the execution of authorized software programs.</t>
        </r>
      </text>
    </comment>
    <comment ref="AS52" authorId="0" shapeId="0" xr:uid="{00000000-0006-0000-0800-000029000000}">
      <text>
        <r>
          <rPr>
            <sz val="11"/>
            <rFont val="Calibri"/>
          </rPr>
          <t>OL 8 must have the USBGuard installed.</t>
        </r>
      </text>
    </comment>
    <comment ref="AT52" authorId="0" shapeId="0" xr:uid="{00000000-0006-0000-0800-00002A000000}">
      <text>
        <r>
          <rPr>
            <sz val="11"/>
            <rFont val="Calibri"/>
          </rPr>
          <t>OL 8 must block unauthorized peripherals before establishing a connection.</t>
        </r>
      </text>
    </comment>
    <comment ref="G60" authorId="0" shapeId="0" xr:uid="{00000000-0006-0000-0800-00002E000000}">
      <text>
        <r>
          <rPr>
            <sz val="11"/>
            <rFont val="Calibri"/>
          </rPr>
          <t>OL 8 must enable a user session lock until that user reestablishes access using established identification and authentication procedures for graphical user sessions.</t>
        </r>
      </text>
    </comment>
    <comment ref="H60" authorId="0" shapeId="0" xr:uid="{00000000-0006-0000-0800-00002F000000}">
      <text>
        <r>
          <rPr>
            <sz val="11"/>
            <rFont val="Calibri"/>
          </rPr>
          <t>OL 8 must initiate a session lock for graphical user interfaces when the screensaver is activated.</t>
        </r>
      </text>
    </comment>
    <comment ref="I60" authorId="0" shapeId="0" xr:uid="{00000000-0006-0000-0800-000030000000}">
      <text>
        <r>
          <rPr>
            <sz val="11"/>
            <rFont val="Calibri"/>
          </rPr>
          <t>OL 8 must enable a user session lock until that user reestablishes access using established identification and authentication procedures for command line sessions.</t>
        </r>
      </text>
    </comment>
    <comment ref="J60" authorId="0" shapeId="0" xr:uid="{00000000-0006-0000-0800-000031000000}">
      <text>
        <r>
          <rPr>
            <sz val="11"/>
            <rFont val="Calibri"/>
          </rPr>
          <t>OL 8 must be able to initiate directly a session lock for all connection types using smartcard when the smartcard is removed.</t>
        </r>
      </text>
    </comment>
    <comment ref="K60" authorId="0" shapeId="0" xr:uid="{00000000-0006-0000-0800-000032000000}">
      <text>
        <r>
          <rPr>
            <sz val="11"/>
            <rFont val="Calibri"/>
          </rPr>
          <t>OL 8 must automatically lock graphical user sessions after 15 minutes of inactivity.</t>
        </r>
      </text>
    </comment>
    <comment ref="L60" authorId="0" shapeId="0" xr:uid="{00000000-0006-0000-0800-000033000000}">
      <text>
        <r>
          <rPr>
            <sz val="11"/>
            <rFont val="Calibri"/>
          </rPr>
          <t>OL 8 must prevent a user from overriding the session lock-delay setting for the graphical user interface.</t>
        </r>
      </text>
    </comment>
    <comment ref="M60" authorId="0" shapeId="0" xr:uid="{00000000-0006-0000-0800-000034000000}">
      <text>
        <r>
          <rPr>
            <sz val="11"/>
            <rFont val="Calibri"/>
          </rPr>
          <t>OL 8 must prevent a user from overriding the session idle-delay setting for the graphical user interface.</t>
        </r>
      </text>
    </comment>
    <comment ref="N60" authorId="0" shapeId="0" xr:uid="{00000000-0006-0000-0800-000035000000}">
      <text>
        <r>
          <rPr>
            <sz val="11"/>
            <rFont val="Calibri"/>
          </rPr>
          <t>OL 8 must prevent a user from overriding the session lock-enabled setting for the graphical user interface.</t>
        </r>
      </text>
    </comment>
    <comment ref="O60" authorId="0" shapeId="0" xr:uid="{00000000-0006-0000-0800-000036000000}">
      <text>
        <r>
          <rPr>
            <sz val="11"/>
            <rFont val="Calibri"/>
          </rPr>
          <t>OL 8 must terminate idle user sessions.</t>
        </r>
      </text>
    </comment>
    <comment ref="P60" authorId="0" shapeId="0" xr:uid="{00000000-0006-0000-0800-000037000000}">
      <text>
        <r>
          <rPr>
            <sz val="11"/>
            <rFont val="Calibri"/>
          </rPr>
          <t>OL 8 must automatically exit interactive command shell user sessions after 10 minutes of inactivity.</t>
        </r>
      </text>
    </comment>
    <comment ref="G71" authorId="0" shapeId="0" xr:uid="{00000000-0006-0000-0800-000038000000}">
      <text>
        <r>
          <rPr>
            <sz val="11"/>
            <rFont val="Calibri"/>
          </rPr>
          <t>OL 8 must be a vendor-supported release.</t>
        </r>
      </text>
    </comment>
    <comment ref="H71" authorId="0" shapeId="0" xr:uid="{00000000-0006-0000-0800-000039000000}">
      <text>
        <r>
          <rPr>
            <sz val="11"/>
            <rFont val="Calibri"/>
          </rPr>
          <t>OL 8 vendor-packaged system security patches and updates must be installed and up to date.</t>
        </r>
      </text>
    </comment>
    <comment ref="I71" authorId="0" shapeId="0" xr:uid="{00000000-0006-0000-0800-00003A000000}">
      <text>
        <r>
          <rPr>
            <sz val="11"/>
            <rFont val="Calibri"/>
          </rPr>
          <t xml:space="preserve">OL 8 must have the </t>
        </r>
        <r>
          <rPr>
            <sz val="11"/>
            <color rgb="FF000000"/>
            <rFont val="Calibri"/>
          </rPr>
          <t>"</t>
        </r>
        <r>
          <rPr>
            <b/>
            <sz val="11"/>
            <color rgb="FF000000"/>
            <rFont val="Calibri"/>
          </rPr>
          <t>policycoreutils</t>
        </r>
        <r>
          <rPr>
            <sz val="11"/>
            <color rgb="FF000000"/>
            <rFont val="Calibri"/>
          </rPr>
          <t>"</t>
        </r>
        <r>
          <rPr>
            <sz val="11"/>
            <color rgb="FF000000"/>
            <rFont val="Calibri"/>
          </rPr>
          <t xml:space="preserve"> package installed.</t>
        </r>
      </text>
    </comment>
    <comment ref="G80" authorId="0" shapeId="0" xr:uid="{00000000-0006-0000-0800-00003B000000}">
      <text>
        <r>
          <rPr>
            <sz val="11"/>
            <rFont val="Calibri"/>
          </rPr>
          <t>OL 8 must not permit direct logons to the root account using remote access via SSH.</t>
        </r>
      </text>
    </comment>
    <comment ref="H80" authorId="0" shapeId="0" xr:uid="{00000000-0006-0000-0800-00003C000000}">
      <text>
        <r>
          <rPr>
            <sz val="11"/>
            <rFont val="Calibri"/>
          </rPr>
          <t>OL 8 duplicate User IDs (UIDs) must not exist for interactive users.</t>
        </r>
      </text>
    </comment>
    <comment ref="I80" authorId="0" shapeId="0" xr:uid="{00000000-0006-0000-0800-00003D000000}">
      <text>
        <r>
          <rPr>
            <sz val="11"/>
            <rFont val="Calibri"/>
          </rPr>
          <t>OL 8 must not have unnecessary accounts.</t>
        </r>
      </text>
    </comment>
    <comment ref="J80" authorId="0" shapeId="0" xr:uid="{00000000-0006-0000-0800-00003E000000}">
      <text>
        <r>
          <rPr>
            <sz val="11"/>
            <rFont val="Calibri"/>
          </rPr>
          <t>The root account must be the only account having unrestricted access to the OL 8 system.</t>
        </r>
      </text>
    </comment>
    <comment ref="G81" authorId="0" shapeId="0" xr:uid="{00000000-0006-0000-0800-00003F000000}">
      <text>
        <r>
          <rPr>
            <sz val="11"/>
            <rFont val="Calibri"/>
          </rPr>
          <t>OL 8 must have the package required for multifactor authentication installed.</t>
        </r>
      </text>
    </comment>
    <comment ref="H81" authorId="0" shapeId="0" xr:uid="{00000000-0006-0000-0800-000040000000}">
      <text>
        <r>
          <rPr>
            <sz val="11"/>
            <rFont val="Calibri"/>
          </rPr>
          <t>OL 8 must implement certificate status checking for multifactor authentication.</t>
        </r>
      </text>
    </comment>
    <comment ref="I81" authorId="0" shapeId="0" xr:uid="{00000000-0006-0000-0800-000041000000}">
      <text>
        <r>
          <rPr>
            <sz val="11"/>
            <rFont val="Calibri"/>
          </rPr>
          <t>OL 8 must accept Personal Identity Verification (PIV) credentials.</t>
        </r>
      </text>
    </comment>
    <comment ref="J81" authorId="0" shapeId="0" xr:uid="{00000000-0006-0000-0800-000042000000}">
      <text>
        <r>
          <rPr>
            <sz val="11"/>
            <rFont val="Calibri"/>
          </rPr>
          <t>OL 8 must map the authenticated identity to the user or group account for PKI-based authentication.</t>
        </r>
      </text>
    </comment>
    <comment ref="K81" authorId="0" shapeId="0" xr:uid="{00000000-0006-0000-0800-000043000000}">
      <text>
        <r>
          <rPr>
            <sz val="11"/>
            <rFont val="Calibri"/>
          </rPr>
          <t>OL 8 must implement multifactor authentication for access to interactive accounts.</t>
        </r>
      </text>
    </comment>
    <comment ref="L81" authorId="0" shapeId="0" xr:uid="{00000000-0006-0000-0800-000044000000}">
      <text>
        <r>
          <rPr>
            <sz val="11"/>
            <rFont val="Calibri"/>
          </rPr>
          <t>OL 8 must not allow accounts configured with blank or null passwords.</t>
        </r>
      </text>
    </comment>
    <comment ref="M81" authorId="0" shapeId="0" xr:uid="{00000000-0006-0000-0800-000045000000}">
      <text>
        <r>
          <rPr>
            <sz val="11"/>
            <rFont val="Calibri"/>
          </rPr>
          <t>OL 8 must not allow blank or null passwords in the system-auth file.</t>
        </r>
      </text>
    </comment>
    <comment ref="N81" authorId="0" shapeId="0" xr:uid="{00000000-0006-0000-0800-000046000000}">
      <text>
        <r>
          <rPr>
            <sz val="11"/>
            <rFont val="Calibri"/>
          </rPr>
          <t>OL 8 must not allow blank or null passwords in the password-auth file.</t>
        </r>
      </text>
    </comment>
    <comment ref="O81" authorId="0" shapeId="0" xr:uid="{00000000-0006-0000-0800-000047000000}">
      <text>
        <r>
          <rPr>
            <sz val="11"/>
            <rFont val="Calibri"/>
          </rPr>
          <t>The OL 8 operating system must not have accounts configured with blank or null passwords.</t>
        </r>
      </text>
    </comment>
    <comment ref="G82" authorId="0" shapeId="0" xr:uid="{00000000-0006-0000-0800-000048000000}">
      <text>
        <r>
          <rPr>
            <sz val="11"/>
            <rFont val="Calibri"/>
          </rPr>
          <t>OL 8 temporary user accounts must be provisioned with an expiration time of 72 hours or less.</t>
        </r>
      </text>
    </comment>
    <comment ref="H82" authorId="0" shapeId="0" xr:uid="{00000000-0006-0000-0800-000049000000}">
      <text>
        <r>
          <rPr>
            <sz val="11"/>
            <rFont val="Calibri"/>
          </rPr>
          <t>The OL 8 system-auth file must disable access to the system for account identifiers (individuals, groups, roles, and devices) with 35 days of inactivity.</t>
        </r>
      </text>
    </comment>
    <comment ref="I82" authorId="0" shapeId="0" xr:uid="{00000000-0006-0000-0800-00004A000000}">
      <text>
        <r>
          <rPr>
            <sz val="11"/>
            <rFont val="Calibri"/>
          </rPr>
          <t>The OL 8 password-auth file must disable access to the system for account identifiers (individuals, groups, roles, and devices) with 35 days of inactivity.</t>
        </r>
      </text>
    </comment>
    <comment ref="J82" authorId="0" shapeId="0" xr:uid="{00000000-0006-0000-0800-00004B000000}">
      <text>
        <r>
          <rPr>
            <sz val="11"/>
            <rFont val="Calibri"/>
          </rPr>
          <t>OL 8 must automatically expire temporary accounts within 72 hours.</t>
        </r>
      </text>
    </comment>
    <comment ref="G85" authorId="0" shapeId="0" xr:uid="{00000000-0006-0000-0800-00004C000000}">
      <text>
        <r>
          <rPr>
            <sz val="11"/>
            <rFont val="Calibri"/>
          </rPr>
          <t>OL 8 must require users to provide a password for privilege escalation.</t>
        </r>
      </text>
    </comment>
    <comment ref="H85" authorId="0" shapeId="0" xr:uid="{00000000-0006-0000-0800-00004D000000}">
      <text>
        <r>
          <rPr>
            <sz val="11"/>
            <rFont val="Calibri"/>
          </rPr>
          <t>OL 8 must require users to reauthenticate for privilege escalation and changing roles.</t>
        </r>
      </text>
    </comment>
    <comment ref="I85" authorId="0" shapeId="0" xr:uid="{00000000-0006-0000-0800-00004E000000}">
      <text>
        <r>
          <rPr>
            <sz val="11"/>
            <rFont val="Calibri"/>
          </rPr>
          <t>OL 8 must restrict privilege elevation to authorized personnel.</t>
        </r>
      </text>
    </comment>
    <comment ref="J85" authorId="0" shapeId="0" xr:uid="{00000000-0006-0000-0800-00004F000000}">
      <text>
        <r>
          <rPr>
            <sz val="11"/>
            <rFont val="Calibri"/>
          </rPr>
          <t>OL 8 must use the invoking user</t>
        </r>
        <r>
          <rPr>
            <sz val="11"/>
            <color rgb="FF000000"/>
            <rFont val="Calibri"/>
          </rPr>
          <t>'</t>
        </r>
        <r>
          <rPr>
            <sz val="11"/>
            <color rgb="FF000000"/>
            <rFont val="Calibri"/>
          </rPr>
          <t xml:space="preserve">s password for privilege escalation when using </t>
        </r>
        <r>
          <rPr>
            <sz val="11"/>
            <color rgb="FF000000"/>
            <rFont val="Calibri"/>
          </rPr>
          <t>"</t>
        </r>
        <r>
          <rPr>
            <b/>
            <sz val="11"/>
            <color rgb="FF000000"/>
            <rFont val="Calibri"/>
          </rPr>
          <t>sudo</t>
        </r>
        <r>
          <rPr>
            <sz val="11"/>
            <color rgb="FF000000"/>
            <rFont val="Calibri"/>
          </rPr>
          <t>"</t>
        </r>
        <r>
          <rPr>
            <sz val="11"/>
            <color rgb="FF000000"/>
            <rFont val="Calibri"/>
          </rPr>
          <t>.</t>
        </r>
      </text>
    </comment>
    <comment ref="K85" authorId="0" shapeId="0" xr:uid="{00000000-0006-0000-0800-000050000000}">
      <text>
        <r>
          <rPr>
            <sz val="11"/>
            <rFont val="Calibri"/>
          </rPr>
          <t>OL 8 must prevent nonprivileged users from executing privileged functions, including disabling, circumventing, or altering implemented security safeguards/countermeasures.</t>
        </r>
      </text>
    </comment>
    <comment ref="L85" authorId="0" shapeId="0" xr:uid="{00000000-0006-0000-0800-000051000000}">
      <text>
        <r>
          <rPr>
            <sz val="11"/>
            <rFont val="Calibri"/>
          </rPr>
          <t>The OL 8 operating system must not be configured to bypass password requirements for privilege escalation.</t>
        </r>
      </text>
    </comment>
    <comment ref="G86" authorId="0" shapeId="0" xr:uid="{00000000-0006-0000-0800-000052000000}">
      <text>
        <r>
          <rPr>
            <sz val="11"/>
            <rFont val="Calibri"/>
          </rPr>
          <t>OL 8 must require users to provide a password for privilege escalation.</t>
        </r>
      </text>
    </comment>
    <comment ref="H86" authorId="0" shapeId="0" xr:uid="{00000000-0006-0000-0800-000053000000}">
      <text>
        <r>
          <rPr>
            <sz val="11"/>
            <rFont val="Calibri"/>
          </rPr>
          <t>OL 8 must require users to reauthenticate for privilege escalation and changing roles.</t>
        </r>
      </text>
    </comment>
    <comment ref="I86" authorId="0" shapeId="0" xr:uid="{00000000-0006-0000-0800-000054000000}">
      <text>
        <r>
          <rPr>
            <sz val="11"/>
            <rFont val="Calibri"/>
          </rPr>
          <t>The OL 8 operating system must not be configured to bypass password requirements for privilege escalation.</t>
        </r>
      </text>
    </comment>
    <comment ref="G91" authorId="0" shapeId="0" xr:uid="{00000000-0006-0000-0800-000055000000}">
      <text>
        <r>
          <rPr>
            <sz val="11"/>
            <rFont val="Calibri"/>
          </rPr>
          <t>The OL 8 shadow password suite must be configured to use a sufficient number of hashing rounds.</t>
        </r>
      </text>
    </comment>
    <comment ref="H91" authorId="0" shapeId="0" xr:uid="{00000000-0006-0000-0800-000056000000}">
      <text>
        <r>
          <rPr>
            <sz val="11"/>
            <rFont val="Calibri"/>
          </rPr>
          <t>OL 8 must ensure the password complexity module is enabled in the password-auth file.</t>
        </r>
      </text>
    </comment>
    <comment ref="I91" authorId="0" shapeId="0" xr:uid="{00000000-0006-0000-0800-000057000000}">
      <text>
        <r>
          <rPr>
            <sz val="11"/>
            <rFont val="Calibri"/>
          </rPr>
          <t>OL 8 must enforce password complexity by requiring that at least one uppercase character be used.</t>
        </r>
      </text>
    </comment>
    <comment ref="J91" authorId="0" shapeId="0" xr:uid="{00000000-0006-0000-0800-000058000000}">
      <text>
        <r>
          <rPr>
            <sz val="11"/>
            <rFont val="Calibri"/>
          </rPr>
          <t>OL 8 must enforce password complexity by requiring that at least one lowercase character be used.</t>
        </r>
      </text>
    </comment>
    <comment ref="K91" authorId="0" shapeId="0" xr:uid="{00000000-0006-0000-0800-000059000000}">
      <text>
        <r>
          <rPr>
            <sz val="11"/>
            <rFont val="Calibri"/>
          </rPr>
          <t>OL 8 must enforce password complexity by requiring that at least one numeric character be used.</t>
        </r>
      </text>
    </comment>
    <comment ref="L91" authorId="0" shapeId="0" xr:uid="{00000000-0006-0000-0800-00005A000000}">
      <text>
        <r>
          <rPr>
            <sz val="11"/>
            <rFont val="Calibri"/>
          </rPr>
          <t>OL 8 must require the maximum number of repeating characters of the same character class be limited to four when passwords are changed.</t>
        </r>
      </text>
    </comment>
    <comment ref="M91" authorId="0" shapeId="0" xr:uid="{00000000-0006-0000-0800-00005B000000}">
      <text>
        <r>
          <rPr>
            <sz val="11"/>
            <rFont val="Calibri"/>
          </rPr>
          <t>OL 8 must require the maximum number of repeating characters be limited to three when passwords are changed.</t>
        </r>
      </text>
    </comment>
    <comment ref="N91" authorId="0" shapeId="0" xr:uid="{00000000-0006-0000-0800-00005C000000}">
      <text>
        <r>
          <rPr>
            <sz val="11"/>
            <rFont val="Calibri"/>
          </rPr>
          <t>All OL 8 passwords must contain at least one special character.</t>
        </r>
      </text>
    </comment>
    <comment ref="O91" authorId="0" shapeId="0" xr:uid="{00000000-0006-0000-0800-00005D000000}">
      <text>
        <r>
          <rPr>
            <sz val="11"/>
            <rFont val="Calibri"/>
          </rPr>
          <t>OL 8 must ensure the password complexity module is enabled in the system-auth file.</t>
        </r>
      </text>
    </comment>
    <comment ref="P91" authorId="0" shapeId="0" xr:uid="{00000000-0006-0000-0800-00005E000000}">
      <text>
        <r>
          <rPr>
            <sz val="11"/>
            <rFont val="Calibri"/>
          </rPr>
          <t>OL 8 systems below version 8.4 must ensure the password complexity module in the system-auth file is configured for three retries or less.</t>
        </r>
      </text>
    </comment>
    <comment ref="Q91" authorId="0" shapeId="0" xr:uid="{00000000-0006-0000-0800-00005F000000}">
      <text>
        <r>
          <rPr>
            <sz val="11"/>
            <rFont val="Calibri"/>
          </rPr>
          <t>OL 8 systems below version 8.4 must ensure the password complexity module in the password-auth file is configured for three retries or less.</t>
        </r>
      </text>
    </comment>
    <comment ref="R91" authorId="0" shapeId="0" xr:uid="{00000000-0006-0000-0800-000060000000}">
      <text>
        <r>
          <rPr>
            <sz val="11"/>
            <rFont val="Calibri"/>
          </rPr>
          <t>OL 8 systems, version 8.4 and above, must ensure the password complexity module is configured for three retries or less.</t>
        </r>
      </text>
    </comment>
    <comment ref="G92" authorId="0" shapeId="0" xr:uid="{00000000-0006-0000-0800-000061000000}">
      <text>
        <r>
          <rPr>
            <sz val="11"/>
            <rFont val="Calibri"/>
          </rPr>
          <t>OL 8 systems below version 8.2 must automatically lock an account when three unsuccessful logon attempts occur.</t>
        </r>
      </text>
    </comment>
    <comment ref="H92" authorId="0" shapeId="0" xr:uid="{00000000-0006-0000-0800-000062000000}">
      <text>
        <r>
          <rPr>
            <sz val="11"/>
            <rFont val="Calibri"/>
          </rPr>
          <t>OL 8 systems, versions 8.2 and above, must automatically lock an account when three unsuccessful logon attempts occur.</t>
        </r>
      </text>
    </comment>
    <comment ref="I92" authorId="0" shapeId="0" xr:uid="{00000000-0006-0000-0800-000063000000}">
      <text>
        <r>
          <rPr>
            <sz val="11"/>
            <rFont val="Calibri"/>
          </rPr>
          <t>OL 8 systems below version 8.2 must automatically lock an account when three unsuccessful logon attempts occur during a 15-minute time period.</t>
        </r>
      </text>
    </comment>
    <comment ref="J92" authorId="0" shapeId="0" xr:uid="{00000000-0006-0000-0800-000064000000}">
      <text>
        <r>
          <rPr>
            <sz val="11"/>
            <rFont val="Calibri"/>
          </rPr>
          <t>OL 8 systems, versions 8.2 and above, must automatically lock an account when three unsuccessful logon attempts occur during a 15-minute time period.</t>
        </r>
      </text>
    </comment>
    <comment ref="K92" authorId="0" shapeId="0" xr:uid="{00000000-0006-0000-0800-000065000000}">
      <text>
        <r>
          <rPr>
            <sz val="11"/>
            <rFont val="Calibri"/>
          </rPr>
          <t>OL 8 systems below version 8.2 must automatically lock an account until the locked account is released by an administrator when three unsuccessful logon attempts occur during a 15-minute time period.</t>
        </r>
      </text>
    </comment>
    <comment ref="L92" authorId="0" shapeId="0" xr:uid="{00000000-0006-0000-0800-000066000000}">
      <text>
        <r>
          <rPr>
            <sz val="11"/>
            <rFont val="Calibri"/>
          </rPr>
          <t>OL 8 systems, versions 8.2 and above, must automatically lock an account until the locked account is released by an administrator when three unsuccessful logon attempts occur during a 15-minute time period.</t>
        </r>
      </text>
    </comment>
    <comment ref="M92" authorId="0" shapeId="0" xr:uid="{00000000-0006-0000-0800-000067000000}">
      <text>
        <r>
          <rPr>
            <sz val="11"/>
            <rFont val="Calibri"/>
          </rPr>
          <t>OL 8 systems below version 8.2 must ensure account lockouts persist.</t>
        </r>
      </text>
    </comment>
    <comment ref="N92" authorId="0" shapeId="0" xr:uid="{00000000-0006-0000-0800-000068000000}">
      <text>
        <r>
          <rPr>
            <sz val="11"/>
            <rFont val="Calibri"/>
          </rPr>
          <t>OL 8 systems, versions 8.2 and above, must ensure account lockouts persist.</t>
        </r>
      </text>
    </comment>
    <comment ref="O92" authorId="0" shapeId="0" xr:uid="{00000000-0006-0000-0800-000069000000}">
      <text>
        <r>
          <rPr>
            <sz val="11"/>
            <rFont val="Calibri"/>
          </rPr>
          <t>OL 8 systems below version 8.2 must include root when automatically locking an account until the locked account is released by an administrator when three unsuccessful logon attempts occur during a 15-minute time period.</t>
        </r>
      </text>
    </comment>
    <comment ref="P92" authorId="0" shapeId="0" xr:uid="{00000000-0006-0000-0800-00006A000000}">
      <text>
        <r>
          <rPr>
            <sz val="11"/>
            <rFont val="Calibri"/>
          </rPr>
          <t>OL 8 systems, versions 8.2 and above, must include root when automatically locking an account until the locked account is released by an administrator when three unsuccessful logon attempts occur during a 15-minute time period.</t>
        </r>
      </text>
    </comment>
    <comment ref="Q92" authorId="0" shapeId="0" xr:uid="{00000000-0006-0000-0800-00006B000000}">
      <text>
        <r>
          <rPr>
            <sz val="11"/>
            <rFont val="Calibri"/>
          </rPr>
          <t>OL 8 must ensure the password complexity module is enabled in the password-auth file.</t>
        </r>
      </text>
    </comment>
    <comment ref="R92" authorId="0" shapeId="0" xr:uid="{00000000-0006-0000-0800-00006C000000}">
      <text>
        <r>
          <rPr>
            <sz val="11"/>
            <rFont val="Calibri"/>
          </rPr>
          <t>OL 8 must enforce password complexity by requiring that at least one uppercase character be used.</t>
        </r>
      </text>
    </comment>
    <comment ref="S92" authorId="0" shapeId="0" xr:uid="{00000000-0006-0000-0800-00006D000000}">
      <text>
        <r>
          <rPr>
            <sz val="11"/>
            <rFont val="Calibri"/>
          </rPr>
          <t>OL 8 must enforce password complexity by requiring that at least one lowercase character be used.</t>
        </r>
      </text>
    </comment>
    <comment ref="T92" authorId="0" shapeId="0" xr:uid="{00000000-0006-0000-0800-00006E000000}">
      <text>
        <r>
          <rPr>
            <sz val="11"/>
            <rFont val="Calibri"/>
          </rPr>
          <t>OL 8 must enforce password complexity by requiring that at least one numeric character be used.</t>
        </r>
      </text>
    </comment>
    <comment ref="U92" authorId="0" shapeId="0" xr:uid="{00000000-0006-0000-0800-00006F000000}">
      <text>
        <r>
          <rPr>
            <sz val="11"/>
            <rFont val="Calibri"/>
          </rPr>
          <t>OL 8 must require the maximum number of repeating characters of the same character class be limited to four when passwords are changed.</t>
        </r>
      </text>
    </comment>
    <comment ref="V92" authorId="0" shapeId="0" xr:uid="{00000000-0006-0000-0800-000070000000}">
      <text>
        <r>
          <rPr>
            <sz val="11"/>
            <rFont val="Calibri"/>
          </rPr>
          <t>OL 8 must require the maximum number of repeating characters be limited to three when passwords are changed.</t>
        </r>
      </text>
    </comment>
    <comment ref="W92" authorId="0" shapeId="0" xr:uid="{00000000-0006-0000-0800-000071000000}">
      <text>
        <r>
          <rPr>
            <sz val="11"/>
            <rFont val="Calibri"/>
          </rPr>
          <t>OL 8 must require the change of at least four character classes when passwords are changed.</t>
        </r>
      </text>
    </comment>
    <comment ref="X92" authorId="0" shapeId="0" xr:uid="{00000000-0006-0000-0800-000072000000}">
      <text>
        <r>
          <rPr>
            <sz val="11"/>
            <rFont val="Calibri"/>
          </rPr>
          <t>OL 8 must require the change of at least eight characters when passwords are changed.</t>
        </r>
      </text>
    </comment>
    <comment ref="Y92" authorId="0" shapeId="0" xr:uid="{00000000-0006-0000-0800-000073000000}">
      <text>
        <r>
          <rPr>
            <sz val="11"/>
            <rFont val="Calibri"/>
          </rPr>
          <t>OL 8 user account passwords must have a 60-day maximum password lifetime restriction.</t>
        </r>
      </text>
    </comment>
    <comment ref="Z92" authorId="0" shapeId="0" xr:uid="{00000000-0006-0000-0800-000074000000}">
      <text>
        <r>
          <rPr>
            <sz val="11"/>
            <rFont val="Calibri"/>
          </rPr>
          <t>OL 8 user account passwords must be configured so that existing passwords are restricted to a 60-day maximum lifetime.</t>
        </r>
      </text>
    </comment>
    <comment ref="AA92" authorId="0" shapeId="0" xr:uid="{00000000-0006-0000-0800-000075000000}">
      <text>
        <r>
          <rPr>
            <sz val="11"/>
            <rFont val="Calibri"/>
          </rPr>
          <t>OL 8 passwords must have a minimum of 15 characters.</t>
        </r>
      </text>
    </comment>
    <comment ref="AB92" authorId="0" shapeId="0" xr:uid="{00000000-0006-0000-0800-000076000000}">
      <text>
        <r>
          <rPr>
            <sz val="11"/>
            <rFont val="Calibri"/>
          </rPr>
          <t>All OL 8 passwords must contain at least one special character.</t>
        </r>
      </text>
    </comment>
    <comment ref="AC92" authorId="0" shapeId="0" xr:uid="{00000000-0006-0000-0800-000077000000}">
      <text>
        <r>
          <rPr>
            <sz val="11"/>
            <rFont val="Calibri"/>
          </rPr>
          <t>OL 8 must prevent the use of dictionary words for passwords.</t>
        </r>
      </text>
    </comment>
    <comment ref="AD92" authorId="0" shapeId="0" xr:uid="{00000000-0006-0000-0800-000078000000}">
      <text>
        <r>
          <rPr>
            <sz val="11"/>
            <rFont val="Calibri"/>
          </rPr>
          <t>OL 8 must ensure the password complexity module is enabled in the system-auth file.</t>
        </r>
      </text>
    </comment>
    <comment ref="AE92" authorId="0" shapeId="0" xr:uid="{00000000-0006-0000-0800-000079000000}">
      <text>
        <r>
          <rPr>
            <sz val="11"/>
            <rFont val="Calibri"/>
          </rPr>
          <t>OL 8 systems below version 8.4 must ensure the password complexity module in the system-auth file is configured for three retries or less.</t>
        </r>
      </text>
    </comment>
    <comment ref="AF92" authorId="0" shapeId="0" xr:uid="{00000000-0006-0000-0800-00007A000000}">
      <text>
        <r>
          <rPr>
            <sz val="11"/>
            <rFont val="Calibri"/>
          </rPr>
          <t>OL 8 systems below version 8.4 must ensure the password complexity module in the password-auth file is configured for three retries or less.</t>
        </r>
      </text>
    </comment>
    <comment ref="AG92" authorId="0" shapeId="0" xr:uid="{00000000-0006-0000-0800-00007B000000}">
      <text>
        <r>
          <rPr>
            <sz val="11"/>
            <rFont val="Calibri"/>
          </rPr>
          <t>OL 8 systems, version 8.4 and above, must ensure the password complexity module is configured for three retries or less.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11" authorId="0" shapeId="0" xr:uid="{00000000-0006-0000-0A00-000001000000}">
      <text>
        <r>
          <rPr>
            <sz val="11"/>
            <rFont val="Calibri"/>
          </rPr>
          <t>A firewall must be able to protect against or limit the effects of denial-of-service (DoS) attacks by ensuring OL 8 can implement rate-limiting measures on impacted network interfaces.</t>
        </r>
      </text>
    </comment>
    <comment ref="L16" authorId="0" shapeId="0" xr:uid="{00000000-0006-0000-0A00-000002000000}">
      <text>
        <r>
          <rPr>
            <sz val="11"/>
            <rFont val="Calibri"/>
          </rPr>
          <t>An OL 8 firewall must employ a deny-all, allow-by-exception policy for allowing connections to other systems.</t>
        </r>
      </text>
    </comment>
    <comment ref="L20" authorId="0" shapeId="0" xr:uid="{00000000-0006-0000-0A00-000003000000}">
      <text>
        <r>
          <rPr>
            <sz val="11"/>
            <rFont val="Calibri"/>
          </rPr>
          <t>A firewall must be installed on OL 8.</t>
        </r>
      </text>
    </comment>
    <comment ref="M20" authorId="0" shapeId="0" xr:uid="{00000000-0006-0000-0A00-000004000000}">
      <text>
        <r>
          <rPr>
            <sz val="11"/>
            <rFont val="Calibri"/>
          </rPr>
          <t>A firewall must be active on OL 8.</t>
        </r>
      </text>
    </comment>
    <comment ref="L22" authorId="0" shapeId="0" xr:uid="{00000000-0006-0000-0A00-000005000000}">
      <text>
        <r>
          <rPr>
            <sz val="11"/>
            <rFont val="Calibri"/>
          </rPr>
          <t>OL 8 must use reverse path filtering on all IPv4 interfaces.</t>
        </r>
      </text>
    </comment>
    <comment ref="L32" authorId="0" shapeId="0" xr:uid="{00000000-0006-0000-0A00-000006000000}">
      <text>
        <r>
          <rPr>
            <sz val="11"/>
            <rFont val="Calibri"/>
          </rPr>
          <t>OL 8 must use a Linux Security Module configured to enforce limits on system services.</t>
        </r>
      </text>
    </comment>
    <comment ref="M32" authorId="0" shapeId="0" xr:uid="{00000000-0006-0000-0A00-00000A000000}">
      <text>
        <r>
          <rPr>
            <sz val="11"/>
            <rFont val="Calibri"/>
          </rPr>
          <t xml:space="preserve">OL 8 must use a separate file system for </t>
        </r>
        <r>
          <rPr>
            <sz val="11"/>
            <color rgb="FF000000"/>
            <rFont val="Calibri"/>
          </rPr>
          <t>"</t>
        </r>
        <r>
          <rPr>
            <b/>
            <sz val="11"/>
            <color rgb="FF000000"/>
            <rFont val="Calibri"/>
          </rPr>
          <t>/var</t>
        </r>
        <r>
          <rPr>
            <sz val="11"/>
            <color rgb="FF000000"/>
            <rFont val="Calibri"/>
          </rPr>
          <t>"</t>
        </r>
        <r>
          <rPr>
            <sz val="11"/>
            <color rgb="FF000000"/>
            <rFont val="Calibri"/>
          </rPr>
          <t>.</t>
        </r>
      </text>
    </comment>
    <comment ref="N32" authorId="0" shapeId="0" xr:uid="{00000000-0006-0000-0A00-000007000000}">
      <text>
        <r>
          <rPr>
            <sz val="11"/>
            <rFont val="Calibri"/>
          </rPr>
          <t xml:space="preserve">OL 8 must use a separate file system for </t>
        </r>
        <r>
          <rPr>
            <sz val="11"/>
            <color rgb="FF000000"/>
            <rFont val="Calibri"/>
          </rPr>
          <t>"</t>
        </r>
        <r>
          <rPr>
            <b/>
            <sz val="11"/>
            <color rgb="FF000000"/>
            <rFont val="Calibri"/>
          </rPr>
          <t>/var/log</t>
        </r>
        <r>
          <rPr>
            <sz val="11"/>
            <color rgb="FF000000"/>
            <rFont val="Calibri"/>
          </rPr>
          <t>"</t>
        </r>
        <r>
          <rPr>
            <sz val="11"/>
            <color rgb="FF000000"/>
            <rFont val="Calibri"/>
          </rPr>
          <t>.</t>
        </r>
      </text>
    </comment>
    <comment ref="O32" authorId="0" shapeId="0" xr:uid="{00000000-0006-0000-0A00-000008000000}">
      <text>
        <r>
          <rPr>
            <sz val="11"/>
            <rFont val="Calibri"/>
          </rPr>
          <t xml:space="preserve">OL 8 must use a separate file system for </t>
        </r>
        <r>
          <rPr>
            <sz val="11"/>
            <color rgb="FF000000"/>
            <rFont val="Calibri"/>
          </rPr>
          <t>"</t>
        </r>
        <r>
          <rPr>
            <b/>
            <sz val="11"/>
            <color rgb="FF000000"/>
            <rFont val="Calibri"/>
          </rPr>
          <t>/tmp</t>
        </r>
        <r>
          <rPr>
            <sz val="11"/>
            <color rgb="FF000000"/>
            <rFont val="Calibri"/>
          </rPr>
          <t>"</t>
        </r>
        <r>
          <rPr>
            <sz val="11"/>
            <color rgb="FF000000"/>
            <rFont val="Calibri"/>
          </rPr>
          <t>.</t>
        </r>
      </text>
    </comment>
    <comment ref="P32" authorId="0" shapeId="0" xr:uid="{00000000-0006-0000-0A00-000009000000}">
      <text>
        <r>
          <rPr>
            <sz val="11"/>
            <rFont val="Calibri"/>
          </rPr>
          <t>OL 8 must use a separate file system for /var/tmp.</t>
        </r>
      </text>
    </comment>
    <comment ref="L35" authorId="0" shapeId="0" xr:uid="{00000000-0006-0000-0A00-00000B000000}">
      <text>
        <r>
          <rPr>
            <sz val="11"/>
            <rFont val="Calibri"/>
          </rPr>
          <t>OL 8 must prevent system daemons from using Kerberos for authentication.</t>
        </r>
      </text>
    </comment>
    <comment ref="M35" authorId="0" shapeId="0" xr:uid="{00000000-0006-0000-0A00-00002F000000}">
      <text>
        <r>
          <rPr>
            <sz val="11"/>
            <rFont val="Calibri"/>
          </rPr>
          <t>OL 8 must prevent the loading of a new kernel for later execution.</t>
        </r>
      </text>
    </comment>
    <comment ref="N35" authorId="0" shapeId="0" xr:uid="{00000000-0006-0000-0A00-000030000000}">
      <text>
        <r>
          <rPr>
            <sz val="11"/>
            <rFont val="Calibri"/>
          </rPr>
          <t>OL 8 must enable kernel parameters to enforce Discretionary Access Control (DAC) on symlinks.</t>
        </r>
      </text>
    </comment>
    <comment ref="O35" authorId="0" shapeId="0" xr:uid="{00000000-0006-0000-0A00-000031000000}">
      <text>
        <r>
          <rPr>
            <sz val="11"/>
            <rFont val="Calibri"/>
          </rPr>
          <t>OL 8 must enable kernel parameters to enforce Discretionary Access Control (DAC) on hardlinks.</t>
        </r>
      </text>
    </comment>
    <comment ref="P35" authorId="0" shapeId="0" xr:uid="{00000000-0006-0000-0A00-000032000000}">
      <text>
        <r>
          <rPr>
            <sz val="11"/>
            <rFont val="Calibri"/>
          </rPr>
          <t>OL 8 must restrict access to the kernel message buffer.</t>
        </r>
      </text>
    </comment>
    <comment ref="Q35" authorId="0" shapeId="0" xr:uid="{00000000-0006-0000-0A00-00000C000000}">
      <text>
        <r>
          <rPr>
            <sz val="11"/>
            <rFont val="Calibri"/>
          </rPr>
          <t>OL 8 must prevent kernel profiling by nonprivileged users.</t>
        </r>
      </text>
    </comment>
    <comment ref="R35" authorId="0" shapeId="0" xr:uid="{00000000-0006-0000-0A00-00000D000000}">
      <text>
        <r>
          <rPr>
            <sz val="11"/>
            <rFont val="Calibri"/>
          </rPr>
          <t>YUM must remove all software components after updated versions have been installed on OL 8.</t>
        </r>
      </text>
    </comment>
    <comment ref="S35" authorId="0" shapeId="0" xr:uid="{00000000-0006-0000-0A00-00000E000000}">
      <text>
        <r>
          <rPr>
            <sz val="11"/>
            <rFont val="Calibri"/>
          </rPr>
          <t>OL 8 must prevent files with the setuid and setgid bit set from being executed on the /boot directory.</t>
        </r>
      </text>
    </comment>
    <comment ref="T35" authorId="0" shapeId="0" xr:uid="{00000000-0006-0000-0A00-00000F000000}">
      <text>
        <r>
          <rPr>
            <sz val="11"/>
            <rFont val="Calibri"/>
          </rPr>
          <t>OL 8 must prevent files with the setuid and setgid bit set from being executed on the /boot/efi directory.</t>
        </r>
      </text>
    </comment>
    <comment ref="U35" authorId="0" shapeId="0" xr:uid="{00000000-0006-0000-0A00-000010000000}">
      <text>
        <r>
          <rPr>
            <sz val="11"/>
            <rFont val="Calibri"/>
          </rPr>
          <t>OL 8 must prevent files with the setuid and setgid bit set from being executed on file systems that are used with removable media.</t>
        </r>
      </text>
    </comment>
    <comment ref="V35" authorId="0" shapeId="0" xr:uid="{00000000-0006-0000-0A00-000011000000}">
      <text>
        <r>
          <rPr>
            <sz val="11"/>
            <rFont val="Calibri"/>
          </rPr>
          <t>OL 8 must prevent files with the setuid and setgid bit set from being executed on file systems that are imported via Network File System (NFS).</t>
        </r>
      </text>
    </comment>
    <comment ref="W35" authorId="0" shapeId="0" xr:uid="{00000000-0006-0000-0A00-000012000000}">
      <text>
        <r>
          <rPr>
            <sz val="11"/>
            <rFont val="Calibri"/>
          </rPr>
          <t xml:space="preserve">OL 8 must disable the </t>
        </r>
        <r>
          <rPr>
            <sz val="11"/>
            <color rgb="FF000000"/>
            <rFont val="Calibri"/>
          </rPr>
          <t>"</t>
        </r>
        <r>
          <rPr>
            <b/>
            <sz val="11"/>
            <color rgb="FF000000"/>
            <rFont val="Calibri"/>
          </rPr>
          <t>kernel.core_pattern</t>
        </r>
        <r>
          <rPr>
            <sz val="11"/>
            <color rgb="FF000000"/>
            <rFont val="Calibri"/>
          </rPr>
          <t>"</t>
        </r>
        <r>
          <rPr>
            <sz val="11"/>
            <color rgb="FF000000"/>
            <rFont val="Calibri"/>
          </rPr>
          <t>.</t>
        </r>
      </text>
    </comment>
    <comment ref="X35" authorId="0" shapeId="0" xr:uid="{00000000-0006-0000-0A00-000013000000}">
      <text>
        <r>
          <rPr>
            <sz val="11"/>
            <rFont val="Calibri"/>
          </rPr>
          <t>OL 8 must disable acquiring, saving, and processing core dumps.</t>
        </r>
      </text>
    </comment>
    <comment ref="Y35" authorId="0" shapeId="0" xr:uid="{00000000-0006-0000-0A00-000014000000}">
      <text>
        <r>
          <rPr>
            <sz val="11"/>
            <rFont val="Calibri"/>
          </rPr>
          <t>OL 8 must disable core dumps for all users.</t>
        </r>
      </text>
    </comment>
    <comment ref="Z35" authorId="0" shapeId="0" xr:uid="{00000000-0006-0000-0A00-000015000000}">
      <text>
        <r>
          <rPr>
            <sz val="11"/>
            <rFont val="Calibri"/>
          </rPr>
          <t>OL 8 must disable storing core dumps.</t>
        </r>
      </text>
    </comment>
    <comment ref="AA35" authorId="0" shapeId="0" xr:uid="{00000000-0006-0000-0A00-000016000000}">
      <text>
        <r>
          <rPr>
            <sz val="11"/>
            <rFont val="Calibri"/>
          </rPr>
          <t>OL 8 must disable core dump backtraces.</t>
        </r>
      </text>
    </comment>
    <comment ref="AB35" authorId="0" shapeId="0" xr:uid="{00000000-0006-0000-0A00-000017000000}">
      <text>
        <r>
          <rPr>
            <sz val="11"/>
            <rFont val="Calibri"/>
          </rPr>
          <t>Unattended or automatic logon via the OL 8 graphical user interface must not be allowed.</t>
        </r>
      </text>
    </comment>
    <comment ref="AC35" authorId="0" shapeId="0" xr:uid="{00000000-0006-0000-0A00-000018000000}">
      <text>
        <r>
          <rPr>
            <sz val="11"/>
            <rFont val="Calibri"/>
          </rPr>
          <t>OL 8 must disable the user list at logon for graphical user interfaces.</t>
        </r>
      </text>
    </comment>
    <comment ref="AD35" authorId="0" shapeId="0" xr:uid="{00000000-0006-0000-0A00-000019000000}">
      <text>
        <r>
          <rPr>
            <sz val="11"/>
            <rFont val="Calibri"/>
          </rPr>
          <t>OL 8 must not have the telnet-server package installed.</t>
        </r>
      </text>
    </comment>
    <comment ref="AE35" authorId="0" shapeId="0" xr:uid="{00000000-0006-0000-0A00-00001A000000}">
      <text>
        <r>
          <rPr>
            <sz val="11"/>
            <rFont val="Calibri"/>
          </rPr>
          <t>OL 8 must not install packages from the Extra Packages for Enterprise Linux (EPEL) repository.</t>
        </r>
      </text>
    </comment>
    <comment ref="AF35" authorId="0" shapeId="0" xr:uid="{00000000-0006-0000-0A00-00001B000000}">
      <text>
        <r>
          <rPr>
            <sz val="11"/>
            <rFont val="Calibri"/>
          </rPr>
          <t>OL 8 must cover or disable the built-in or attached camera when not in use.</t>
        </r>
      </text>
    </comment>
    <comment ref="AG35" authorId="0" shapeId="0" xr:uid="{00000000-0006-0000-0A00-00001C000000}">
      <text>
        <r>
          <rPr>
            <sz val="11"/>
            <rFont val="Calibri"/>
          </rPr>
          <t>OL 8 must not have the asynchronous transfer mode (ATM) kernel module installed if not required for operational support.</t>
        </r>
      </text>
    </comment>
    <comment ref="AH35" authorId="0" shapeId="0" xr:uid="{00000000-0006-0000-0A00-00001D000000}">
      <text>
        <r>
          <rPr>
            <sz val="11"/>
            <rFont val="Calibri"/>
          </rPr>
          <t>OL 8 must not have the Controller Area Network (CAN) kernel module installed if not required for operational support.</t>
        </r>
      </text>
    </comment>
    <comment ref="AI35" authorId="0" shapeId="0" xr:uid="{00000000-0006-0000-0A00-00001E000000}">
      <text>
        <r>
          <rPr>
            <sz val="11"/>
            <rFont val="Calibri"/>
          </rPr>
          <t>OL 8 must not have the stream control transmission protocol (SCTP) kernel module installed if not required for operational support.</t>
        </r>
      </text>
    </comment>
    <comment ref="AJ35" authorId="0" shapeId="0" xr:uid="{00000000-0006-0000-0A00-00001F000000}">
      <text>
        <r>
          <rPr>
            <sz val="11"/>
            <rFont val="Calibri"/>
          </rPr>
          <t>OL 8 must disable the transparent inter-process communication (TIPC) protocol.</t>
        </r>
      </text>
    </comment>
    <comment ref="AK35" authorId="0" shapeId="0" xr:uid="{00000000-0006-0000-0A00-000020000000}">
      <text>
        <r>
          <rPr>
            <sz val="11"/>
            <rFont val="Calibri"/>
          </rPr>
          <t>OL 8 must disable mounting of cramfs.</t>
        </r>
      </text>
    </comment>
    <comment ref="AL35" authorId="0" shapeId="0" xr:uid="{00000000-0006-0000-0A00-000021000000}">
      <text>
        <r>
          <rPr>
            <sz val="11"/>
            <rFont val="Calibri"/>
          </rPr>
          <t>OL 8 must disable IEEE 1394 (FireWire) Support.</t>
        </r>
      </text>
    </comment>
    <comment ref="AM35" authorId="0" shapeId="0" xr:uid="{00000000-0006-0000-0A00-000022000000}">
      <text>
        <r>
          <rPr>
            <sz val="11"/>
            <rFont val="Calibri"/>
          </rPr>
          <t>The OL 8 file system automounter must be disabled.</t>
        </r>
      </text>
    </comment>
    <comment ref="AN35" authorId="0" shapeId="0" xr:uid="{00000000-0006-0000-0A00-000023000000}">
      <text>
        <r>
          <rPr>
            <sz val="11"/>
            <rFont val="Calibri"/>
          </rPr>
          <t>OL 8 must be configured to disable the ability to use USB mass storage devices.</t>
        </r>
      </text>
    </comment>
    <comment ref="AO35" authorId="0" shapeId="0" xr:uid="{00000000-0006-0000-0A00-000024000000}">
      <text>
        <r>
          <rPr>
            <sz val="11"/>
            <rFont val="Calibri"/>
          </rPr>
          <t>OL 8 wireless network adapters must be disabled.</t>
        </r>
      </text>
    </comment>
    <comment ref="AP35" authorId="0" shapeId="0" xr:uid="{00000000-0006-0000-0A00-000025000000}">
      <text>
        <r>
          <rPr>
            <sz val="11"/>
            <rFont val="Calibri"/>
          </rPr>
          <t>OL 8 Bluetooth must be disabled.</t>
        </r>
      </text>
    </comment>
    <comment ref="AQ35" authorId="0" shapeId="0" xr:uid="{00000000-0006-0000-0A00-000026000000}">
      <text>
        <r>
          <rPr>
            <sz val="11"/>
            <rFont val="Calibri"/>
          </rPr>
          <t xml:space="preserve">OL 8 must mount </t>
        </r>
        <r>
          <rPr>
            <sz val="11"/>
            <color rgb="FF000000"/>
            <rFont val="Calibri"/>
          </rPr>
          <t>"</t>
        </r>
        <r>
          <rPr>
            <b/>
            <sz val="11"/>
            <color rgb="FF000000"/>
            <rFont val="Calibri"/>
          </rPr>
          <t>/dev/shm</t>
        </r>
        <r>
          <rPr>
            <sz val="11"/>
            <color rgb="FF000000"/>
            <rFont val="Calibri"/>
          </rPr>
          <t>"</t>
        </r>
        <r>
          <rPr>
            <sz val="11"/>
            <color rgb="FF000000"/>
            <rFont val="Calibri"/>
          </rPr>
          <t xml:space="preserve"> with the </t>
        </r>
        <r>
          <rPr>
            <sz val="11"/>
            <color rgb="FF000000"/>
            <rFont val="Calibri"/>
          </rPr>
          <t>"</t>
        </r>
        <r>
          <rPr>
            <b/>
            <sz val="11"/>
            <color rgb="FF000000"/>
            <rFont val="Calibri"/>
          </rPr>
          <t>nodev</t>
        </r>
        <r>
          <rPr>
            <sz val="11"/>
            <color rgb="FF000000"/>
            <rFont val="Calibri"/>
          </rPr>
          <t>"</t>
        </r>
        <r>
          <rPr>
            <sz val="11"/>
            <color rgb="FF000000"/>
            <rFont val="Calibri"/>
          </rPr>
          <t xml:space="preserve"> option.</t>
        </r>
      </text>
    </comment>
    <comment ref="AR35" authorId="0" shapeId="0" xr:uid="{00000000-0006-0000-0A00-000027000000}">
      <text>
        <r>
          <rPr>
            <sz val="11"/>
            <rFont val="Calibri"/>
          </rPr>
          <t xml:space="preserve">OL 8 must mount </t>
        </r>
        <r>
          <rPr>
            <sz val="11"/>
            <color rgb="FF000000"/>
            <rFont val="Calibri"/>
          </rPr>
          <t>"</t>
        </r>
        <r>
          <rPr>
            <b/>
            <sz val="11"/>
            <color rgb="FF000000"/>
            <rFont val="Calibri"/>
          </rPr>
          <t>/dev/shm</t>
        </r>
        <r>
          <rPr>
            <sz val="11"/>
            <color rgb="FF000000"/>
            <rFont val="Calibri"/>
          </rPr>
          <t>"</t>
        </r>
        <r>
          <rPr>
            <sz val="11"/>
            <color rgb="FF000000"/>
            <rFont val="Calibri"/>
          </rPr>
          <t xml:space="preserve"> with the </t>
        </r>
        <r>
          <rPr>
            <sz val="11"/>
            <color rgb="FF000000"/>
            <rFont val="Calibri"/>
          </rPr>
          <t>"</t>
        </r>
        <r>
          <rPr>
            <b/>
            <sz val="11"/>
            <color rgb="FF000000"/>
            <rFont val="Calibri"/>
          </rPr>
          <t>nosuid</t>
        </r>
        <r>
          <rPr>
            <sz val="11"/>
            <color rgb="FF000000"/>
            <rFont val="Calibri"/>
          </rPr>
          <t>"</t>
        </r>
        <r>
          <rPr>
            <sz val="11"/>
            <color rgb="FF000000"/>
            <rFont val="Calibri"/>
          </rPr>
          <t xml:space="preserve"> option.</t>
        </r>
      </text>
    </comment>
    <comment ref="AS35" authorId="0" shapeId="0" xr:uid="{00000000-0006-0000-0A00-000028000000}">
      <text>
        <r>
          <rPr>
            <sz val="11"/>
            <rFont val="Calibri"/>
          </rPr>
          <t xml:space="preserve">OL 8 must mount </t>
        </r>
        <r>
          <rPr>
            <sz val="11"/>
            <color rgb="FF000000"/>
            <rFont val="Calibri"/>
          </rPr>
          <t>"</t>
        </r>
        <r>
          <rPr>
            <b/>
            <sz val="11"/>
            <color rgb="FF000000"/>
            <rFont val="Calibri"/>
          </rPr>
          <t>/dev/shm</t>
        </r>
        <r>
          <rPr>
            <sz val="11"/>
            <color rgb="FF000000"/>
            <rFont val="Calibri"/>
          </rPr>
          <t>"</t>
        </r>
        <r>
          <rPr>
            <sz val="11"/>
            <color rgb="FF000000"/>
            <rFont val="Calibri"/>
          </rPr>
          <t xml:space="preserve"> with the </t>
        </r>
        <r>
          <rPr>
            <sz val="11"/>
            <color rgb="FF000000"/>
            <rFont val="Calibri"/>
          </rPr>
          <t>"</t>
        </r>
        <r>
          <rPr>
            <b/>
            <sz val="11"/>
            <color rgb="FF000000"/>
            <rFont val="Calibri"/>
          </rPr>
          <t>noexec</t>
        </r>
        <r>
          <rPr>
            <sz val="11"/>
            <color rgb="FF000000"/>
            <rFont val="Calibri"/>
          </rPr>
          <t>"</t>
        </r>
        <r>
          <rPr>
            <sz val="11"/>
            <color rgb="FF000000"/>
            <rFont val="Calibri"/>
          </rPr>
          <t xml:space="preserve"> option.</t>
        </r>
      </text>
    </comment>
    <comment ref="AT35" authorId="0" shapeId="0" xr:uid="{00000000-0006-0000-0A00-000029000000}">
      <text>
        <r>
          <rPr>
            <sz val="11"/>
            <rFont val="Calibri"/>
          </rPr>
          <t xml:space="preserve">OL 8 must mount </t>
        </r>
        <r>
          <rPr>
            <sz val="11"/>
            <color rgb="FF000000"/>
            <rFont val="Calibri"/>
          </rPr>
          <t>"</t>
        </r>
        <r>
          <rPr>
            <b/>
            <sz val="11"/>
            <color rgb="FF000000"/>
            <rFont val="Calibri"/>
          </rPr>
          <t>/tmp</t>
        </r>
        <r>
          <rPr>
            <sz val="11"/>
            <color rgb="FF000000"/>
            <rFont val="Calibri"/>
          </rPr>
          <t>"</t>
        </r>
        <r>
          <rPr>
            <sz val="11"/>
            <color rgb="FF000000"/>
            <rFont val="Calibri"/>
          </rPr>
          <t xml:space="preserve"> with the </t>
        </r>
        <r>
          <rPr>
            <sz val="11"/>
            <color rgb="FF000000"/>
            <rFont val="Calibri"/>
          </rPr>
          <t>"</t>
        </r>
        <r>
          <rPr>
            <b/>
            <sz val="11"/>
            <color rgb="FF000000"/>
            <rFont val="Calibri"/>
          </rPr>
          <t>nodev</t>
        </r>
        <r>
          <rPr>
            <sz val="11"/>
            <color rgb="FF000000"/>
            <rFont val="Calibri"/>
          </rPr>
          <t>"</t>
        </r>
        <r>
          <rPr>
            <sz val="11"/>
            <color rgb="FF000000"/>
            <rFont val="Calibri"/>
          </rPr>
          <t xml:space="preserve"> option.</t>
        </r>
      </text>
    </comment>
    <comment ref="AU35" authorId="0" shapeId="0" xr:uid="{00000000-0006-0000-0A00-00002A000000}">
      <text>
        <r>
          <rPr>
            <sz val="11"/>
            <rFont val="Calibri"/>
          </rPr>
          <t xml:space="preserve">OL 8 must mount </t>
        </r>
        <r>
          <rPr>
            <sz val="11"/>
            <color rgb="FF000000"/>
            <rFont val="Calibri"/>
          </rPr>
          <t>"</t>
        </r>
        <r>
          <rPr>
            <b/>
            <sz val="11"/>
            <color rgb="FF000000"/>
            <rFont val="Calibri"/>
          </rPr>
          <t>/tmp</t>
        </r>
        <r>
          <rPr>
            <sz val="11"/>
            <color rgb="FF000000"/>
            <rFont val="Calibri"/>
          </rPr>
          <t>"</t>
        </r>
        <r>
          <rPr>
            <sz val="11"/>
            <color rgb="FF000000"/>
            <rFont val="Calibri"/>
          </rPr>
          <t xml:space="preserve"> with the </t>
        </r>
        <r>
          <rPr>
            <sz val="11"/>
            <color rgb="FF000000"/>
            <rFont val="Calibri"/>
          </rPr>
          <t>"</t>
        </r>
        <r>
          <rPr>
            <b/>
            <sz val="11"/>
            <color rgb="FF000000"/>
            <rFont val="Calibri"/>
          </rPr>
          <t>nosuid</t>
        </r>
        <r>
          <rPr>
            <sz val="11"/>
            <color rgb="FF000000"/>
            <rFont val="Calibri"/>
          </rPr>
          <t>"</t>
        </r>
        <r>
          <rPr>
            <sz val="11"/>
            <color rgb="FF000000"/>
            <rFont val="Calibri"/>
          </rPr>
          <t xml:space="preserve"> option.</t>
        </r>
      </text>
    </comment>
    <comment ref="AV35" authorId="0" shapeId="0" xr:uid="{00000000-0006-0000-0A00-00002B000000}">
      <text>
        <r>
          <rPr>
            <sz val="11"/>
            <rFont val="Calibri"/>
          </rPr>
          <t xml:space="preserve">OL 8 must mount </t>
        </r>
        <r>
          <rPr>
            <sz val="11"/>
            <color rgb="FF000000"/>
            <rFont val="Calibri"/>
          </rPr>
          <t>"</t>
        </r>
        <r>
          <rPr>
            <b/>
            <sz val="11"/>
            <color rgb="FF000000"/>
            <rFont val="Calibri"/>
          </rPr>
          <t>/tmp</t>
        </r>
        <r>
          <rPr>
            <sz val="11"/>
            <color rgb="FF000000"/>
            <rFont val="Calibri"/>
          </rPr>
          <t>"</t>
        </r>
        <r>
          <rPr>
            <sz val="11"/>
            <color rgb="FF000000"/>
            <rFont val="Calibri"/>
          </rPr>
          <t xml:space="preserve"> with the </t>
        </r>
        <r>
          <rPr>
            <sz val="11"/>
            <color rgb="FF000000"/>
            <rFont val="Calibri"/>
          </rPr>
          <t>"</t>
        </r>
        <r>
          <rPr>
            <b/>
            <sz val="11"/>
            <color rgb="FF000000"/>
            <rFont val="Calibri"/>
          </rPr>
          <t>noexec</t>
        </r>
        <r>
          <rPr>
            <sz val="11"/>
            <color rgb="FF000000"/>
            <rFont val="Calibri"/>
          </rPr>
          <t>"</t>
        </r>
        <r>
          <rPr>
            <sz val="11"/>
            <color rgb="FF000000"/>
            <rFont val="Calibri"/>
          </rPr>
          <t xml:space="preserve"> option.</t>
        </r>
      </text>
    </comment>
    <comment ref="AW35" authorId="0" shapeId="0" xr:uid="{00000000-0006-0000-0A00-00002C000000}">
      <text>
        <r>
          <rPr>
            <sz val="11"/>
            <rFont val="Calibri"/>
          </rPr>
          <t xml:space="preserve">OL 8 must mount </t>
        </r>
        <r>
          <rPr>
            <sz val="11"/>
            <color rgb="FF000000"/>
            <rFont val="Calibri"/>
          </rPr>
          <t>"</t>
        </r>
        <r>
          <rPr>
            <b/>
            <sz val="11"/>
            <color rgb="FF000000"/>
            <rFont val="Calibri"/>
          </rPr>
          <t>/var/log</t>
        </r>
        <r>
          <rPr>
            <sz val="11"/>
            <color rgb="FF000000"/>
            <rFont val="Calibri"/>
          </rPr>
          <t>"</t>
        </r>
        <r>
          <rPr>
            <sz val="11"/>
            <color rgb="FF000000"/>
            <rFont val="Calibri"/>
          </rPr>
          <t xml:space="preserve"> with the </t>
        </r>
        <r>
          <rPr>
            <sz val="11"/>
            <color rgb="FF000000"/>
            <rFont val="Calibri"/>
          </rPr>
          <t>"</t>
        </r>
        <r>
          <rPr>
            <b/>
            <sz val="11"/>
            <color rgb="FF000000"/>
            <rFont val="Calibri"/>
          </rPr>
          <t>nodev</t>
        </r>
        <r>
          <rPr>
            <sz val="11"/>
            <color rgb="FF000000"/>
            <rFont val="Calibri"/>
          </rPr>
          <t>"</t>
        </r>
        <r>
          <rPr>
            <sz val="11"/>
            <color rgb="FF000000"/>
            <rFont val="Calibri"/>
          </rPr>
          <t xml:space="preserve"> option.</t>
        </r>
      </text>
    </comment>
    <comment ref="AX35" authorId="0" shapeId="0" xr:uid="{00000000-0006-0000-0A00-00002D000000}">
      <text>
        <r>
          <rPr>
            <sz val="11"/>
            <rFont val="Calibri"/>
          </rPr>
          <t xml:space="preserve">OL 8 must mount </t>
        </r>
        <r>
          <rPr>
            <sz val="11"/>
            <color rgb="FF000000"/>
            <rFont val="Calibri"/>
          </rPr>
          <t>"</t>
        </r>
        <r>
          <rPr>
            <b/>
            <sz val="11"/>
            <color rgb="FF000000"/>
            <rFont val="Calibri"/>
          </rPr>
          <t>/var/log</t>
        </r>
        <r>
          <rPr>
            <sz val="11"/>
            <color rgb="FF000000"/>
            <rFont val="Calibri"/>
          </rPr>
          <t>"</t>
        </r>
        <r>
          <rPr>
            <sz val="11"/>
            <color rgb="FF000000"/>
            <rFont val="Calibri"/>
          </rPr>
          <t xml:space="preserve"> with the </t>
        </r>
        <r>
          <rPr>
            <sz val="11"/>
            <color rgb="FF000000"/>
            <rFont val="Calibri"/>
          </rPr>
          <t>"</t>
        </r>
        <r>
          <rPr>
            <b/>
            <sz val="11"/>
            <color rgb="FF000000"/>
            <rFont val="Calibri"/>
          </rPr>
          <t>nosuid</t>
        </r>
        <r>
          <rPr>
            <sz val="11"/>
            <color rgb="FF000000"/>
            <rFont val="Calibri"/>
          </rPr>
          <t>"</t>
        </r>
        <r>
          <rPr>
            <sz val="11"/>
            <color rgb="FF000000"/>
            <rFont val="Calibri"/>
          </rPr>
          <t xml:space="preserve"> option.</t>
        </r>
      </text>
    </comment>
    <comment ref="AY35" authorId="0" shapeId="0" xr:uid="{00000000-0006-0000-0A00-00002E000000}">
      <text>
        <r>
          <rPr>
            <sz val="11"/>
            <rFont val="Calibri"/>
          </rPr>
          <t xml:space="preserve">OL 8 must mount </t>
        </r>
        <r>
          <rPr>
            <sz val="11"/>
            <color rgb="FF000000"/>
            <rFont val="Calibri"/>
          </rPr>
          <t>"</t>
        </r>
        <r>
          <rPr>
            <b/>
            <sz val="11"/>
            <color rgb="FF000000"/>
            <rFont val="Calibri"/>
          </rPr>
          <t>/var/log</t>
        </r>
        <r>
          <rPr>
            <sz val="11"/>
            <color rgb="FF000000"/>
            <rFont val="Calibri"/>
          </rPr>
          <t>"</t>
        </r>
        <r>
          <rPr>
            <sz val="11"/>
            <color rgb="FF000000"/>
            <rFont val="Calibri"/>
          </rPr>
          <t xml:space="preserve"> with the </t>
        </r>
        <r>
          <rPr>
            <sz val="11"/>
            <color rgb="FF000000"/>
            <rFont val="Calibri"/>
          </rPr>
          <t>"</t>
        </r>
        <r>
          <rPr>
            <b/>
            <sz val="11"/>
            <color rgb="FF000000"/>
            <rFont val="Calibri"/>
          </rPr>
          <t>noexec</t>
        </r>
        <r>
          <rPr>
            <sz val="11"/>
            <color rgb="FF000000"/>
            <rFont val="Calibri"/>
          </rPr>
          <t>"</t>
        </r>
        <r>
          <rPr>
            <sz val="11"/>
            <color rgb="FF000000"/>
            <rFont val="Calibri"/>
          </rPr>
          <t xml:space="preserve"> option.</t>
        </r>
      </text>
    </comment>
    <comment ref="L37" authorId="0" shapeId="0" xr:uid="{00000000-0006-0000-0A00-000033000000}">
      <text>
        <r>
          <rPr>
            <sz val="11"/>
            <rFont val="Calibri"/>
          </rPr>
          <t>OL 8 operating systems booted with United Extensible Firmware Interface (UEFI) must require authentication upon booting into single-user mode and maintenance.</t>
        </r>
      </text>
    </comment>
    <comment ref="M37" authorId="0" shapeId="0" xr:uid="{00000000-0006-0000-0A00-000034000000}">
      <text>
        <r>
          <rPr>
            <sz val="11"/>
            <rFont val="Calibri"/>
          </rPr>
          <t>OL 8 operating systems booted with a BIOS must require authentication upon booting into single-user and maintenance modes.</t>
        </r>
      </text>
    </comment>
    <comment ref="N37" authorId="0" shapeId="0" xr:uid="{00000000-0006-0000-0A00-000035000000}">
      <text>
        <r>
          <rPr>
            <sz val="11"/>
            <rFont val="Calibri"/>
          </rPr>
          <t>OL 8 operating systems must require authentication upon booting into emergency mode.</t>
        </r>
      </text>
    </comment>
    <comment ref="O37" authorId="0" shapeId="0" xr:uid="{00000000-0006-0000-0A00-000036000000}">
      <text>
        <r>
          <rPr>
            <sz val="11"/>
            <rFont val="Calibri"/>
          </rPr>
          <t>A sticky bit must be set on all OL 8 public directories to prevent unauthorized and unintended information transferred via shared system resources.</t>
        </r>
      </text>
    </comment>
    <comment ref="P37" authorId="0" shapeId="0" xr:uid="{00000000-0006-0000-0A00-000037000000}">
      <text>
        <r>
          <rPr>
            <sz val="11"/>
            <rFont val="Calibri"/>
          </rPr>
          <t>OL 8 system commands must have mode 755 or less permissive.</t>
        </r>
      </text>
    </comment>
    <comment ref="Q37" authorId="0" shapeId="0" xr:uid="{00000000-0006-0000-0A00-000038000000}">
      <text>
        <r>
          <rPr>
            <sz val="11"/>
            <rFont val="Calibri"/>
          </rPr>
          <t>OL 8 system commands must be owned by root.</t>
        </r>
      </text>
    </comment>
    <comment ref="R37" authorId="0" shapeId="0" xr:uid="{00000000-0006-0000-0A00-000039000000}">
      <text>
        <r>
          <rPr>
            <sz val="11"/>
            <rFont val="Calibri"/>
          </rPr>
          <t>OL 8 system commands must be group-owned by root or a system account.</t>
        </r>
      </text>
    </comment>
    <comment ref="S37" authorId="0" shapeId="0" xr:uid="{00000000-0006-0000-0A00-00003A000000}">
      <text>
        <r>
          <rPr>
            <sz val="11"/>
            <rFont val="Calibri"/>
          </rPr>
          <t>OL 8 library files must have mode 755 or less permissive.</t>
        </r>
      </text>
    </comment>
    <comment ref="T37" authorId="0" shapeId="0" xr:uid="{00000000-0006-0000-0A00-00003B000000}">
      <text>
        <r>
          <rPr>
            <sz val="11"/>
            <rFont val="Calibri"/>
          </rPr>
          <t>OL 8 library files must be owned by root.</t>
        </r>
      </text>
    </comment>
    <comment ref="U37" authorId="0" shapeId="0" xr:uid="{00000000-0006-0000-0A00-00003C000000}">
      <text>
        <r>
          <rPr>
            <sz val="11"/>
            <rFont val="Calibri"/>
          </rPr>
          <t>OL 8 library files must be group-owned by root.</t>
        </r>
      </text>
    </comment>
    <comment ref="V37" authorId="0" shapeId="0" xr:uid="{00000000-0006-0000-0A00-00003D000000}">
      <text>
        <r>
          <rPr>
            <sz val="11"/>
            <rFont val="Calibri"/>
          </rPr>
          <t>OL 8 must clear the page allocator to prevent use-after-free attacks.</t>
        </r>
      </text>
    </comment>
    <comment ref="W37" authorId="0" shapeId="0" xr:uid="{00000000-0006-0000-0A00-00003E000000}">
      <text>
        <r>
          <rPr>
            <sz val="11"/>
            <rFont val="Calibri"/>
          </rPr>
          <t>OL 8 must clear memory when it is freed to prevent use-after-free attacks.</t>
        </r>
      </text>
    </comment>
    <comment ref="X37" authorId="0" shapeId="0" xr:uid="{00000000-0006-0000-0A00-00003F000000}">
      <text>
        <r>
          <rPr>
            <sz val="11"/>
            <rFont val="Calibri"/>
          </rPr>
          <t>OL 8 must implement address space layout randomization (ASLR) to protect its memory from unauthorized code execution.</t>
        </r>
      </text>
    </comment>
    <comment ref="Y37" authorId="0" shapeId="0" xr:uid="{00000000-0006-0000-0A00-000040000000}">
      <text>
        <r>
          <rPr>
            <sz val="11"/>
            <rFont val="Calibri"/>
          </rPr>
          <t>OL 8 must enable the SELinux targeted policy.</t>
        </r>
      </text>
    </comment>
    <comment ref="Z37" authorId="0" shapeId="0" xr:uid="{00000000-0006-0000-0A00-000041000000}">
      <text>
        <r>
          <rPr>
            <sz val="11"/>
            <rFont val="Calibri"/>
          </rPr>
          <t xml:space="preserve">The OL 8 SSH public host key files must have mode </t>
        </r>
        <r>
          <rPr>
            <sz val="11"/>
            <color rgb="FF000000"/>
            <rFont val="Calibri"/>
          </rPr>
          <t>"</t>
        </r>
        <r>
          <rPr>
            <b/>
            <sz val="11"/>
            <color rgb="FF000000"/>
            <rFont val="Calibri"/>
          </rPr>
          <t>0644</t>
        </r>
        <r>
          <rPr>
            <sz val="11"/>
            <color rgb="FF000000"/>
            <rFont val="Calibri"/>
          </rPr>
          <t>"</t>
        </r>
        <r>
          <rPr>
            <sz val="11"/>
            <color rgb="FF000000"/>
            <rFont val="Calibri"/>
          </rPr>
          <t xml:space="preserve"> or less permissive.</t>
        </r>
      </text>
    </comment>
    <comment ref="AA37" authorId="0" shapeId="0" xr:uid="{00000000-0006-0000-0A00-000042000000}">
      <text>
        <r>
          <rPr>
            <sz val="11"/>
            <rFont val="Calibri"/>
          </rPr>
          <t xml:space="preserve">The OL 8 SSH private host key files must have mode </t>
        </r>
        <r>
          <rPr>
            <sz val="11"/>
            <color rgb="FF000000"/>
            <rFont val="Calibri"/>
          </rPr>
          <t>"</t>
        </r>
        <r>
          <rPr>
            <b/>
            <sz val="11"/>
            <color rgb="FF000000"/>
            <rFont val="Calibri"/>
          </rPr>
          <t>0640</t>
        </r>
        <r>
          <rPr>
            <sz val="11"/>
            <color rgb="FF000000"/>
            <rFont val="Calibri"/>
          </rPr>
          <t>"</t>
        </r>
        <r>
          <rPr>
            <sz val="11"/>
            <color rgb="FF000000"/>
            <rFont val="Calibri"/>
          </rPr>
          <t xml:space="preserve"> or less permissive.</t>
        </r>
      </text>
    </comment>
    <comment ref="AB37" authorId="0" shapeId="0" xr:uid="{00000000-0006-0000-0A00-000043000000}">
      <text>
        <r>
          <rPr>
            <sz val="11"/>
            <rFont val="Calibri"/>
          </rPr>
          <t>The OL 8 SSH daemon must perform strict mode checking of home directory configuration files.</t>
        </r>
      </text>
    </comment>
    <comment ref="AC37" authorId="0" shapeId="0" xr:uid="{00000000-0006-0000-0A00-000044000000}">
      <text>
        <r>
          <rPr>
            <sz val="11"/>
            <rFont val="Calibri"/>
          </rPr>
          <t>OL 8 must prevent files with the setuid and setgid bit set from being executed on file systems that contain user home directories.</t>
        </r>
      </text>
    </comment>
    <comment ref="AD37" authorId="0" shapeId="0" xr:uid="{00000000-0006-0000-0A00-000045000000}">
      <text>
        <r>
          <rPr>
            <sz val="11"/>
            <rFont val="Calibri"/>
          </rPr>
          <t>OL 8 file systems that contain user home directories must not execute binary files.</t>
        </r>
      </text>
    </comment>
    <comment ref="AE37" authorId="0" shapeId="0" xr:uid="{00000000-0006-0000-0A00-000046000000}">
      <text>
        <r>
          <rPr>
            <sz val="11"/>
            <rFont val="Calibri"/>
          </rPr>
          <t>OL 8 file systems must not execute binary files that are imported via Network File System (NFS).</t>
        </r>
      </text>
    </comment>
    <comment ref="AF37" authorId="0" shapeId="0" xr:uid="{00000000-0006-0000-0A00-000047000000}">
      <text>
        <r>
          <rPr>
            <sz val="11"/>
            <rFont val="Calibri"/>
          </rPr>
          <t>OL 8 file systems must not interpret character or block special devices that are imported via Network File System (NFS).</t>
        </r>
      </text>
    </comment>
    <comment ref="AG37" authorId="0" shapeId="0" xr:uid="{00000000-0006-0000-0A00-000048000000}">
      <text>
        <r>
          <rPr>
            <sz val="11"/>
            <rFont val="Calibri"/>
          </rPr>
          <t>Executable search paths within the initialization files of all local interactive OL 8 users must only contain paths that resolve to the system default or the user</t>
        </r>
        <r>
          <rPr>
            <sz val="11"/>
            <color rgb="FF000000"/>
            <rFont val="Calibri"/>
          </rPr>
          <t>'</t>
        </r>
        <r>
          <rPr>
            <sz val="11"/>
            <color rgb="FF000000"/>
            <rFont val="Calibri"/>
          </rPr>
          <t>s home directory.</t>
        </r>
      </text>
    </comment>
    <comment ref="AH37" authorId="0" shapeId="0" xr:uid="{00000000-0006-0000-0A00-000049000000}">
      <text>
        <r>
          <rPr>
            <sz val="11"/>
            <rFont val="Calibri"/>
          </rPr>
          <t>All OL 8 world-writable directories must be owned by root, sys, bin, or an application user.</t>
        </r>
      </text>
    </comment>
    <comment ref="AI37" authorId="0" shapeId="0" xr:uid="{00000000-0006-0000-0A00-00004A000000}">
      <text>
        <r>
          <rPr>
            <sz val="11"/>
            <rFont val="Calibri"/>
          </rPr>
          <t>All OL 8 world-writable directories must be group-owned by root, sys, bin, or an application group.</t>
        </r>
      </text>
    </comment>
    <comment ref="AJ37" authorId="0" shapeId="0" xr:uid="{00000000-0006-0000-0A00-00004B000000}">
      <text>
        <r>
          <rPr>
            <sz val="11"/>
            <rFont val="Calibri"/>
          </rPr>
          <t xml:space="preserve">All OL 8 local interactive users must have a home directory assigned in the </t>
        </r>
        <r>
          <rPr>
            <sz val="11"/>
            <color rgb="FF000000"/>
            <rFont val="Calibri"/>
          </rPr>
          <t>"</t>
        </r>
        <r>
          <rPr>
            <b/>
            <sz val="11"/>
            <color rgb="FF000000"/>
            <rFont val="Calibri"/>
          </rPr>
          <t>/etc/passwd</t>
        </r>
        <r>
          <rPr>
            <sz val="11"/>
            <color rgb="FF000000"/>
            <rFont val="Calibri"/>
          </rPr>
          <t>"</t>
        </r>
        <r>
          <rPr>
            <sz val="11"/>
            <color rgb="FF000000"/>
            <rFont val="Calibri"/>
          </rPr>
          <t xml:space="preserve"> file.</t>
        </r>
      </text>
    </comment>
    <comment ref="AK37" authorId="0" shapeId="0" xr:uid="{00000000-0006-0000-0A00-00004C000000}">
      <text>
        <r>
          <rPr>
            <sz val="11"/>
            <rFont val="Calibri"/>
          </rPr>
          <t xml:space="preserve">All OL 8 local interactive user home directories must have mode </t>
        </r>
        <r>
          <rPr>
            <sz val="11"/>
            <color rgb="FF000000"/>
            <rFont val="Calibri"/>
          </rPr>
          <t>"</t>
        </r>
        <r>
          <rPr>
            <b/>
            <sz val="11"/>
            <color rgb="FF000000"/>
            <rFont val="Calibri"/>
          </rPr>
          <t>0750</t>
        </r>
        <r>
          <rPr>
            <sz val="11"/>
            <color rgb="FF000000"/>
            <rFont val="Calibri"/>
          </rPr>
          <t>"</t>
        </r>
        <r>
          <rPr>
            <sz val="11"/>
            <color rgb="FF000000"/>
            <rFont val="Calibri"/>
          </rPr>
          <t xml:space="preserve"> or less permissive.</t>
        </r>
      </text>
    </comment>
    <comment ref="AL37" authorId="0" shapeId="0" xr:uid="{00000000-0006-0000-0A00-00004D000000}">
      <text>
        <r>
          <rPr>
            <sz val="11"/>
            <rFont val="Calibri"/>
          </rPr>
          <t xml:space="preserve">All OL 8 local interactive user home directory files must have mode </t>
        </r>
        <r>
          <rPr>
            <sz val="11"/>
            <color rgb="FF000000"/>
            <rFont val="Calibri"/>
          </rPr>
          <t>"</t>
        </r>
        <r>
          <rPr>
            <b/>
            <sz val="11"/>
            <color rgb="FF000000"/>
            <rFont val="Calibri"/>
          </rPr>
          <t>0750</t>
        </r>
        <r>
          <rPr>
            <sz val="11"/>
            <color rgb="FF000000"/>
            <rFont val="Calibri"/>
          </rPr>
          <t>"</t>
        </r>
        <r>
          <rPr>
            <sz val="11"/>
            <color rgb="FF000000"/>
            <rFont val="Calibri"/>
          </rPr>
          <t xml:space="preserve"> or less permissive.</t>
        </r>
      </text>
    </comment>
    <comment ref="AM37" authorId="0" shapeId="0" xr:uid="{00000000-0006-0000-0A00-00004E000000}">
      <text>
        <r>
          <rPr>
            <sz val="11"/>
            <rFont val="Calibri"/>
          </rPr>
          <t>All OL 8 local interactive user home directories must be group-owned by the home directory owner</t>
        </r>
        <r>
          <rPr>
            <sz val="11"/>
            <color rgb="FF000000"/>
            <rFont val="Calibri"/>
          </rPr>
          <t>'</t>
        </r>
        <r>
          <rPr>
            <sz val="11"/>
            <color rgb="FF000000"/>
            <rFont val="Calibri"/>
          </rPr>
          <t>s primary group.</t>
        </r>
      </text>
    </comment>
    <comment ref="AN37" authorId="0" shapeId="0" xr:uid="{00000000-0006-0000-0A00-00004F000000}">
      <text>
        <r>
          <rPr>
            <sz val="11"/>
            <rFont val="Calibri"/>
          </rPr>
          <t>OL 8 must be configured so that all files and directories contained in local interactive user home directories are group-owned by a group of which the home directory owner is a member.</t>
        </r>
      </text>
    </comment>
    <comment ref="AO37" authorId="0" shapeId="0" xr:uid="{00000000-0006-0000-0A00-000050000000}">
      <text>
        <r>
          <rPr>
            <sz val="11"/>
            <rFont val="Calibri"/>
          </rPr>
          <t xml:space="preserve">All OL 8 local interactive user home directories defined in the </t>
        </r>
        <r>
          <rPr>
            <sz val="11"/>
            <color rgb="FF000000"/>
            <rFont val="Calibri"/>
          </rPr>
          <t>"</t>
        </r>
        <r>
          <rPr>
            <b/>
            <sz val="11"/>
            <color rgb="FF000000"/>
            <rFont val="Calibri"/>
          </rPr>
          <t>/etc/passwd</t>
        </r>
        <r>
          <rPr>
            <sz val="11"/>
            <color rgb="FF000000"/>
            <rFont val="Calibri"/>
          </rPr>
          <t>"</t>
        </r>
        <r>
          <rPr>
            <sz val="11"/>
            <color rgb="FF000000"/>
            <rFont val="Calibri"/>
          </rPr>
          <t xml:space="preserve"> file must exist.</t>
        </r>
      </text>
    </comment>
    <comment ref="AP37" authorId="0" shapeId="0" xr:uid="{00000000-0006-0000-0A00-000051000000}">
      <text>
        <r>
          <rPr>
            <sz val="11"/>
            <rFont val="Calibri"/>
          </rPr>
          <t>All OL 8 local interactive user accounts must be assigned a home directory upon creation.</t>
        </r>
      </text>
    </comment>
    <comment ref="AQ37" authorId="0" shapeId="0" xr:uid="{00000000-0006-0000-0A00-000052000000}">
      <text>
        <r>
          <rPr>
            <sz val="11"/>
            <rFont val="Calibri"/>
          </rPr>
          <t xml:space="preserve">A separate OL 8 filesystem must be used for user home directories (such as </t>
        </r>
        <r>
          <rPr>
            <sz val="11"/>
            <color rgb="FF000000"/>
            <rFont val="Calibri"/>
          </rPr>
          <t>"</t>
        </r>
        <r>
          <rPr>
            <b/>
            <sz val="11"/>
            <color rgb="FF000000"/>
            <rFont val="Calibri"/>
          </rPr>
          <t>/home</t>
        </r>
        <r>
          <rPr>
            <sz val="11"/>
            <color rgb="FF000000"/>
            <rFont val="Calibri"/>
          </rPr>
          <t>"</t>
        </r>
        <r>
          <rPr>
            <sz val="11"/>
            <color rgb="FF000000"/>
            <rFont val="Calibri"/>
          </rPr>
          <t xml:space="preserve"> or an equivalent).</t>
        </r>
      </text>
    </comment>
    <comment ref="AR37" authorId="0" shapeId="0" xr:uid="{00000000-0006-0000-0A00-000053000000}">
      <text>
        <r>
          <rPr>
            <sz val="11"/>
            <rFont val="Calibri"/>
          </rPr>
          <t>OL 8 must not allow users to override SSH environment variables.</t>
        </r>
      </text>
    </comment>
    <comment ref="AS37" authorId="0" shapeId="0" xr:uid="{00000000-0006-0000-0A00-000054000000}">
      <text>
        <r>
          <rPr>
            <sz val="11"/>
            <rFont val="Calibri"/>
          </rPr>
          <t>OL 8 systems, versions 8.2 and above, must configure SELinux context type to allow the use of a non-default faillock tally directory.</t>
        </r>
      </text>
    </comment>
    <comment ref="AT37" authorId="0" shapeId="0" xr:uid="{00000000-0006-0000-0A00-000055000000}">
      <text>
        <r>
          <rPr>
            <sz val="11"/>
            <rFont val="Calibri"/>
          </rPr>
          <t>OL 8 systems below version 8.2 must configure SELinux context type to allow the use of a non-default faillock tally directory.</t>
        </r>
      </text>
    </comment>
    <comment ref="AU37" authorId="0" shapeId="0" xr:uid="{00000000-0006-0000-0A00-000056000000}">
      <text>
        <r>
          <rPr>
            <sz val="11"/>
            <rFont val="Calibri"/>
          </rPr>
          <t>OL 8 default permissions must be defined in such a way that all authenticated users can read and modify only their own files.</t>
        </r>
      </text>
    </comment>
    <comment ref="AV37" authorId="0" shapeId="0" xr:uid="{00000000-0006-0000-0A00-000057000000}">
      <text>
        <r>
          <rPr>
            <sz val="11"/>
            <rFont val="Calibri"/>
          </rPr>
          <t>OL 8 must set the umask value to 077 for all local interactive user accounts.</t>
        </r>
      </text>
    </comment>
    <comment ref="AW37" authorId="0" shapeId="0" xr:uid="{00000000-0006-0000-0A00-000058000000}">
      <text>
        <r>
          <rPr>
            <sz val="11"/>
            <rFont val="Calibri"/>
          </rPr>
          <t>OL 8 must define default permissions for logon and non-logon shells.</t>
        </r>
      </text>
    </comment>
    <comment ref="AX37" authorId="0" shapeId="0" xr:uid="{00000000-0006-0000-0A00-000059000000}">
      <text>
        <r>
          <rPr>
            <sz val="11"/>
            <rFont val="Calibri"/>
          </rPr>
          <t>OL 8 must enable mitigations against processor-based vulnerabilities.</t>
        </r>
      </text>
    </comment>
    <comment ref="AY37" authorId="0" shapeId="0" xr:uid="{00000000-0006-0000-0A00-00005A000000}">
      <text>
        <r>
          <rPr>
            <sz val="11"/>
            <rFont val="Calibri"/>
          </rPr>
          <t xml:space="preserve">OL 8 must restrict the use of </t>
        </r>
        <r>
          <rPr>
            <sz val="11"/>
            <color rgb="FF000000"/>
            <rFont val="Calibri"/>
          </rPr>
          <t>"</t>
        </r>
        <r>
          <rPr>
            <b/>
            <sz val="11"/>
            <color rgb="FF000000"/>
            <rFont val="Calibri"/>
          </rPr>
          <t>ptrace</t>
        </r>
        <r>
          <rPr>
            <sz val="11"/>
            <color rgb="FF000000"/>
            <rFont val="Calibri"/>
          </rPr>
          <t>"</t>
        </r>
        <r>
          <rPr>
            <sz val="11"/>
            <color rgb="FF000000"/>
            <rFont val="Calibri"/>
          </rPr>
          <t xml:space="preserve"> to descendant processes.</t>
        </r>
      </text>
    </comment>
    <comment ref="L38" authorId="0" shapeId="0" xr:uid="{00000000-0006-0000-0A00-00005B000000}">
      <text>
        <r>
          <rPr>
            <sz val="11"/>
            <rFont val="Calibri"/>
          </rPr>
          <t>OL 8 must not have the telnet-server package installed.</t>
        </r>
      </text>
    </comment>
    <comment ref="M38" authorId="0" shapeId="0" xr:uid="{00000000-0006-0000-0A00-00005C000000}">
      <text>
        <r>
          <rPr>
            <sz val="11"/>
            <rFont val="Calibri"/>
          </rPr>
          <t>The OL 8 SSH server must be configured to use only Message Authentication Codes (MACs) employing FIPS 140-3 validated cryptographic hash algorithms to protect the confidentiality of SSH server connections.</t>
        </r>
      </text>
    </comment>
    <comment ref="L59" authorId="0" shapeId="0" xr:uid="{00000000-0006-0000-0A00-00005D000000}">
      <text>
        <r>
          <rPr>
            <sz val="11"/>
            <rFont val="Calibri"/>
          </rPr>
          <t>All OL 8 local disk partitions must implement cryptographic mechanisms to prevent unauthorized disclosure or modification of all information that requires at-rest protection.</t>
        </r>
      </text>
    </comment>
    <comment ref="L84" authorId="0" shapeId="0" xr:uid="{00000000-0006-0000-0A00-00005E000000}">
      <text>
        <r>
          <rPr>
            <sz val="11"/>
            <rFont val="Calibri"/>
          </rPr>
          <t>OL 8 must implement NIST FIPS-validated cryptography for the following: To provision digital signatures, to generate cryptographic hashes, and to protect data requiring data-at-rest protections in accordance with applicable federal laws, Executive Orders, directives, policies, regulations, and standards.</t>
        </r>
      </text>
    </comment>
    <comment ref="M84" authorId="0" shapeId="0" xr:uid="{00000000-0006-0000-0A00-00005F000000}">
      <text>
        <r>
          <rPr>
            <sz val="11"/>
            <rFont val="Calibri"/>
          </rPr>
          <t>OL 8 must encrypt all stored passwords with a FIPS 140-2 approved cryptographic hashing algorithm.</t>
        </r>
      </text>
    </comment>
    <comment ref="N84" authorId="0" shapeId="0" xr:uid="{00000000-0006-0000-0A00-000060000000}">
      <text>
        <r>
          <rPr>
            <sz val="11"/>
            <rFont val="Calibri"/>
          </rPr>
          <t>OL 8 must employ FIPS 140-2 approved cryptographic hashing algorithms for all stored passwords.</t>
        </r>
      </text>
    </comment>
    <comment ref="O84" authorId="0" shapeId="0" xr:uid="{00000000-0006-0000-0A00-000061000000}">
      <text>
        <r>
          <rPr>
            <sz val="11"/>
            <rFont val="Calibri"/>
          </rPr>
          <t xml:space="preserve">The OL 8 </t>
        </r>
        <r>
          <rPr>
            <sz val="11"/>
            <color rgb="FF000000"/>
            <rFont val="Calibri"/>
          </rPr>
          <t>"</t>
        </r>
        <r>
          <rPr>
            <b/>
            <sz val="11"/>
            <color rgb="FF000000"/>
            <rFont val="Calibri"/>
          </rPr>
          <t>pam_unix.so</t>
        </r>
        <r>
          <rPr>
            <sz val="11"/>
            <color rgb="FF000000"/>
            <rFont val="Calibri"/>
          </rPr>
          <t>"</t>
        </r>
        <r>
          <rPr>
            <sz val="11"/>
            <color rgb="FF000000"/>
            <rFont val="Calibri"/>
          </rPr>
          <t xml:space="preserve"> module must be configured in the system-auth file to use a FIPS 140-2 approved cryptographic hashing algorithm for system authentication.</t>
        </r>
      </text>
    </comment>
    <comment ref="P84" authorId="0" shapeId="0" xr:uid="{00000000-0006-0000-0A00-000062000000}">
      <text>
        <r>
          <rPr>
            <sz val="11"/>
            <rFont val="Calibri"/>
          </rPr>
          <t xml:space="preserve">The OL 8 </t>
        </r>
        <r>
          <rPr>
            <sz val="11"/>
            <color rgb="FF000000"/>
            <rFont val="Calibri"/>
          </rPr>
          <t>"</t>
        </r>
        <r>
          <rPr>
            <b/>
            <sz val="11"/>
            <color rgb="FF000000"/>
            <rFont val="Calibri"/>
          </rPr>
          <t>pam_unix.so</t>
        </r>
        <r>
          <rPr>
            <sz val="11"/>
            <color rgb="FF000000"/>
            <rFont val="Calibri"/>
          </rPr>
          <t>"</t>
        </r>
        <r>
          <rPr>
            <sz val="11"/>
            <color rgb="FF000000"/>
            <rFont val="Calibri"/>
          </rPr>
          <t xml:space="preserve"> module must be configured in the password-auth file to use a FIPS 140-2 approved cryptographic hashing algorithm for system authentication.</t>
        </r>
      </text>
    </comment>
    <comment ref="Q84" authorId="0" shapeId="0" xr:uid="{00000000-0006-0000-0A00-000063000000}">
      <text>
        <r>
          <rPr>
            <sz val="11"/>
            <rFont val="Calibri"/>
          </rPr>
          <t>OL 8 must be configured so that all network connections associated with SSH traffic terminate after becoming unresponsive.</t>
        </r>
      </text>
    </comment>
    <comment ref="R84" authorId="0" shapeId="0" xr:uid="{00000000-0006-0000-0A00-000064000000}">
      <text>
        <r>
          <rPr>
            <sz val="11"/>
            <rFont val="Calibri"/>
          </rPr>
          <t>OL 8 must be configured so that all network connections associated with SSH traffic are terminated after 10 minutes of becoming unresponsive.</t>
        </r>
      </text>
    </comment>
    <comment ref="S84" authorId="0" shapeId="0" xr:uid="{00000000-0006-0000-0A00-000065000000}">
      <text>
        <r>
          <rPr>
            <sz val="11"/>
            <rFont val="Calibri"/>
          </rPr>
          <t>The OL 8 SSH server must be configured to use strong entropy.</t>
        </r>
      </text>
    </comment>
    <comment ref="T84" authorId="0" shapeId="0" xr:uid="{00000000-0006-0000-0A00-000066000000}">
      <text>
        <r>
          <rPr>
            <sz val="11"/>
            <rFont val="Calibri"/>
          </rPr>
          <t>All OL 8 networked systems must have SSH installed.</t>
        </r>
      </text>
    </comment>
    <comment ref="U84" authorId="0" shapeId="0" xr:uid="{00000000-0006-0000-0A00-000067000000}">
      <text>
        <r>
          <rPr>
            <sz val="11"/>
            <rFont val="Calibri"/>
          </rPr>
          <t>All OL 8 networked systems must have and implement SSH to protect the confidentiality and integrity of transmitted and received information, as well as information during preparation for transmission.</t>
        </r>
      </text>
    </comment>
    <comment ref="V84" authorId="0" shapeId="0" xr:uid="{00000000-0006-0000-0A00-000068000000}">
      <text>
        <r>
          <rPr>
            <sz val="11"/>
            <rFont val="Calibri"/>
          </rPr>
          <t>OL 8 must force a frequent session key renegotiation for SSH connections to the server.</t>
        </r>
      </text>
    </comment>
    <comment ref="W84" authorId="0" shapeId="0" xr:uid="{00000000-0006-0000-0A00-000069000000}">
      <text>
        <r>
          <rPr>
            <sz val="11"/>
            <rFont val="Calibri"/>
          </rPr>
          <t>OL 8 must have the crypto-policies package installed.</t>
        </r>
      </text>
    </comment>
    <comment ref="X84" authorId="0" shapeId="0" xr:uid="{00000000-0006-0000-0A00-00006A000000}">
      <text>
        <r>
          <rPr>
            <sz val="11"/>
            <rFont val="Calibri"/>
          </rPr>
          <t>OL 8 must implement a FIPS 140-3-compliant systemwide cryptographic policy.</t>
        </r>
      </text>
    </comment>
    <comment ref="Y84" authorId="0" shapeId="0" xr:uid="{00000000-0006-0000-0A00-00006B000000}">
      <text>
        <r>
          <rPr>
            <sz val="11"/>
            <rFont val="Calibri"/>
          </rPr>
          <t>OL 8 must implement NIST FIPS-validated cryptography for the following: To provision digital signatures, to generate cryptographic hashes, and to protect data requiring data-at-rest protections in accordance with applicable federal laws, Executive Orders, directives, policies, regulations, and standards.</t>
        </r>
      </text>
    </comment>
    <comment ref="Z84" authorId="0" shapeId="0" xr:uid="{00000000-0006-0000-0A00-00006C000000}">
      <text>
        <r>
          <rPr>
            <sz val="11"/>
            <rFont val="Calibri"/>
          </rPr>
          <t>OL 8 cryptographic policy must not be overridden.</t>
        </r>
      </text>
    </comment>
    <comment ref="AA84" authorId="0" shapeId="0" xr:uid="{00000000-0006-0000-0A00-00006D000000}">
      <text>
        <r>
          <rPr>
            <sz val="11"/>
            <rFont val="Calibri"/>
          </rPr>
          <t>The OL 8 SSH client must be configured to use only DOD-approved encryption ciphers employing FIPS 140-3-validated cryptographic hash algorithms to protect the confidentiality of SSH client connections.</t>
        </r>
      </text>
    </comment>
    <comment ref="AB84" authorId="0" shapeId="0" xr:uid="{00000000-0006-0000-0A00-00006E000000}">
      <text>
        <r>
          <rPr>
            <sz val="11"/>
            <rFont val="Calibri"/>
          </rPr>
          <t>The OL 8 SSH client must be configured to use only DOD-approved Message Authentication Codes (MACs) employing FIPS 140-3-validated cryptographic hash algorithms to protect the confidentiality of SSH client connections.</t>
        </r>
      </text>
    </comment>
    <comment ref="AC84" authorId="0" shapeId="0" xr:uid="{00000000-0006-0000-0A00-00006F000000}">
      <text>
        <r>
          <rPr>
            <sz val="11"/>
            <rFont val="Calibri"/>
          </rPr>
          <t>OL 8 IP tunnels must use FIPS 140-3-approved cryptographic algorithms.</t>
        </r>
      </text>
    </comment>
    <comment ref="AD84" authorId="0" shapeId="0" xr:uid="{00000000-0006-0000-0A00-000070000000}">
      <text>
        <r>
          <rPr>
            <sz val="11"/>
            <rFont val="Calibri"/>
          </rPr>
          <t>OL 8 must implement DOD-approved encryption in the bind package.</t>
        </r>
      </text>
    </comment>
    <comment ref="AE84" authorId="0" shapeId="0" xr:uid="{00000000-0006-0000-0A00-000071000000}">
      <text>
        <r>
          <rPr>
            <sz val="11"/>
            <rFont val="Calibri"/>
          </rPr>
          <t>The OL 8 SSH server must be configured to use only DOD-approved encryption ciphers employing FIPS 140-3 validated cryptographic hash algorithms to protect the confidentiality of SSH server connections.</t>
        </r>
      </text>
    </comment>
    <comment ref="L115" authorId="0" shapeId="0" xr:uid="{00000000-0006-0000-0A00-000072000000}">
      <text>
        <r>
          <rPr>
            <sz val="11"/>
            <rFont val="Calibri"/>
          </rPr>
          <t>OL 8 must be a vendor-supported release.</t>
        </r>
      </text>
    </comment>
    <comment ref="M115" authorId="0" shapeId="0" xr:uid="{00000000-0006-0000-0A00-000073000000}">
      <text>
        <r>
          <rPr>
            <sz val="11"/>
            <rFont val="Calibri"/>
          </rPr>
          <t>YUM must be configured to prevent the installation of patches, service packs, device drivers, or OL 8 system components that have not been digitally signed using a certificate that is recognized and approved by the organization.</t>
        </r>
      </text>
    </comment>
    <comment ref="L119" authorId="0" shapeId="0" xr:uid="{00000000-0006-0000-0A00-000074000000}">
      <text>
        <r>
          <rPr>
            <sz val="11"/>
            <rFont val="Calibri"/>
          </rPr>
          <t>OL 8 vendor-packaged system security patches and updates must be installed and up to date.</t>
        </r>
      </text>
    </comment>
    <comment ref="M119" authorId="0" shapeId="0" xr:uid="{00000000-0006-0000-0A00-000075000000}">
      <text>
        <r>
          <rPr>
            <sz val="11"/>
            <rFont val="Calibri"/>
          </rPr>
          <t xml:space="preserve">OL 8 must have the </t>
        </r>
        <r>
          <rPr>
            <sz val="11"/>
            <color rgb="FF000000"/>
            <rFont val="Calibri"/>
          </rPr>
          <t>"</t>
        </r>
        <r>
          <rPr>
            <b/>
            <sz val="11"/>
            <color rgb="FF000000"/>
            <rFont val="Calibri"/>
          </rPr>
          <t>policycoreutils</t>
        </r>
        <r>
          <rPr>
            <sz val="11"/>
            <color rgb="FF000000"/>
            <rFont val="Calibri"/>
          </rPr>
          <t>"</t>
        </r>
        <r>
          <rPr>
            <sz val="11"/>
            <color rgb="FF000000"/>
            <rFont val="Calibri"/>
          </rPr>
          <t xml:space="preserve"> package installed.</t>
        </r>
      </text>
    </comment>
    <comment ref="L138" authorId="0" shapeId="0" xr:uid="{00000000-0006-0000-0A00-000076000000}">
      <text>
        <r>
          <rPr>
            <sz val="11"/>
            <rFont val="Calibri"/>
          </rPr>
          <t>OL 8 must require users to provide a password for privilege escalation.</t>
        </r>
      </text>
    </comment>
    <comment ref="M138" authorId="0" shapeId="0" xr:uid="{00000000-0006-0000-0A00-000077000000}">
      <text>
        <r>
          <rPr>
            <sz val="11"/>
            <rFont val="Calibri"/>
          </rPr>
          <t>OL 8 must require users to reauthenticate for privilege escalation and changing roles.</t>
        </r>
      </text>
    </comment>
    <comment ref="N138" authorId="0" shapeId="0" xr:uid="{00000000-0006-0000-0A00-000078000000}">
      <text>
        <r>
          <rPr>
            <sz val="11"/>
            <rFont val="Calibri"/>
          </rPr>
          <t>The OL 8 operating system must not be configured to bypass password requirements for privilege escalation.</t>
        </r>
      </text>
    </comment>
    <comment ref="L144" authorId="0" shapeId="0" xr:uid="{00000000-0006-0000-0A00-000079000000}">
      <text>
        <r>
          <rPr>
            <sz val="11"/>
            <rFont val="Calibri"/>
          </rPr>
          <t>OL 8 must restrict privilege elevation to authorized personnel.</t>
        </r>
      </text>
    </comment>
    <comment ref="M144" authorId="0" shapeId="0" xr:uid="{00000000-0006-0000-0A00-00007A000000}">
      <text>
        <r>
          <rPr>
            <sz val="11"/>
            <rFont val="Calibri"/>
          </rPr>
          <t>OL 8 must use the invoking user</t>
        </r>
        <r>
          <rPr>
            <sz val="11"/>
            <color rgb="FF000000"/>
            <rFont val="Calibri"/>
          </rPr>
          <t>'</t>
        </r>
        <r>
          <rPr>
            <sz val="11"/>
            <color rgb="FF000000"/>
            <rFont val="Calibri"/>
          </rPr>
          <t xml:space="preserve">s password for privilege escalation when using </t>
        </r>
        <r>
          <rPr>
            <sz val="11"/>
            <color rgb="FF000000"/>
            <rFont val="Calibri"/>
          </rPr>
          <t>"</t>
        </r>
        <r>
          <rPr>
            <b/>
            <sz val="11"/>
            <color rgb="FF000000"/>
            <rFont val="Calibri"/>
          </rPr>
          <t>sudo</t>
        </r>
        <r>
          <rPr>
            <sz val="11"/>
            <color rgb="FF000000"/>
            <rFont val="Calibri"/>
          </rPr>
          <t>"</t>
        </r>
        <r>
          <rPr>
            <sz val="11"/>
            <color rgb="FF000000"/>
            <rFont val="Calibri"/>
          </rPr>
          <t>.</t>
        </r>
      </text>
    </comment>
    <comment ref="N144" authorId="0" shapeId="0" xr:uid="{00000000-0006-0000-0A00-00007B000000}">
      <text>
        <r>
          <rPr>
            <sz val="11"/>
            <rFont val="Calibri"/>
          </rPr>
          <t>OL 8 must prevent nonprivileged users from executing privileged functions, including disabling, circumventing, or altering implemented security safeguards/countermeasures.</t>
        </r>
      </text>
    </comment>
    <comment ref="O144" authorId="0" shapeId="0" xr:uid="{00000000-0006-0000-0A00-00007C000000}">
      <text>
        <r>
          <rPr>
            <sz val="11"/>
            <rFont val="Calibri"/>
          </rPr>
          <t xml:space="preserve">OL 8 must specify the default </t>
        </r>
        <r>
          <rPr>
            <sz val="11"/>
            <color rgb="FF000000"/>
            <rFont val="Calibri"/>
          </rPr>
          <t>"</t>
        </r>
        <r>
          <rPr>
            <b/>
            <sz val="11"/>
            <color rgb="FF000000"/>
            <rFont val="Calibri"/>
          </rPr>
          <t>include</t>
        </r>
        <r>
          <rPr>
            <sz val="11"/>
            <color rgb="FF000000"/>
            <rFont val="Calibri"/>
          </rPr>
          <t>"</t>
        </r>
        <r>
          <rPr>
            <sz val="11"/>
            <color rgb="FF000000"/>
            <rFont val="Calibri"/>
          </rPr>
          <t xml:space="preserve"> directory for the /etc/sudoers file.</t>
        </r>
      </text>
    </comment>
    <comment ref="L152" authorId="0" shapeId="0" xr:uid="{00000000-0006-0000-0A00-00007D000000}">
      <text>
        <r>
          <rPr>
            <sz val="11"/>
            <rFont val="Calibri"/>
          </rPr>
          <t>OL 8 must not permit direct logons to the root account using remote access via SSH.</t>
        </r>
      </text>
    </comment>
    <comment ref="M152" authorId="0" shapeId="0" xr:uid="{00000000-0006-0000-0A00-00007E000000}">
      <text>
        <r>
          <rPr>
            <sz val="11"/>
            <rFont val="Calibri"/>
          </rPr>
          <t>OL 8 duplicate User IDs (UIDs) must not exist for interactive users.</t>
        </r>
      </text>
    </comment>
    <comment ref="N152" authorId="0" shapeId="0" xr:uid="{00000000-0006-0000-0A00-00007F000000}">
      <text>
        <r>
          <rPr>
            <sz val="11"/>
            <rFont val="Calibri"/>
          </rPr>
          <t>OL 8 must not have unnecessary accounts.</t>
        </r>
      </text>
    </comment>
    <comment ref="O152" authorId="0" shapeId="0" xr:uid="{00000000-0006-0000-0A00-000080000000}">
      <text>
        <r>
          <rPr>
            <sz val="11"/>
            <rFont val="Calibri"/>
          </rPr>
          <t>The root account must be the only account having unrestricted access to the OL 8 system.</t>
        </r>
      </text>
    </comment>
    <comment ref="L156" authorId="0" shapeId="0" xr:uid="{00000000-0006-0000-0A00-000081000000}">
      <text>
        <r>
          <rPr>
            <sz val="11"/>
            <rFont val="Calibri"/>
          </rPr>
          <t>The OL 8 system-auth file must disable access to the system for account identifiers (individuals, groups, roles, and devices) with 35 days of inactivity.</t>
        </r>
      </text>
    </comment>
    <comment ref="M156" authorId="0" shapeId="0" xr:uid="{00000000-0006-0000-0A00-000082000000}">
      <text>
        <r>
          <rPr>
            <sz val="11"/>
            <rFont val="Calibri"/>
          </rPr>
          <t>The OL 8 password-auth file must disable access to the system for account identifiers (individuals, groups, roles, and devices) with 35 days of inactivity.</t>
        </r>
      </text>
    </comment>
    <comment ref="L157" authorId="0" shapeId="0" xr:uid="{00000000-0006-0000-0A00-000083000000}">
      <text>
        <r>
          <rPr>
            <sz val="11"/>
            <rFont val="Calibri"/>
          </rPr>
          <t>OL 8 temporary user accounts must be provisioned with an expiration time of 72 hours or less.</t>
        </r>
      </text>
    </comment>
    <comment ref="M157" authorId="0" shapeId="0" xr:uid="{00000000-0006-0000-0A00-000084000000}">
      <text>
        <r>
          <rPr>
            <sz val="11"/>
            <rFont val="Calibri"/>
          </rPr>
          <t>The OL 8 system-auth file must disable access to the system for account identifiers (individuals, groups, roles, and devices) with 35 days of inactivity.</t>
        </r>
      </text>
    </comment>
    <comment ref="N157" authorId="0" shapeId="0" xr:uid="{00000000-0006-0000-0A00-000085000000}">
      <text>
        <r>
          <rPr>
            <sz val="11"/>
            <rFont val="Calibri"/>
          </rPr>
          <t>The OL 8 password-auth file must disable access to the system for account identifiers (individuals, groups, roles, and devices) with 35 days of inactivity.</t>
        </r>
      </text>
    </comment>
    <comment ref="O157" authorId="0" shapeId="0" xr:uid="{00000000-0006-0000-0A00-000086000000}">
      <text>
        <r>
          <rPr>
            <sz val="11"/>
            <rFont val="Calibri"/>
          </rPr>
          <t>OL 8 must automatically expire temporary accounts within 72 hours.</t>
        </r>
      </text>
    </comment>
    <comment ref="L159" authorId="0" shapeId="0" xr:uid="{00000000-0006-0000-0A00-000087000000}">
      <text>
        <r>
          <rPr>
            <sz val="11"/>
            <rFont val="Calibri"/>
          </rPr>
          <t>OL 8 must enable a user session lock until that user reestablishes access using established identification and authentication procedures for graphical user sessions.</t>
        </r>
      </text>
    </comment>
    <comment ref="M159" authorId="0" shapeId="0" xr:uid="{00000000-0006-0000-0A00-000088000000}">
      <text>
        <r>
          <rPr>
            <sz val="11"/>
            <rFont val="Calibri"/>
          </rPr>
          <t>OL 8 must initiate a session lock for graphical user interfaces when the screensaver is activated.</t>
        </r>
      </text>
    </comment>
    <comment ref="N159" authorId="0" shapeId="0" xr:uid="{00000000-0006-0000-0A00-000089000000}">
      <text>
        <r>
          <rPr>
            <sz val="11"/>
            <rFont val="Calibri"/>
          </rPr>
          <t>OL 8 must enable a user session lock until that user reestablishes access using established identification and authentication procedures for command line sessions.</t>
        </r>
      </text>
    </comment>
    <comment ref="O159" authorId="0" shapeId="0" xr:uid="{00000000-0006-0000-0A00-00008A000000}">
      <text>
        <r>
          <rPr>
            <sz val="11"/>
            <rFont val="Calibri"/>
          </rPr>
          <t>OL 8 must be able to initiate directly a session lock for all connection types using smartcard when the smartcard is removed.</t>
        </r>
      </text>
    </comment>
    <comment ref="P159" authorId="0" shapeId="0" xr:uid="{00000000-0006-0000-0A00-00008B000000}">
      <text>
        <r>
          <rPr>
            <sz val="11"/>
            <rFont val="Calibri"/>
          </rPr>
          <t>OL 8 must automatically lock graphical user sessions after 15 minutes of inactivity.</t>
        </r>
      </text>
    </comment>
    <comment ref="Q159" authorId="0" shapeId="0" xr:uid="{00000000-0006-0000-0A00-00008C000000}">
      <text>
        <r>
          <rPr>
            <sz val="11"/>
            <rFont val="Calibri"/>
          </rPr>
          <t>OL 8 must prevent a user from overriding the session lock-delay setting for the graphical user interface.</t>
        </r>
      </text>
    </comment>
    <comment ref="R159" authorId="0" shapeId="0" xr:uid="{00000000-0006-0000-0A00-00008D000000}">
      <text>
        <r>
          <rPr>
            <sz val="11"/>
            <rFont val="Calibri"/>
          </rPr>
          <t>OL 8 must prevent a user from overriding the session idle-delay setting for the graphical user interface.</t>
        </r>
      </text>
    </comment>
    <comment ref="S159" authorId="0" shapeId="0" xr:uid="{00000000-0006-0000-0A00-00008E000000}">
      <text>
        <r>
          <rPr>
            <sz val="11"/>
            <rFont val="Calibri"/>
          </rPr>
          <t>OL 8 must prevent a user from overriding the session lock-enabled setting for the graphical user interface.</t>
        </r>
      </text>
    </comment>
    <comment ref="T159" authorId="0" shapeId="0" xr:uid="{00000000-0006-0000-0A00-00008F000000}">
      <text>
        <r>
          <rPr>
            <sz val="11"/>
            <rFont val="Calibri"/>
          </rPr>
          <t>OL 8 must terminate idle user sessions.</t>
        </r>
      </text>
    </comment>
    <comment ref="U159" authorId="0" shapeId="0" xr:uid="{00000000-0006-0000-0A00-000090000000}">
      <text>
        <r>
          <rPr>
            <sz val="11"/>
            <rFont val="Calibri"/>
          </rPr>
          <t>OL 8 must automatically exit interactive command shell user sessions after 10 minutes of inactivity.</t>
        </r>
      </text>
    </comment>
    <comment ref="L161" authorId="0" shapeId="0" xr:uid="{00000000-0006-0000-0A00-000091000000}">
      <text>
        <r>
          <rPr>
            <sz val="11"/>
            <rFont val="Calibri"/>
          </rPr>
          <t>OL 8 must not allow accounts configured with blank or null passwords.</t>
        </r>
      </text>
    </comment>
    <comment ref="M161" authorId="0" shapeId="0" xr:uid="{00000000-0006-0000-0A00-000092000000}">
      <text>
        <r>
          <rPr>
            <sz val="11"/>
            <rFont val="Calibri"/>
          </rPr>
          <t>OL 8 must not allow blank or null passwords in the system-auth file.</t>
        </r>
      </text>
    </comment>
    <comment ref="N161" authorId="0" shapeId="0" xr:uid="{00000000-0006-0000-0A00-000093000000}">
      <text>
        <r>
          <rPr>
            <sz val="11"/>
            <rFont val="Calibri"/>
          </rPr>
          <t>OL 8 must not allow blank or null passwords in the password-auth file.</t>
        </r>
      </text>
    </comment>
    <comment ref="O161" authorId="0" shapeId="0" xr:uid="{00000000-0006-0000-0A00-000094000000}">
      <text>
        <r>
          <rPr>
            <sz val="11"/>
            <rFont val="Calibri"/>
          </rPr>
          <t>The OL 8 operating system must not have accounts configured with blank or null passwords.</t>
        </r>
      </text>
    </comment>
    <comment ref="L162" authorId="0" shapeId="0" xr:uid="{00000000-0006-0000-0A00-000095000000}">
      <text>
        <r>
          <rPr>
            <sz val="11"/>
            <rFont val="Calibri"/>
          </rPr>
          <t>The OL 8 shadow password suite must be configured to use a sufficient number of hashing rounds.</t>
        </r>
      </text>
    </comment>
    <comment ref="L164" authorId="0" shapeId="0" xr:uid="{00000000-0006-0000-0A00-000096000000}">
      <text>
        <r>
          <rPr>
            <sz val="11"/>
            <rFont val="Calibri"/>
          </rPr>
          <t>OL 8 systems below version 8.2 must automatically lock an account when three unsuccessful logon attempts occur.</t>
        </r>
      </text>
    </comment>
    <comment ref="M164" authorId="0" shapeId="0" xr:uid="{00000000-0006-0000-0A00-000097000000}">
      <text>
        <r>
          <rPr>
            <sz val="11"/>
            <rFont val="Calibri"/>
          </rPr>
          <t>OL 8 systems, versions 8.2 and above, must automatically lock an account when three unsuccessful logon attempts occur.</t>
        </r>
      </text>
    </comment>
    <comment ref="N164" authorId="0" shapeId="0" xr:uid="{00000000-0006-0000-0A00-000098000000}">
      <text>
        <r>
          <rPr>
            <sz val="11"/>
            <rFont val="Calibri"/>
          </rPr>
          <t>OL 8 systems below version 8.2 must automatically lock an account when three unsuccessful logon attempts occur during a 15-minute time period.</t>
        </r>
      </text>
    </comment>
    <comment ref="O164" authorId="0" shapeId="0" xr:uid="{00000000-0006-0000-0A00-000099000000}">
      <text>
        <r>
          <rPr>
            <sz val="11"/>
            <rFont val="Calibri"/>
          </rPr>
          <t>OL 8 systems, versions 8.2 and above, must automatically lock an account when three unsuccessful logon attempts occur during a 15-minute time period.</t>
        </r>
      </text>
    </comment>
    <comment ref="P164" authorId="0" shapeId="0" xr:uid="{00000000-0006-0000-0A00-00009A000000}">
      <text>
        <r>
          <rPr>
            <sz val="11"/>
            <rFont val="Calibri"/>
          </rPr>
          <t>OL 8 systems below version 8.2 must automatically lock an account until the locked account is released by an administrator when three unsuccessful logon attempts occur during a 15-minute time period.</t>
        </r>
      </text>
    </comment>
    <comment ref="Q164" authorId="0" shapeId="0" xr:uid="{00000000-0006-0000-0A00-00009B000000}">
      <text>
        <r>
          <rPr>
            <sz val="11"/>
            <rFont val="Calibri"/>
          </rPr>
          <t>OL 8 systems, versions 8.2 and above, must automatically lock an account until the locked account is released by an administrator when three unsuccessful logon attempts occur during a 15-minute time period.</t>
        </r>
      </text>
    </comment>
    <comment ref="R164" authorId="0" shapeId="0" xr:uid="{00000000-0006-0000-0A00-00009C000000}">
      <text>
        <r>
          <rPr>
            <sz val="11"/>
            <rFont val="Calibri"/>
          </rPr>
          <t>OL 8 systems below version 8.2 must ensure account lockouts persist.</t>
        </r>
      </text>
    </comment>
    <comment ref="S164" authorId="0" shapeId="0" xr:uid="{00000000-0006-0000-0A00-00009D000000}">
      <text>
        <r>
          <rPr>
            <sz val="11"/>
            <rFont val="Calibri"/>
          </rPr>
          <t>OL 8 systems, versions 8.2 and above, must ensure account lockouts persist.</t>
        </r>
      </text>
    </comment>
    <comment ref="T164" authorId="0" shapeId="0" xr:uid="{00000000-0006-0000-0A00-00009E000000}">
      <text>
        <r>
          <rPr>
            <sz val="11"/>
            <rFont val="Calibri"/>
          </rPr>
          <t>OL 8 systems below version 8.2 must include root when automatically locking an account until the locked account is released by an administrator when three unsuccessful logon attempts occur during a 15-minute time period.</t>
        </r>
      </text>
    </comment>
    <comment ref="U164" authorId="0" shapeId="0" xr:uid="{00000000-0006-0000-0A00-00009F000000}">
      <text>
        <r>
          <rPr>
            <sz val="11"/>
            <rFont val="Calibri"/>
          </rPr>
          <t>OL 8 systems, versions 8.2 and above, must include root when automatically locking an account until the locked account is released by an administrator when three unsuccessful logon attempts occur during a 15-minute time period.</t>
        </r>
      </text>
    </comment>
    <comment ref="V164" authorId="0" shapeId="0" xr:uid="{00000000-0006-0000-0A00-0000A0000000}">
      <text>
        <r>
          <rPr>
            <sz val="11"/>
            <rFont val="Calibri"/>
          </rPr>
          <t>OL 8 must configure the use of the pam_faillock.so module in the /etc/pam.d/system-auth file.</t>
        </r>
      </text>
    </comment>
    <comment ref="W164" authorId="0" shapeId="0" xr:uid="{00000000-0006-0000-0A00-0000A1000000}">
      <text>
        <r>
          <rPr>
            <sz val="11"/>
            <rFont val="Calibri"/>
          </rPr>
          <t>OL 8 must configure the use of the pam_faillock.so module in the /etc/pam.d/password-auth file.</t>
        </r>
      </text>
    </comment>
    <comment ref="L166" authorId="0" shapeId="0" xr:uid="{00000000-0006-0000-0A00-0000A2000000}">
      <text>
        <r>
          <rPr>
            <sz val="11"/>
            <rFont val="Calibri"/>
          </rPr>
          <t>OL 8 must ensure the password complexity module is enabled in the password-auth file.</t>
        </r>
      </text>
    </comment>
    <comment ref="M166" authorId="0" shapeId="0" xr:uid="{00000000-0006-0000-0A00-0000A3000000}">
      <text>
        <r>
          <rPr>
            <sz val="11"/>
            <rFont val="Calibri"/>
          </rPr>
          <t>OL 8 must enforce password complexity by requiring that at least one uppercase character be used.</t>
        </r>
      </text>
    </comment>
    <comment ref="N166" authorId="0" shapeId="0" xr:uid="{00000000-0006-0000-0A00-0000A4000000}">
      <text>
        <r>
          <rPr>
            <sz val="11"/>
            <rFont val="Calibri"/>
          </rPr>
          <t>OL 8 must enforce password complexity by requiring that at least one lowercase character be used.</t>
        </r>
      </text>
    </comment>
    <comment ref="O166" authorId="0" shapeId="0" xr:uid="{00000000-0006-0000-0A00-0000A5000000}">
      <text>
        <r>
          <rPr>
            <sz val="11"/>
            <rFont val="Calibri"/>
          </rPr>
          <t>OL 8 must enforce password complexity by requiring that at least one numeric character be used.</t>
        </r>
      </text>
    </comment>
    <comment ref="P166" authorId="0" shapeId="0" xr:uid="{00000000-0006-0000-0A00-0000A6000000}">
      <text>
        <r>
          <rPr>
            <sz val="11"/>
            <rFont val="Calibri"/>
          </rPr>
          <t>OL 8 must require the maximum number of repeating characters of the same character class be limited to four when passwords are changed.</t>
        </r>
      </text>
    </comment>
    <comment ref="Q166" authorId="0" shapeId="0" xr:uid="{00000000-0006-0000-0A00-0000A7000000}">
      <text>
        <r>
          <rPr>
            <sz val="11"/>
            <rFont val="Calibri"/>
          </rPr>
          <t>OL 8 must require the maximum number of repeating characters be limited to three when passwords are changed.</t>
        </r>
      </text>
    </comment>
    <comment ref="R166" authorId="0" shapeId="0" xr:uid="{00000000-0006-0000-0A00-0000A8000000}">
      <text>
        <r>
          <rPr>
            <sz val="11"/>
            <rFont val="Calibri"/>
          </rPr>
          <t>OL 8 must require the change of at least four character classes when passwords are changed.</t>
        </r>
      </text>
    </comment>
    <comment ref="S166" authorId="0" shapeId="0" xr:uid="{00000000-0006-0000-0A00-0000A9000000}">
      <text>
        <r>
          <rPr>
            <sz val="11"/>
            <rFont val="Calibri"/>
          </rPr>
          <t>OL 8 must require the change of at least eight characters when passwords are changed.</t>
        </r>
      </text>
    </comment>
    <comment ref="T166" authorId="0" shapeId="0" xr:uid="{00000000-0006-0000-0A00-0000AA000000}">
      <text>
        <r>
          <rPr>
            <sz val="11"/>
            <rFont val="Calibri"/>
          </rPr>
          <t>OL 8 passwords must have a minimum of 15 characters.</t>
        </r>
      </text>
    </comment>
    <comment ref="U166" authorId="0" shapeId="0" xr:uid="{00000000-0006-0000-0A00-0000AB000000}">
      <text>
        <r>
          <rPr>
            <sz val="11"/>
            <rFont val="Calibri"/>
          </rPr>
          <t>All OL 8 passwords must contain at least one special character.</t>
        </r>
      </text>
    </comment>
    <comment ref="V166" authorId="0" shapeId="0" xr:uid="{00000000-0006-0000-0A00-0000AC000000}">
      <text>
        <r>
          <rPr>
            <sz val="11"/>
            <rFont val="Calibri"/>
          </rPr>
          <t>OL 8 must prevent the use of dictionary words for passwords.</t>
        </r>
      </text>
    </comment>
    <comment ref="W166" authorId="0" shapeId="0" xr:uid="{00000000-0006-0000-0A00-0000AD000000}">
      <text>
        <r>
          <rPr>
            <sz val="11"/>
            <rFont val="Calibri"/>
          </rPr>
          <t>OL 8 must ensure the password complexity module is enabled in the system-auth file.</t>
        </r>
      </text>
    </comment>
    <comment ref="X166" authorId="0" shapeId="0" xr:uid="{00000000-0006-0000-0A00-0000AE000000}">
      <text>
        <r>
          <rPr>
            <sz val="11"/>
            <rFont val="Calibri"/>
          </rPr>
          <t>OL 8 systems below version 8.4 must ensure the password complexity module in the system-auth file is configured for three retries or less.</t>
        </r>
      </text>
    </comment>
    <comment ref="Y166" authorId="0" shapeId="0" xr:uid="{00000000-0006-0000-0A00-0000AF000000}">
      <text>
        <r>
          <rPr>
            <sz val="11"/>
            <rFont val="Calibri"/>
          </rPr>
          <t>OL 8 systems below version 8.4 must ensure the password complexity module in the password-auth file is configured for three retries or less.</t>
        </r>
      </text>
    </comment>
    <comment ref="Z166" authorId="0" shapeId="0" xr:uid="{00000000-0006-0000-0A00-0000B0000000}">
      <text>
        <r>
          <rPr>
            <sz val="11"/>
            <rFont val="Calibri"/>
          </rPr>
          <t>OL 8 systems, version 8.4 and above, must ensure the password complexity module is configured for three retries or less.</t>
        </r>
      </text>
    </comment>
    <comment ref="L169" authorId="0" shapeId="0" xr:uid="{00000000-0006-0000-0A00-0000B1000000}">
      <text>
        <r>
          <rPr>
            <sz val="11"/>
            <rFont val="Calibri"/>
          </rPr>
          <t>OL 8 user account passwords must have a 60-day maximum password lifetime restriction.</t>
        </r>
      </text>
    </comment>
    <comment ref="M169" authorId="0" shapeId="0" xr:uid="{00000000-0006-0000-0A00-0000B2000000}">
      <text>
        <r>
          <rPr>
            <sz val="11"/>
            <rFont val="Calibri"/>
          </rPr>
          <t>OL 8 user account passwords must be configured so that existing passwords are restricted to a 60-day maximum lifetime.</t>
        </r>
      </text>
    </comment>
    <comment ref="L175" authorId="0" shapeId="0" xr:uid="{00000000-0006-0000-0A00-0000B3000000}">
      <text>
        <r>
          <rPr>
            <sz val="11"/>
            <rFont val="Calibri"/>
          </rPr>
          <t>OL 8 must prevent the installation of software, patches, service packs, device drivers, or operating system components of local packages without verification they have been digitally signed using a certificate that is issued by a Certificate Authority (CA) that is recognized and approved by the organization.</t>
        </r>
      </text>
    </comment>
    <comment ref="M175" authorId="0" shapeId="0" xr:uid="{00000000-0006-0000-0A00-0000B4000000}">
      <text>
        <r>
          <rPr>
            <sz val="11"/>
            <rFont val="Calibri"/>
          </rPr>
          <t>OL 8 must have the package required for multifactor authentication installed.</t>
        </r>
      </text>
    </comment>
    <comment ref="N175" authorId="0" shapeId="0" xr:uid="{00000000-0006-0000-0A00-0000B5000000}">
      <text>
        <r>
          <rPr>
            <sz val="11"/>
            <rFont val="Calibri"/>
          </rPr>
          <t>OL 8 must implement certificate status checking for multifactor authentication.</t>
        </r>
      </text>
    </comment>
    <comment ref="O175" authorId="0" shapeId="0" xr:uid="{00000000-0006-0000-0A00-0000B6000000}">
      <text>
        <r>
          <rPr>
            <sz val="11"/>
            <rFont val="Calibri"/>
          </rPr>
          <t>OL 8 must accept Personal Identity Verification (PIV) credentials.</t>
        </r>
      </text>
    </comment>
    <comment ref="P175" authorId="0" shapeId="0" xr:uid="{00000000-0006-0000-0A00-0000B7000000}">
      <text>
        <r>
          <rPr>
            <sz val="11"/>
            <rFont val="Calibri"/>
          </rPr>
          <t>OL 8 must map the authenticated identity to the user or group account for PKI-based authentication.</t>
        </r>
      </text>
    </comment>
    <comment ref="Q175" authorId="0" shapeId="0" xr:uid="{00000000-0006-0000-0A00-0000B8000000}">
      <text>
        <r>
          <rPr>
            <sz val="11"/>
            <rFont val="Calibri"/>
          </rPr>
          <t>OL 8 must implement multifactor authentication for access to interactive accounts.</t>
        </r>
      </text>
    </comment>
    <comment ref="L221" authorId="0" shapeId="0" xr:uid="{00000000-0006-0000-0A00-0000B9000000}">
      <text>
        <r>
          <rPr>
            <sz val="11"/>
            <rFont val="Calibri"/>
          </rPr>
          <t>The OL 8 audit package must be installed.</t>
        </r>
      </text>
    </comment>
    <comment ref="M221" authorId="0" shapeId="0" xr:uid="{00000000-0006-0000-0A00-0000BA000000}">
      <text>
        <r>
          <rPr>
            <sz val="11"/>
            <rFont val="Calibri"/>
          </rPr>
          <t>OL 8 audit records must contain information to establish what type of events occurred, the source of events, where events occurred, and the outcome of events.</t>
        </r>
      </text>
    </comment>
    <comment ref="N221" authorId="0" shapeId="0" xr:uid="{00000000-0006-0000-0A00-0000BB000000}">
      <text>
        <r>
          <rPr>
            <sz val="11"/>
            <rFont val="Calibri"/>
          </rPr>
          <t>OL 8 must display a banner before granting local or remote access to the system via a graphical user logon.</t>
        </r>
      </text>
    </comment>
    <comment ref="O221" authorId="0" shapeId="0" xr:uid="{00000000-0006-0000-0A00-0000BC000000}">
      <text>
        <r>
          <rPr>
            <sz val="11"/>
            <rFont val="Calibri"/>
          </rPr>
          <t>All OL 8 remote access methods must be monitored.</t>
        </r>
      </text>
    </comment>
    <comment ref="P221" authorId="0" shapeId="0" xr:uid="{00000000-0006-0000-0A00-0000BD000000}">
      <text>
        <r>
          <rPr>
            <sz val="11"/>
            <rFont val="Calibri"/>
          </rPr>
          <t>OL 8, for PKI-based authentication, must validate certificates by constructing a certification path (which includes status information) to an accepted trust anchor.</t>
        </r>
      </text>
    </comment>
    <comment ref="Q221" authorId="0" shapeId="0" xr:uid="{00000000-0006-0000-0A00-0000BE000000}">
      <text>
        <r>
          <rPr>
            <sz val="11"/>
            <rFont val="Calibri"/>
          </rPr>
          <t>OL 8, for certificate-based authentication, must enforce authorized access to the corresponding private key.</t>
        </r>
      </text>
    </comment>
    <comment ref="R221" authorId="0" shapeId="0" xr:uid="{00000000-0006-0000-0A00-0000BF000000}">
      <text>
        <r>
          <rPr>
            <sz val="11"/>
            <rFont val="Calibri"/>
          </rPr>
          <t>OL 8 operating systems booted with United Extensible Firmware Interface (UEFI) must have a unique name for the grub superusers account when booting into single-user mode and maintenance.</t>
        </r>
      </text>
    </comment>
    <comment ref="S221" authorId="0" shapeId="0" xr:uid="{00000000-0006-0000-0A00-0000C0000000}">
      <text>
        <r>
          <rPr>
            <sz val="11"/>
            <rFont val="Calibri"/>
          </rPr>
          <t>OL 8 operating systems booted with a BIOS must have a unique name for the grub superusers account when booting into single-user and maintenance modes.</t>
        </r>
      </text>
    </comment>
    <comment ref="T221" authorId="0" shapeId="0" xr:uid="{00000000-0006-0000-0A00-0000C1000000}">
      <text>
        <r>
          <rPr>
            <sz val="11"/>
            <rFont val="Calibri"/>
          </rPr>
          <t>OL 8 operating systems must require authentication upon booting into rescue mode.</t>
        </r>
      </text>
    </comment>
    <comment ref="U221" authorId="0" shapeId="0" xr:uid="{00000000-0006-0000-0A00-0000C2000000}">
      <text>
        <r>
          <rPr>
            <sz val="11"/>
            <rFont val="Calibri"/>
          </rPr>
          <t>The krb5-workstation package must not be installed on OL 8.</t>
        </r>
      </text>
    </comment>
    <comment ref="V221" authorId="0" shapeId="0" xr:uid="{00000000-0006-0000-0A00-0000C3000000}">
      <text>
        <r>
          <rPr>
            <sz val="11"/>
            <rFont val="Calibri"/>
          </rPr>
          <t>The krb5-server package must not be installed on OL 8.</t>
        </r>
      </text>
    </comment>
    <comment ref="W221" authorId="0" shapeId="0" xr:uid="{00000000-0006-0000-0A00-0000C4000000}">
      <text>
        <r>
          <rPr>
            <sz val="11"/>
            <rFont val="Calibri"/>
          </rPr>
          <t xml:space="preserve">OL 8 must require reauthentication when using the </t>
        </r>
        <r>
          <rPr>
            <sz val="11"/>
            <color rgb="FF000000"/>
            <rFont val="Calibri"/>
          </rPr>
          <t>"</t>
        </r>
        <r>
          <rPr>
            <b/>
            <sz val="11"/>
            <color rgb="FF000000"/>
            <rFont val="Calibri"/>
          </rPr>
          <t>sudo</t>
        </r>
        <r>
          <rPr>
            <sz val="11"/>
            <color rgb="FF000000"/>
            <rFont val="Calibri"/>
          </rPr>
          <t>"</t>
        </r>
        <r>
          <rPr>
            <sz val="11"/>
            <color rgb="FF000000"/>
            <rFont val="Calibri"/>
          </rPr>
          <t xml:space="preserve"> command.</t>
        </r>
      </text>
    </comment>
    <comment ref="X221" authorId="0" shapeId="0" xr:uid="{00000000-0006-0000-0A00-0000C5000000}">
      <text>
        <r>
          <rPr>
            <sz val="11"/>
            <rFont val="Calibri"/>
          </rPr>
          <t>OL 8 must disable virtual syscalls.</t>
        </r>
      </text>
    </comment>
    <comment ref="Y221" authorId="0" shapeId="0" xr:uid="{00000000-0006-0000-0A00-0000C6000000}">
      <text>
        <r>
          <rPr>
            <sz val="11"/>
            <rFont val="Calibri"/>
          </rPr>
          <t>OL 8 must not let Meltdown and Spectre exploit critical vulnerabilities in modern processors.</t>
        </r>
      </text>
    </comment>
    <comment ref="Z221" authorId="0" shapeId="0" xr:uid="{00000000-0006-0000-0A00-0000C7000000}">
      <text>
        <r>
          <rPr>
            <sz val="11"/>
            <rFont val="Calibri"/>
          </rPr>
          <t>OL 8 must use a separate file system for the system audit data path.</t>
        </r>
      </text>
    </comment>
    <comment ref="AA221" authorId="0" shapeId="0" xr:uid="{00000000-0006-0000-0A00-0000C8000000}">
      <text>
        <r>
          <rPr>
            <sz val="11"/>
            <rFont val="Calibri"/>
          </rPr>
          <t>OL 8 must have the rsyslog service enabled and active.</t>
        </r>
      </text>
    </comment>
    <comment ref="AB221" authorId="0" shapeId="0" xr:uid="{00000000-0006-0000-0A00-0000C9000000}">
      <text>
        <r>
          <rPr>
            <sz val="11"/>
            <rFont val="Calibri"/>
          </rPr>
          <t>OL 8 must prevent special devices on nonroot local partitions.</t>
        </r>
      </text>
    </comment>
    <comment ref="AC221" authorId="0" shapeId="0" xr:uid="{00000000-0006-0000-0A00-0000CA000000}">
      <text>
        <r>
          <rPr>
            <sz val="11"/>
            <rFont val="Calibri"/>
          </rPr>
          <t>OL 8 file systems must not interpret character or block special devices from untrusted file systems.</t>
        </r>
      </text>
    </comment>
    <comment ref="AD221" authorId="0" shapeId="0" xr:uid="{00000000-0006-0000-0A00-0000CB000000}">
      <text>
        <r>
          <rPr>
            <sz val="11"/>
            <rFont val="Calibri"/>
          </rPr>
          <t>OL 8 file systems must not execute binary files on removable media.</t>
        </r>
      </text>
    </comment>
    <comment ref="AE221" authorId="0" shapeId="0" xr:uid="{00000000-0006-0000-0A00-0000CC000000}">
      <text>
        <r>
          <rPr>
            <sz val="11"/>
            <rFont val="Calibri"/>
          </rPr>
          <t>OL 8 must disable kernel dumps unless needed.</t>
        </r>
      </text>
    </comment>
    <comment ref="AF221" authorId="0" shapeId="0" xr:uid="{00000000-0006-0000-0A00-0000CD000000}">
      <text>
        <r>
          <rPr>
            <sz val="11"/>
            <rFont val="Calibri"/>
          </rPr>
          <t>OL 8 systems below version 8.2 must prevent system messages from being presented when three unsuccessful logon attempts occur.</t>
        </r>
      </text>
    </comment>
    <comment ref="AG221" authorId="0" shapeId="0" xr:uid="{00000000-0006-0000-0A00-0000CE000000}">
      <text>
        <r>
          <rPr>
            <sz val="11"/>
            <rFont val="Calibri"/>
          </rPr>
          <t>OL 8 systems, versions 8.2 and above, must prevent system messages from being presented when three unsuccessful logon attempts occur.</t>
        </r>
      </text>
    </comment>
    <comment ref="AH221" authorId="0" shapeId="0" xr:uid="{00000000-0006-0000-0A00-0000CF000000}">
      <text>
        <r>
          <rPr>
            <sz val="11"/>
            <rFont val="Calibri"/>
          </rPr>
          <t>OL 8 systems below version 8.2 must log user name information when unsuccessful logon attempts occur.</t>
        </r>
      </text>
    </comment>
    <comment ref="AI221" authorId="0" shapeId="0" xr:uid="{00000000-0006-0000-0A00-0000D0000000}">
      <text>
        <r>
          <rPr>
            <sz val="11"/>
            <rFont val="Calibri"/>
          </rPr>
          <t>OL 8 systems, versions 8.2 and above, must log user name information when unsuccessful logon attempts occur.</t>
        </r>
      </text>
    </comment>
    <comment ref="AJ221" authorId="0" shapeId="0" xr:uid="{00000000-0006-0000-0A00-0000D1000000}">
      <text>
        <r>
          <rPr>
            <sz val="11"/>
            <rFont val="Calibri"/>
          </rPr>
          <t>The OL 8 lastlog command must be owned by root.</t>
        </r>
      </text>
    </comment>
    <comment ref="AK221" authorId="0" shapeId="0" xr:uid="{00000000-0006-0000-0A00-0000D2000000}">
      <text>
        <r>
          <rPr>
            <sz val="11"/>
            <rFont val="Calibri"/>
          </rPr>
          <t>The OL 8 lastlog command must be group-owned by root.</t>
        </r>
      </text>
    </comment>
    <comment ref="AL221" authorId="0" shapeId="0" xr:uid="{00000000-0006-0000-0A00-0000D3000000}">
      <text>
        <r>
          <rPr>
            <sz val="11"/>
            <rFont val="Calibri"/>
          </rPr>
          <t>The OL 8 audit system must audit local events.</t>
        </r>
      </text>
    </comment>
    <comment ref="AM221" authorId="0" shapeId="0" xr:uid="{00000000-0006-0000-0A00-0000D4000000}">
      <text>
        <r>
          <rPr>
            <sz val="11"/>
            <rFont val="Calibri"/>
          </rPr>
          <t>OL 8 must resolve audit information before writing to disk.</t>
        </r>
      </text>
    </comment>
    <comment ref="AN221" authorId="0" shapeId="0" xr:uid="{00000000-0006-0000-0A00-0000D5000000}">
      <text>
        <r>
          <rPr>
            <sz val="11"/>
            <rFont val="Calibri"/>
          </rPr>
          <t xml:space="preserve">OL 8 must generate audit records for any use of the </t>
        </r>
        <r>
          <rPr>
            <sz val="11"/>
            <color rgb="FF000000"/>
            <rFont val="Calibri"/>
          </rPr>
          <t>"</t>
        </r>
        <r>
          <rPr>
            <b/>
            <sz val="11"/>
            <color rgb="FF000000"/>
            <rFont val="Calibri"/>
          </rPr>
          <t>su</t>
        </r>
        <r>
          <rPr>
            <sz val="11"/>
            <color rgb="FF000000"/>
            <rFont val="Calibri"/>
          </rPr>
          <t>"</t>
        </r>
        <r>
          <rPr>
            <sz val="11"/>
            <color rgb="FF000000"/>
            <rFont val="Calibri"/>
          </rPr>
          <t xml:space="preserve"> command.</t>
        </r>
      </text>
    </comment>
    <comment ref="AO221" authorId="0" shapeId="0" xr:uid="{00000000-0006-0000-0A00-0000D6000000}">
      <text>
        <r>
          <rPr>
            <sz val="11"/>
            <rFont val="Calibri"/>
          </rPr>
          <t xml:space="preserve">OL 8 must generate audit records for any use of the </t>
        </r>
        <r>
          <rPr>
            <sz val="11"/>
            <color rgb="FF000000"/>
            <rFont val="Calibri"/>
          </rPr>
          <t>"</t>
        </r>
        <r>
          <rPr>
            <b/>
            <sz val="11"/>
            <color rgb="FF000000"/>
            <rFont val="Calibri"/>
          </rPr>
          <t>passwd</t>
        </r>
        <r>
          <rPr>
            <sz val="11"/>
            <color rgb="FF000000"/>
            <rFont val="Calibri"/>
          </rPr>
          <t>"</t>
        </r>
        <r>
          <rPr>
            <sz val="11"/>
            <color rgb="FF000000"/>
            <rFont val="Calibri"/>
          </rPr>
          <t xml:space="preserve"> command.</t>
        </r>
      </text>
    </comment>
    <comment ref="AP221" authorId="0" shapeId="0" xr:uid="{00000000-0006-0000-0A00-0000D7000000}">
      <text>
        <r>
          <rPr>
            <sz val="11"/>
            <rFont val="Calibri"/>
          </rPr>
          <t xml:space="preserve">OL 8 must generate audit records for any use of the </t>
        </r>
        <r>
          <rPr>
            <sz val="11"/>
            <color rgb="FF000000"/>
            <rFont val="Calibri"/>
          </rPr>
          <t>"</t>
        </r>
        <r>
          <rPr>
            <b/>
            <sz val="11"/>
            <color rgb="FF000000"/>
            <rFont val="Calibri"/>
          </rPr>
          <t>mount</t>
        </r>
        <r>
          <rPr>
            <sz val="11"/>
            <color rgb="FF000000"/>
            <rFont val="Calibri"/>
          </rPr>
          <t>"</t>
        </r>
        <r>
          <rPr>
            <sz val="11"/>
            <color rgb="FF000000"/>
            <rFont val="Calibri"/>
          </rPr>
          <t xml:space="preserve"> syscall.</t>
        </r>
      </text>
    </comment>
    <comment ref="AQ221" authorId="0" shapeId="0" xr:uid="{00000000-0006-0000-0A00-0000D8000000}">
      <text>
        <r>
          <rPr>
            <sz val="11"/>
            <rFont val="Calibri"/>
          </rPr>
          <t xml:space="preserve">OL 8 must generate audit records for any use of the </t>
        </r>
        <r>
          <rPr>
            <sz val="11"/>
            <color rgb="FF000000"/>
            <rFont val="Calibri"/>
          </rPr>
          <t>"</t>
        </r>
        <r>
          <rPr>
            <b/>
            <sz val="11"/>
            <color rgb="FF000000"/>
            <rFont val="Calibri"/>
          </rPr>
          <t>sudo</t>
        </r>
        <r>
          <rPr>
            <sz val="11"/>
            <color rgb="FF000000"/>
            <rFont val="Calibri"/>
          </rPr>
          <t>"</t>
        </r>
        <r>
          <rPr>
            <sz val="11"/>
            <color rgb="FF000000"/>
            <rFont val="Calibri"/>
          </rPr>
          <t xml:space="preserve"> command.</t>
        </r>
      </text>
    </comment>
    <comment ref="AR221" authorId="0" shapeId="0" xr:uid="{00000000-0006-0000-0A00-0000D9000000}">
      <text>
        <r>
          <rPr>
            <sz val="11"/>
            <rFont val="Calibri"/>
          </rPr>
          <t>OL 8 must enable auditing of processes that start prior to the audit daemon.</t>
        </r>
      </text>
    </comment>
    <comment ref="AS221" authorId="0" shapeId="0" xr:uid="{00000000-0006-0000-0A00-0000DA000000}">
      <text>
        <r>
          <rPr>
            <sz val="11"/>
            <rFont val="Calibri"/>
          </rPr>
          <t xml:space="preserve">OL 8 must allocate an </t>
        </r>
        <r>
          <rPr>
            <sz val="11"/>
            <color rgb="FF000000"/>
            <rFont val="Calibri"/>
          </rPr>
          <t>"</t>
        </r>
        <r>
          <rPr>
            <b/>
            <sz val="11"/>
            <color rgb="FF000000"/>
            <rFont val="Calibri"/>
          </rPr>
          <t>audit_backlog_limit</t>
        </r>
        <r>
          <rPr>
            <sz val="11"/>
            <color rgb="FF000000"/>
            <rFont val="Calibri"/>
          </rPr>
          <t>"</t>
        </r>
        <r>
          <rPr>
            <sz val="11"/>
            <color rgb="FF000000"/>
            <rFont val="Calibri"/>
          </rPr>
          <t xml:space="preserve"> of sufficient size to capture processes that start prior to the audit daemon.</t>
        </r>
      </text>
    </comment>
    <comment ref="AT221" authorId="0" shapeId="0" xr:uid="{00000000-0006-0000-0A00-0000DB000000}">
      <text>
        <r>
          <rPr>
            <sz val="11"/>
            <rFont val="Calibri"/>
          </rPr>
          <t>OL 8 must allow only the Information System Security Manager (ISSM) (or individuals or roles appointed by the ISSM) to select which auditable events are to be audited.</t>
        </r>
      </text>
    </comment>
    <comment ref="AU221" authorId="0" shapeId="0" xr:uid="{00000000-0006-0000-0A00-0000DC000000}">
      <text>
        <r>
          <rPr>
            <sz val="11"/>
            <rFont val="Calibri"/>
          </rPr>
          <t>The OL 8 audit records must be offloaded onto a different system or storage media from the system being audited.</t>
        </r>
      </text>
    </comment>
    <comment ref="AV221" authorId="0" shapeId="0" xr:uid="{00000000-0006-0000-0A00-0000DD000000}">
      <text>
        <r>
          <rPr>
            <sz val="11"/>
            <rFont val="Calibri"/>
          </rPr>
          <t>OL 8 must take appropriate action when the internal event queue is full.</t>
        </r>
      </text>
    </comment>
    <comment ref="AW221" authorId="0" shapeId="0" xr:uid="{00000000-0006-0000-0A00-0000DE000000}">
      <text>
        <r>
          <rPr>
            <sz val="11"/>
            <rFont val="Calibri"/>
          </rPr>
          <t>OL 8 must disable network management of the chrony daemon.</t>
        </r>
      </text>
    </comment>
    <comment ref="AX221" authorId="0" shapeId="0" xr:uid="{00000000-0006-0000-0A00-0000DF000000}">
      <text>
        <r>
          <rPr>
            <sz val="11"/>
            <rFont val="Calibri"/>
          </rPr>
          <t>OL 8 must not have any automated bug reporting tools installed.</t>
        </r>
      </text>
    </comment>
    <comment ref="AY221" authorId="0" shapeId="0" xr:uid="{00000000-0006-0000-0A00-0000E0000000}">
      <text>
        <r>
          <rPr>
            <sz val="11"/>
            <rFont val="Calibri"/>
          </rPr>
          <t>OL 8 must not have the sendmail package installed.</t>
        </r>
      </text>
    </comment>
    <comment ref="L222" authorId="0" shapeId="0" xr:uid="{00000000-0006-0000-0A00-0000E1000000}">
      <text>
        <r>
          <rPr>
            <sz val="11"/>
            <rFont val="Calibri"/>
          </rPr>
          <t xml:space="preserve">OL 8 must generate audit records for any attempted modifications to the </t>
        </r>
        <r>
          <rPr>
            <sz val="11"/>
            <color rgb="FF000000"/>
            <rFont val="Calibri"/>
          </rPr>
          <t>"</t>
        </r>
        <r>
          <rPr>
            <b/>
            <sz val="11"/>
            <color rgb="FF000000"/>
            <rFont val="Calibri"/>
          </rPr>
          <t>faillock</t>
        </r>
        <r>
          <rPr>
            <sz val="11"/>
            <color rgb="FF000000"/>
            <rFont val="Calibri"/>
          </rPr>
          <t>"</t>
        </r>
        <r>
          <rPr>
            <sz val="11"/>
            <color rgb="FF000000"/>
            <rFont val="Calibri"/>
          </rPr>
          <t xml:space="preserve"> log file.</t>
        </r>
      </text>
    </comment>
    <comment ref="M222" authorId="0" shapeId="0" xr:uid="{00000000-0006-0000-0A00-0000E2000000}">
      <text>
        <r>
          <rPr>
            <sz val="11"/>
            <rFont val="Calibri"/>
          </rPr>
          <t xml:space="preserve">OL 8 must generate audit records for any attempted modifications to the </t>
        </r>
        <r>
          <rPr>
            <sz val="11"/>
            <color rgb="FF000000"/>
            <rFont val="Calibri"/>
          </rPr>
          <t>"</t>
        </r>
        <r>
          <rPr>
            <b/>
            <sz val="11"/>
            <color rgb="FF000000"/>
            <rFont val="Calibri"/>
          </rPr>
          <t>lastlog</t>
        </r>
        <r>
          <rPr>
            <sz val="11"/>
            <color rgb="FF000000"/>
            <rFont val="Calibri"/>
          </rPr>
          <t>"</t>
        </r>
        <r>
          <rPr>
            <sz val="11"/>
            <color rgb="FF000000"/>
            <rFont val="Calibri"/>
          </rPr>
          <t xml:space="preserve"> file.</t>
        </r>
      </text>
    </comment>
    <comment ref="L223" authorId="0" shapeId="0" xr:uid="{00000000-0006-0000-0A00-0000E3000000}">
      <text>
        <r>
          <rPr>
            <sz val="11"/>
            <rFont val="Calibri"/>
          </rPr>
          <t>The OL 8 audit system must be configured to audit the execution of privileged functions and prevent all software from executing at higher privilege levels than users executing the software.</t>
        </r>
      </text>
    </comment>
    <comment ref="M223" authorId="0" shapeId="0" xr:uid="{00000000-0006-0000-0A00-0000E4000000}">
      <text>
        <r>
          <rPr>
            <sz val="11"/>
            <rFont val="Calibri"/>
          </rPr>
          <t xml:space="preserve">OL 8 must generate audit records for any use of the </t>
        </r>
        <r>
          <rPr>
            <sz val="11"/>
            <color rgb="FF000000"/>
            <rFont val="Calibri"/>
          </rPr>
          <t>"</t>
        </r>
        <r>
          <rPr>
            <b/>
            <sz val="11"/>
            <color rgb="FF000000"/>
            <rFont val="Calibri"/>
          </rPr>
          <t>ssh-agent</t>
        </r>
        <r>
          <rPr>
            <sz val="11"/>
            <color rgb="FF000000"/>
            <rFont val="Calibri"/>
          </rPr>
          <t>"</t>
        </r>
        <r>
          <rPr>
            <sz val="11"/>
            <color rgb="FF000000"/>
            <rFont val="Calibri"/>
          </rPr>
          <t xml:space="preserve"> command.</t>
        </r>
      </text>
    </comment>
    <comment ref="N223" authorId="0" shapeId="0" xr:uid="{00000000-0006-0000-0A00-0000E5000000}">
      <text>
        <r>
          <rPr>
            <sz val="11"/>
            <rFont val="Calibri"/>
          </rPr>
          <t xml:space="preserve">OL 8 must generate audit records for any use of the </t>
        </r>
        <r>
          <rPr>
            <sz val="11"/>
            <color rgb="FF000000"/>
            <rFont val="Calibri"/>
          </rPr>
          <t>"</t>
        </r>
        <r>
          <rPr>
            <b/>
            <sz val="11"/>
            <color rgb="FF000000"/>
            <rFont val="Calibri"/>
          </rPr>
          <t>postdrop</t>
        </r>
        <r>
          <rPr>
            <sz val="11"/>
            <color rgb="FF000000"/>
            <rFont val="Calibri"/>
          </rPr>
          <t>"</t>
        </r>
        <r>
          <rPr>
            <sz val="11"/>
            <color rgb="FF000000"/>
            <rFont val="Calibri"/>
          </rPr>
          <t xml:space="preserve"> command.</t>
        </r>
      </text>
    </comment>
    <comment ref="O223" authorId="0" shapeId="0" xr:uid="{00000000-0006-0000-0A00-0000E6000000}">
      <text>
        <r>
          <rPr>
            <sz val="11"/>
            <rFont val="Calibri"/>
          </rPr>
          <t xml:space="preserve">OL 8 must generate audit records for any use of the </t>
        </r>
        <r>
          <rPr>
            <sz val="11"/>
            <color rgb="FF000000"/>
            <rFont val="Calibri"/>
          </rPr>
          <t>"</t>
        </r>
        <r>
          <rPr>
            <b/>
            <sz val="11"/>
            <color rgb="FF000000"/>
            <rFont val="Calibri"/>
          </rPr>
          <t>postqueue</t>
        </r>
        <r>
          <rPr>
            <sz val="11"/>
            <color rgb="FF000000"/>
            <rFont val="Calibri"/>
          </rPr>
          <t>"</t>
        </r>
        <r>
          <rPr>
            <sz val="11"/>
            <color rgb="FF000000"/>
            <rFont val="Calibri"/>
          </rPr>
          <t xml:space="preserve"> command.</t>
        </r>
      </text>
    </comment>
    <comment ref="P223" authorId="0" shapeId="0" xr:uid="{00000000-0006-0000-0A00-0000E7000000}">
      <text>
        <r>
          <rPr>
            <sz val="11"/>
            <rFont val="Calibri"/>
          </rPr>
          <t xml:space="preserve">OL 8 must generate audit records for any use of the </t>
        </r>
        <r>
          <rPr>
            <sz val="11"/>
            <color rgb="FF000000"/>
            <rFont val="Calibri"/>
          </rPr>
          <t>"</t>
        </r>
        <r>
          <rPr>
            <b/>
            <sz val="11"/>
            <color rgb="FF000000"/>
            <rFont val="Calibri"/>
          </rPr>
          <t>ssh-keysign</t>
        </r>
        <r>
          <rPr>
            <sz val="11"/>
            <color rgb="FF000000"/>
            <rFont val="Calibri"/>
          </rPr>
          <t>"</t>
        </r>
        <r>
          <rPr>
            <sz val="11"/>
            <color rgb="FF000000"/>
            <rFont val="Calibri"/>
          </rPr>
          <t xml:space="preserve"> command.</t>
        </r>
      </text>
    </comment>
    <comment ref="Q223" authorId="0" shapeId="0" xr:uid="{00000000-0006-0000-0A00-0000E8000000}">
      <text>
        <r>
          <rPr>
            <sz val="11"/>
            <rFont val="Calibri"/>
          </rPr>
          <t xml:space="preserve">OL 8 must generate audit records for any use of the </t>
        </r>
        <r>
          <rPr>
            <sz val="11"/>
            <color rgb="FF000000"/>
            <rFont val="Calibri"/>
          </rPr>
          <t>"</t>
        </r>
        <r>
          <rPr>
            <b/>
            <sz val="11"/>
            <color rgb="FF000000"/>
            <rFont val="Calibri"/>
          </rPr>
          <t>newgrp</t>
        </r>
        <r>
          <rPr>
            <sz val="11"/>
            <color rgb="FF000000"/>
            <rFont val="Calibri"/>
          </rPr>
          <t>"</t>
        </r>
        <r>
          <rPr>
            <sz val="11"/>
            <color rgb="FF000000"/>
            <rFont val="Calibri"/>
          </rPr>
          <t xml:space="preserve"> command.</t>
        </r>
      </text>
    </comment>
    <comment ref="R223" authorId="0" shapeId="0" xr:uid="{00000000-0006-0000-0A00-0000E9000000}">
      <text>
        <r>
          <rPr>
            <sz val="11"/>
            <rFont val="Calibri"/>
          </rPr>
          <t xml:space="preserve">OL 8 must generate audit records for any use of the </t>
        </r>
        <r>
          <rPr>
            <sz val="11"/>
            <color rgb="FF000000"/>
            <rFont val="Calibri"/>
          </rPr>
          <t>"</t>
        </r>
        <r>
          <rPr>
            <b/>
            <sz val="11"/>
            <color rgb="FF000000"/>
            <rFont val="Calibri"/>
          </rPr>
          <t>crontab</t>
        </r>
        <r>
          <rPr>
            <sz val="11"/>
            <color rgb="FF000000"/>
            <rFont val="Calibri"/>
          </rPr>
          <t>"</t>
        </r>
        <r>
          <rPr>
            <sz val="11"/>
            <color rgb="FF000000"/>
            <rFont val="Calibri"/>
          </rPr>
          <t xml:space="preserve"> command.</t>
        </r>
      </text>
    </comment>
    <comment ref="S223" authorId="0" shapeId="0" xr:uid="{00000000-0006-0000-0A00-0000EA000000}">
      <text>
        <r>
          <rPr>
            <sz val="11"/>
            <rFont val="Calibri"/>
          </rPr>
          <t xml:space="preserve">OL 8 must generate audit records for any use of the </t>
        </r>
        <r>
          <rPr>
            <sz val="11"/>
            <color rgb="FF000000"/>
            <rFont val="Calibri"/>
          </rPr>
          <t>"</t>
        </r>
        <r>
          <rPr>
            <b/>
            <sz val="11"/>
            <color rgb="FF000000"/>
            <rFont val="Calibri"/>
          </rPr>
          <t>chsh</t>
        </r>
        <r>
          <rPr>
            <sz val="11"/>
            <color rgb="FF000000"/>
            <rFont val="Calibri"/>
          </rPr>
          <t>"</t>
        </r>
        <r>
          <rPr>
            <sz val="11"/>
            <color rgb="FF000000"/>
            <rFont val="Calibri"/>
          </rPr>
          <t xml:space="preserve"> command.</t>
        </r>
      </text>
    </comment>
    <comment ref="T223" authorId="0" shapeId="0" xr:uid="{00000000-0006-0000-0A00-0000EB000000}">
      <text>
        <r>
          <rPr>
            <sz val="11"/>
            <rFont val="Calibri"/>
          </rPr>
          <t>OL 8  must audit any script or executable called by cron as root or by any privileged user.</t>
        </r>
      </text>
    </comment>
    <comment ref="L224" authorId="0" shapeId="0" xr:uid="{00000000-0006-0000-0A00-0000EC000000}">
      <text>
        <r>
          <rPr>
            <sz val="11"/>
            <rFont val="Calibri"/>
          </rPr>
          <t xml:space="preserve">The OL 8 audit system must be configured to audit any use of the </t>
        </r>
        <r>
          <rPr>
            <sz val="11"/>
            <color rgb="FF000000"/>
            <rFont val="Calibri"/>
          </rPr>
          <t>"</t>
        </r>
        <r>
          <rPr>
            <b/>
            <sz val="11"/>
            <color rgb="FF000000"/>
            <rFont val="Calibri"/>
          </rPr>
          <t>setxattr</t>
        </r>
        <r>
          <rPr>
            <sz val="11"/>
            <color rgb="FF000000"/>
            <rFont val="Calibri"/>
          </rPr>
          <t>"</t>
        </r>
        <r>
          <rPr>
            <sz val="11"/>
            <color rgb="FF000000"/>
            <rFont val="Calibri"/>
          </rPr>
          <t xml:space="preserve">, </t>
        </r>
        <r>
          <rPr>
            <sz val="11"/>
            <color rgb="FF000000"/>
            <rFont val="Calibri"/>
          </rPr>
          <t>"</t>
        </r>
        <r>
          <rPr>
            <b/>
            <sz val="11"/>
            <color rgb="FF000000"/>
            <rFont val="Calibri"/>
          </rPr>
          <t>fsetxattr</t>
        </r>
        <r>
          <rPr>
            <sz val="11"/>
            <color rgb="FF000000"/>
            <rFont val="Calibri"/>
          </rPr>
          <t>"</t>
        </r>
        <r>
          <rPr>
            <sz val="11"/>
            <color rgb="FF000000"/>
            <rFont val="Calibri"/>
          </rPr>
          <t xml:space="preserve">, </t>
        </r>
        <r>
          <rPr>
            <sz val="11"/>
            <color rgb="FF000000"/>
            <rFont val="Calibri"/>
          </rPr>
          <t>"</t>
        </r>
        <r>
          <rPr>
            <b/>
            <sz val="11"/>
            <color rgb="FF000000"/>
            <rFont val="Calibri"/>
          </rPr>
          <t>lsetxattr</t>
        </r>
        <r>
          <rPr>
            <sz val="11"/>
            <color rgb="FF000000"/>
            <rFont val="Calibri"/>
          </rPr>
          <t>"</t>
        </r>
        <r>
          <rPr>
            <sz val="11"/>
            <color rgb="FF000000"/>
            <rFont val="Calibri"/>
          </rPr>
          <t xml:space="preserve">, </t>
        </r>
        <r>
          <rPr>
            <sz val="11"/>
            <color rgb="FF000000"/>
            <rFont val="Calibri"/>
          </rPr>
          <t>"</t>
        </r>
        <r>
          <rPr>
            <b/>
            <sz val="11"/>
            <color rgb="FF000000"/>
            <rFont val="Calibri"/>
          </rPr>
          <t>removexattr</t>
        </r>
        <r>
          <rPr>
            <sz val="11"/>
            <color rgb="FF000000"/>
            <rFont val="Calibri"/>
          </rPr>
          <t>"</t>
        </r>
        <r>
          <rPr>
            <sz val="11"/>
            <color rgb="FF000000"/>
            <rFont val="Calibri"/>
          </rPr>
          <t xml:space="preserve">, </t>
        </r>
        <r>
          <rPr>
            <sz val="11"/>
            <color rgb="FF000000"/>
            <rFont val="Calibri"/>
          </rPr>
          <t>"</t>
        </r>
        <r>
          <rPr>
            <b/>
            <sz val="11"/>
            <color rgb="FF000000"/>
            <rFont val="Calibri"/>
          </rPr>
          <t>fremovexattr</t>
        </r>
        <r>
          <rPr>
            <sz val="11"/>
            <color rgb="FF000000"/>
            <rFont val="Calibri"/>
          </rPr>
          <t>"</t>
        </r>
        <r>
          <rPr>
            <sz val="11"/>
            <color rgb="FF000000"/>
            <rFont val="Calibri"/>
          </rPr>
          <t xml:space="preserve">, and </t>
        </r>
        <r>
          <rPr>
            <sz val="11"/>
            <color rgb="FF000000"/>
            <rFont val="Calibri"/>
          </rPr>
          <t>"</t>
        </r>
        <r>
          <rPr>
            <b/>
            <sz val="11"/>
            <color rgb="FF000000"/>
            <rFont val="Calibri"/>
          </rPr>
          <t>lremovexattr</t>
        </r>
        <r>
          <rPr>
            <sz val="11"/>
            <color rgb="FF000000"/>
            <rFont val="Calibri"/>
          </rPr>
          <t>"</t>
        </r>
        <r>
          <rPr>
            <sz val="11"/>
            <color rgb="FF000000"/>
            <rFont val="Calibri"/>
          </rPr>
          <t xml:space="preserve"> system calls.</t>
        </r>
      </text>
    </comment>
    <comment ref="M224" authorId="0" shapeId="0" xr:uid="{00000000-0006-0000-0A00-0000ED000000}">
      <text>
        <r>
          <rPr>
            <sz val="11"/>
            <rFont val="Calibri"/>
          </rPr>
          <t xml:space="preserve">OL 8 must generate audit records for any use of the </t>
        </r>
        <r>
          <rPr>
            <sz val="11"/>
            <color rgb="FF000000"/>
            <rFont val="Calibri"/>
          </rPr>
          <t>"</t>
        </r>
        <r>
          <rPr>
            <b/>
            <sz val="11"/>
            <color rgb="FF000000"/>
            <rFont val="Calibri"/>
          </rPr>
          <t>setfacl</t>
        </r>
        <r>
          <rPr>
            <sz val="11"/>
            <color rgb="FF000000"/>
            <rFont val="Calibri"/>
          </rPr>
          <t>"</t>
        </r>
        <r>
          <rPr>
            <sz val="11"/>
            <color rgb="FF000000"/>
            <rFont val="Calibri"/>
          </rPr>
          <t xml:space="preserve"> command.</t>
        </r>
      </text>
    </comment>
    <comment ref="N224" authorId="0" shapeId="0" xr:uid="{00000000-0006-0000-0A00-0000EE000000}">
      <text>
        <r>
          <rPr>
            <sz val="11"/>
            <rFont val="Calibri"/>
          </rPr>
          <t xml:space="preserve">OL 8 must generate audit records for any use of the </t>
        </r>
        <r>
          <rPr>
            <sz val="11"/>
            <color rgb="FF000000"/>
            <rFont val="Calibri"/>
          </rPr>
          <t>"</t>
        </r>
        <r>
          <rPr>
            <b/>
            <sz val="11"/>
            <color rgb="FF000000"/>
            <rFont val="Calibri"/>
          </rPr>
          <t>chown</t>
        </r>
        <r>
          <rPr>
            <sz val="11"/>
            <color rgb="FF000000"/>
            <rFont val="Calibri"/>
          </rPr>
          <t>"</t>
        </r>
        <r>
          <rPr>
            <sz val="11"/>
            <color rgb="FF000000"/>
            <rFont val="Calibri"/>
          </rPr>
          <t xml:space="preserve">, </t>
        </r>
        <r>
          <rPr>
            <sz val="11"/>
            <color rgb="FF000000"/>
            <rFont val="Calibri"/>
          </rPr>
          <t>"</t>
        </r>
        <r>
          <rPr>
            <b/>
            <sz val="11"/>
            <color rgb="FF000000"/>
            <rFont val="Calibri"/>
          </rPr>
          <t>fchown</t>
        </r>
        <r>
          <rPr>
            <sz val="11"/>
            <color rgb="FF000000"/>
            <rFont val="Calibri"/>
          </rPr>
          <t>"</t>
        </r>
        <r>
          <rPr>
            <sz val="11"/>
            <color rgb="FF000000"/>
            <rFont val="Calibri"/>
          </rPr>
          <t xml:space="preserve">, </t>
        </r>
        <r>
          <rPr>
            <sz val="11"/>
            <color rgb="FF000000"/>
            <rFont val="Calibri"/>
          </rPr>
          <t>"</t>
        </r>
        <r>
          <rPr>
            <b/>
            <sz val="11"/>
            <color rgb="FF000000"/>
            <rFont val="Calibri"/>
          </rPr>
          <t>fchownat</t>
        </r>
        <r>
          <rPr>
            <sz val="11"/>
            <color rgb="FF000000"/>
            <rFont val="Calibri"/>
          </rPr>
          <t>"</t>
        </r>
        <r>
          <rPr>
            <sz val="11"/>
            <color rgb="FF000000"/>
            <rFont val="Calibri"/>
          </rPr>
          <t xml:space="preserve">, and </t>
        </r>
        <r>
          <rPr>
            <sz val="11"/>
            <color rgb="FF000000"/>
            <rFont val="Calibri"/>
          </rPr>
          <t>"</t>
        </r>
        <r>
          <rPr>
            <b/>
            <sz val="11"/>
            <color rgb="FF000000"/>
            <rFont val="Calibri"/>
          </rPr>
          <t>lchown</t>
        </r>
        <r>
          <rPr>
            <sz val="11"/>
            <color rgb="FF000000"/>
            <rFont val="Calibri"/>
          </rPr>
          <t>"</t>
        </r>
        <r>
          <rPr>
            <sz val="11"/>
            <color rgb="FF000000"/>
            <rFont val="Calibri"/>
          </rPr>
          <t xml:space="preserve"> system calls.</t>
        </r>
      </text>
    </comment>
    <comment ref="O224" authorId="0" shapeId="0" xr:uid="{00000000-0006-0000-0A00-0000EF000000}">
      <text>
        <r>
          <rPr>
            <sz val="11"/>
            <rFont val="Calibri"/>
          </rPr>
          <t xml:space="preserve">OL 8 must generate audit records for any use of the </t>
        </r>
        <r>
          <rPr>
            <sz val="11"/>
            <color rgb="FF000000"/>
            <rFont val="Calibri"/>
          </rPr>
          <t>"</t>
        </r>
        <r>
          <rPr>
            <b/>
            <sz val="11"/>
            <color rgb="FF000000"/>
            <rFont val="Calibri"/>
          </rPr>
          <t>chmod</t>
        </r>
        <r>
          <rPr>
            <sz val="11"/>
            <color rgb="FF000000"/>
            <rFont val="Calibri"/>
          </rPr>
          <t>"</t>
        </r>
        <r>
          <rPr>
            <sz val="11"/>
            <color rgb="FF000000"/>
            <rFont val="Calibri"/>
          </rPr>
          <t xml:space="preserve">, </t>
        </r>
        <r>
          <rPr>
            <sz val="11"/>
            <color rgb="FF000000"/>
            <rFont val="Calibri"/>
          </rPr>
          <t>"</t>
        </r>
        <r>
          <rPr>
            <b/>
            <sz val="11"/>
            <color rgb="FF000000"/>
            <rFont val="Calibri"/>
          </rPr>
          <t>fchmod</t>
        </r>
        <r>
          <rPr>
            <sz val="11"/>
            <color rgb="FF000000"/>
            <rFont val="Calibri"/>
          </rPr>
          <t>"</t>
        </r>
        <r>
          <rPr>
            <sz val="11"/>
            <color rgb="FF000000"/>
            <rFont val="Calibri"/>
          </rPr>
          <t xml:space="preserve">, and </t>
        </r>
        <r>
          <rPr>
            <sz val="11"/>
            <color rgb="FF000000"/>
            <rFont val="Calibri"/>
          </rPr>
          <t>"</t>
        </r>
        <r>
          <rPr>
            <b/>
            <sz val="11"/>
            <color rgb="FF000000"/>
            <rFont val="Calibri"/>
          </rPr>
          <t>fchmodat</t>
        </r>
        <r>
          <rPr>
            <sz val="11"/>
            <color rgb="FF000000"/>
            <rFont val="Calibri"/>
          </rPr>
          <t>"</t>
        </r>
        <r>
          <rPr>
            <sz val="11"/>
            <color rgb="FF000000"/>
            <rFont val="Calibri"/>
          </rPr>
          <t xml:space="preserve"> system calls.</t>
        </r>
      </text>
    </comment>
    <comment ref="P224" authorId="0" shapeId="0" xr:uid="{00000000-0006-0000-0A00-0000F0000000}">
      <text>
        <r>
          <rPr>
            <sz val="11"/>
            <rFont val="Calibri"/>
          </rPr>
          <t xml:space="preserve">OL 8 must generate audit records for any use of the </t>
        </r>
        <r>
          <rPr>
            <sz val="11"/>
            <color rgb="FF000000"/>
            <rFont val="Calibri"/>
          </rPr>
          <t>"</t>
        </r>
        <r>
          <rPr>
            <b/>
            <sz val="11"/>
            <color rgb="FF000000"/>
            <rFont val="Calibri"/>
          </rPr>
          <t>chacl</t>
        </r>
        <r>
          <rPr>
            <sz val="11"/>
            <color rgb="FF000000"/>
            <rFont val="Calibri"/>
          </rPr>
          <t>"</t>
        </r>
        <r>
          <rPr>
            <sz val="11"/>
            <color rgb="FF000000"/>
            <rFont val="Calibri"/>
          </rPr>
          <t xml:space="preserve"> command.</t>
        </r>
      </text>
    </comment>
    <comment ref="L225" authorId="0" shapeId="0" xr:uid="{00000000-0006-0000-0A00-0000F1000000}">
      <text>
        <r>
          <rPr>
            <sz val="11"/>
            <rFont val="Calibri"/>
          </rPr>
          <t xml:space="preserve">OL 8 must generate audit records for any attempted modifications to the </t>
        </r>
        <r>
          <rPr>
            <sz val="11"/>
            <color rgb="FF000000"/>
            <rFont val="Calibri"/>
          </rPr>
          <t>"</t>
        </r>
        <r>
          <rPr>
            <b/>
            <sz val="11"/>
            <color rgb="FF000000"/>
            <rFont val="Calibri"/>
          </rPr>
          <t>faillock</t>
        </r>
        <r>
          <rPr>
            <sz val="11"/>
            <color rgb="FF000000"/>
            <rFont val="Calibri"/>
          </rPr>
          <t>"</t>
        </r>
        <r>
          <rPr>
            <sz val="11"/>
            <color rgb="FF000000"/>
            <rFont val="Calibri"/>
          </rPr>
          <t xml:space="preserve"> log file.</t>
        </r>
      </text>
    </comment>
    <comment ref="M225" authorId="0" shapeId="0" xr:uid="{00000000-0006-0000-0A00-0000F2000000}">
      <text>
        <r>
          <rPr>
            <sz val="11"/>
            <rFont val="Calibri"/>
          </rPr>
          <t xml:space="preserve">OL 8 must generate audit records for any attempted modifications to the </t>
        </r>
        <r>
          <rPr>
            <sz val="11"/>
            <color rgb="FF000000"/>
            <rFont val="Calibri"/>
          </rPr>
          <t>"</t>
        </r>
        <r>
          <rPr>
            <b/>
            <sz val="11"/>
            <color rgb="FF000000"/>
            <rFont val="Calibri"/>
          </rPr>
          <t>lastlog</t>
        </r>
        <r>
          <rPr>
            <sz val="11"/>
            <color rgb="FF000000"/>
            <rFont val="Calibri"/>
          </rPr>
          <t>"</t>
        </r>
        <r>
          <rPr>
            <sz val="11"/>
            <color rgb="FF000000"/>
            <rFont val="Calibri"/>
          </rPr>
          <t xml:space="preserve"> file.</t>
        </r>
      </text>
    </comment>
    <comment ref="L226" authorId="0" shapeId="0" xr:uid="{00000000-0006-0000-0A00-0000F3000000}">
      <text>
        <r>
          <rPr>
            <sz val="11"/>
            <rFont val="Calibri"/>
          </rPr>
          <t xml:space="preserve">OL 8 must generate audit records for any use of the </t>
        </r>
        <r>
          <rPr>
            <sz val="11"/>
            <color rgb="FF000000"/>
            <rFont val="Calibri"/>
          </rPr>
          <t>"</t>
        </r>
        <r>
          <rPr>
            <b/>
            <sz val="11"/>
            <color rgb="FF000000"/>
            <rFont val="Calibri"/>
          </rPr>
          <t>chage</t>
        </r>
        <r>
          <rPr>
            <sz val="11"/>
            <color rgb="FF000000"/>
            <rFont val="Calibri"/>
          </rPr>
          <t>"</t>
        </r>
        <r>
          <rPr>
            <sz val="11"/>
            <color rgb="FF000000"/>
            <rFont val="Calibri"/>
          </rPr>
          <t xml:space="preserve"> command.</t>
        </r>
      </text>
    </comment>
    <comment ref="M226" authorId="0" shapeId="0" xr:uid="{00000000-0006-0000-0A00-0000F4000000}">
      <text>
        <r>
          <rPr>
            <sz val="11"/>
            <rFont val="Calibri"/>
          </rPr>
          <t xml:space="preserve">OL 8 must generate audit records for any use of the </t>
        </r>
        <r>
          <rPr>
            <sz val="11"/>
            <color rgb="FF000000"/>
            <rFont val="Calibri"/>
          </rPr>
          <t>"</t>
        </r>
        <r>
          <rPr>
            <b/>
            <sz val="11"/>
            <color rgb="FF000000"/>
            <rFont val="Calibri"/>
          </rPr>
          <t>unix_update</t>
        </r>
        <r>
          <rPr>
            <sz val="11"/>
            <color rgb="FF000000"/>
            <rFont val="Calibri"/>
          </rPr>
          <t>"</t>
        </r>
        <r>
          <rPr>
            <sz val="11"/>
            <color rgb="FF000000"/>
            <rFont val="Calibri"/>
          </rPr>
          <t xml:space="preserve"> command.</t>
        </r>
      </text>
    </comment>
    <comment ref="N226" authorId="0" shapeId="0" xr:uid="{00000000-0006-0000-0A00-0000F5000000}">
      <text>
        <r>
          <rPr>
            <sz val="11"/>
            <rFont val="Calibri"/>
          </rPr>
          <t xml:space="preserve">OL 8 must generate audit records for any use of the </t>
        </r>
        <r>
          <rPr>
            <sz val="11"/>
            <color rgb="FF000000"/>
            <rFont val="Calibri"/>
          </rPr>
          <t>"</t>
        </r>
        <r>
          <rPr>
            <b/>
            <sz val="11"/>
            <color rgb="FF000000"/>
            <rFont val="Calibri"/>
          </rPr>
          <t>userhelper</t>
        </r>
        <r>
          <rPr>
            <sz val="11"/>
            <color rgb="FF000000"/>
            <rFont val="Calibri"/>
          </rPr>
          <t>"</t>
        </r>
        <r>
          <rPr>
            <sz val="11"/>
            <color rgb="FF000000"/>
            <rFont val="Calibri"/>
          </rPr>
          <t xml:space="preserve"> command.</t>
        </r>
      </text>
    </comment>
    <comment ref="O226" authorId="0" shapeId="0" xr:uid="{00000000-0006-0000-0A00-0000F6000000}">
      <text>
        <r>
          <rPr>
            <sz val="11"/>
            <rFont val="Calibri"/>
          </rPr>
          <t xml:space="preserve">OL 8 must generate audit records for any use of the </t>
        </r>
        <r>
          <rPr>
            <sz val="11"/>
            <color rgb="FF000000"/>
            <rFont val="Calibri"/>
          </rPr>
          <t>"</t>
        </r>
        <r>
          <rPr>
            <b/>
            <sz val="11"/>
            <color rgb="FF000000"/>
            <rFont val="Calibri"/>
          </rPr>
          <t>unix_chkpwd</t>
        </r>
        <r>
          <rPr>
            <sz val="11"/>
            <color rgb="FF000000"/>
            <rFont val="Calibri"/>
          </rPr>
          <t>"</t>
        </r>
        <r>
          <rPr>
            <sz val="11"/>
            <color rgb="FF000000"/>
            <rFont val="Calibri"/>
          </rPr>
          <t xml:space="preserve"> command.</t>
        </r>
      </text>
    </comment>
    <comment ref="P226" authorId="0" shapeId="0" xr:uid="{00000000-0006-0000-0A00-0000F7000000}">
      <text>
        <r>
          <rPr>
            <sz val="11"/>
            <rFont val="Calibri"/>
          </rPr>
          <t xml:space="preserve">OL 8 must generate audit records for any use of the </t>
        </r>
        <r>
          <rPr>
            <sz val="11"/>
            <color rgb="FF000000"/>
            <rFont val="Calibri"/>
          </rPr>
          <t>"</t>
        </r>
        <r>
          <rPr>
            <b/>
            <sz val="11"/>
            <color rgb="FF000000"/>
            <rFont val="Calibri"/>
          </rPr>
          <t>gpasswd</t>
        </r>
        <r>
          <rPr>
            <sz val="11"/>
            <color rgb="FF000000"/>
            <rFont val="Calibri"/>
          </rPr>
          <t>"</t>
        </r>
        <r>
          <rPr>
            <sz val="11"/>
            <color rgb="FF000000"/>
            <rFont val="Calibri"/>
          </rPr>
          <t xml:space="preserve"> command.</t>
        </r>
      </text>
    </comment>
    <comment ref="Q226" authorId="0" shapeId="0" xr:uid="{00000000-0006-0000-0A00-0000F8000000}">
      <text>
        <r>
          <rPr>
            <sz val="11"/>
            <rFont val="Calibri"/>
          </rPr>
          <t xml:space="preserve">OL 8 must generate audit records for any use of the </t>
        </r>
        <r>
          <rPr>
            <sz val="11"/>
            <color rgb="FF000000"/>
            <rFont val="Calibri"/>
          </rPr>
          <t>"</t>
        </r>
        <r>
          <rPr>
            <b/>
            <sz val="11"/>
            <color rgb="FF000000"/>
            <rFont val="Calibri"/>
          </rPr>
          <t>usermod</t>
        </r>
        <r>
          <rPr>
            <sz val="11"/>
            <color rgb="FF000000"/>
            <rFont val="Calibri"/>
          </rPr>
          <t>"</t>
        </r>
        <r>
          <rPr>
            <sz val="11"/>
            <color rgb="FF000000"/>
            <rFont val="Calibri"/>
          </rPr>
          <t xml:space="preserve"> command.</t>
        </r>
      </text>
    </comment>
    <comment ref="L227" authorId="0" shapeId="0" xr:uid="{00000000-0006-0000-0A00-0000F9000000}">
      <text>
        <r>
          <rPr>
            <sz val="11"/>
            <rFont val="Calibri"/>
          </rPr>
          <t xml:space="preserve">OL 8 must generate audit records for any uses of the </t>
        </r>
        <r>
          <rPr>
            <sz val="11"/>
            <color rgb="FF000000"/>
            <rFont val="Calibri"/>
          </rPr>
          <t>"</t>
        </r>
        <r>
          <rPr>
            <b/>
            <sz val="11"/>
            <color rgb="FF000000"/>
            <rFont val="Calibri"/>
          </rPr>
          <t>chcon</t>
        </r>
        <r>
          <rPr>
            <sz val="11"/>
            <color rgb="FF000000"/>
            <rFont val="Calibri"/>
          </rPr>
          <t>"</t>
        </r>
        <r>
          <rPr>
            <sz val="11"/>
            <color rgb="FF000000"/>
            <rFont val="Calibri"/>
          </rPr>
          <t xml:space="preserve"> command.</t>
        </r>
      </text>
    </comment>
    <comment ref="M227" authorId="0" shapeId="0" xr:uid="{00000000-0006-0000-0A00-0000FA000000}">
      <text>
        <r>
          <rPr>
            <sz val="11"/>
            <rFont val="Calibri"/>
          </rPr>
          <t xml:space="preserve">OL 8 must generate audit records for any use of the </t>
        </r>
        <r>
          <rPr>
            <sz val="11"/>
            <color rgb="FF000000"/>
            <rFont val="Calibri"/>
          </rPr>
          <t>"</t>
        </r>
        <r>
          <rPr>
            <b/>
            <sz val="11"/>
            <color rgb="FF000000"/>
            <rFont val="Calibri"/>
          </rPr>
          <t>mount</t>
        </r>
        <r>
          <rPr>
            <sz val="11"/>
            <color rgb="FF000000"/>
            <rFont val="Calibri"/>
          </rPr>
          <t>"</t>
        </r>
        <r>
          <rPr>
            <sz val="11"/>
            <color rgb="FF000000"/>
            <rFont val="Calibri"/>
          </rPr>
          <t xml:space="preserve"> command.</t>
        </r>
      </text>
    </comment>
    <comment ref="N227" authorId="0" shapeId="0" xr:uid="{00000000-0006-0000-0A00-0000FB000000}">
      <text>
        <r>
          <rPr>
            <sz val="11"/>
            <rFont val="Calibri"/>
          </rPr>
          <t xml:space="preserve">OL 8 must generate audit records for any use of the </t>
        </r>
        <r>
          <rPr>
            <sz val="11"/>
            <color rgb="FF000000"/>
            <rFont val="Calibri"/>
          </rPr>
          <t>"</t>
        </r>
        <r>
          <rPr>
            <b/>
            <sz val="11"/>
            <color rgb="FF000000"/>
            <rFont val="Calibri"/>
          </rPr>
          <t>umount</t>
        </r>
        <r>
          <rPr>
            <sz val="11"/>
            <color rgb="FF000000"/>
            <rFont val="Calibri"/>
          </rPr>
          <t>"</t>
        </r>
        <r>
          <rPr>
            <sz val="11"/>
            <color rgb="FF000000"/>
            <rFont val="Calibri"/>
          </rPr>
          <t xml:space="preserve"> command.</t>
        </r>
      </text>
    </comment>
    <comment ref="O227" authorId="0" shapeId="0" xr:uid="{00000000-0006-0000-0A00-0000FC000000}">
      <text>
        <r>
          <rPr>
            <sz val="11"/>
            <rFont val="Calibri"/>
          </rPr>
          <t xml:space="preserve">OL 8 must generate audit records for any use of the </t>
        </r>
        <r>
          <rPr>
            <sz val="11"/>
            <color rgb="FF000000"/>
            <rFont val="Calibri"/>
          </rPr>
          <t>"</t>
        </r>
        <r>
          <rPr>
            <b/>
            <sz val="11"/>
            <color rgb="FF000000"/>
            <rFont val="Calibri"/>
          </rPr>
          <t>semanage</t>
        </r>
        <r>
          <rPr>
            <sz val="11"/>
            <color rgb="FF000000"/>
            <rFont val="Calibri"/>
          </rPr>
          <t>"</t>
        </r>
        <r>
          <rPr>
            <sz val="11"/>
            <color rgb="FF000000"/>
            <rFont val="Calibri"/>
          </rPr>
          <t xml:space="preserve"> command.</t>
        </r>
      </text>
    </comment>
    <comment ref="P227" authorId="0" shapeId="0" xr:uid="{00000000-0006-0000-0A00-0000FD000000}">
      <text>
        <r>
          <rPr>
            <sz val="11"/>
            <rFont val="Calibri"/>
          </rPr>
          <t xml:space="preserve">OL 8 must generate audit records for any use of the </t>
        </r>
        <r>
          <rPr>
            <sz val="11"/>
            <color rgb="FF000000"/>
            <rFont val="Calibri"/>
          </rPr>
          <t>"</t>
        </r>
        <r>
          <rPr>
            <b/>
            <sz val="11"/>
            <color rgb="FF000000"/>
            <rFont val="Calibri"/>
          </rPr>
          <t>setfiles</t>
        </r>
        <r>
          <rPr>
            <sz val="11"/>
            <color rgb="FF000000"/>
            <rFont val="Calibri"/>
          </rPr>
          <t>"</t>
        </r>
        <r>
          <rPr>
            <sz val="11"/>
            <color rgb="FF000000"/>
            <rFont val="Calibri"/>
          </rPr>
          <t xml:space="preserve"> command.</t>
        </r>
      </text>
    </comment>
    <comment ref="Q227" authorId="0" shapeId="0" xr:uid="{00000000-0006-0000-0A00-0000FE000000}">
      <text>
        <r>
          <rPr>
            <sz val="11"/>
            <rFont val="Calibri"/>
          </rPr>
          <t xml:space="preserve">OL 8 must generate audit records for any use of the </t>
        </r>
        <r>
          <rPr>
            <sz val="11"/>
            <color rgb="FF000000"/>
            <rFont val="Calibri"/>
          </rPr>
          <t>"</t>
        </r>
        <r>
          <rPr>
            <b/>
            <sz val="11"/>
            <color rgb="FF000000"/>
            <rFont val="Calibri"/>
          </rPr>
          <t>setsebool</t>
        </r>
        <r>
          <rPr>
            <sz val="11"/>
            <color rgb="FF000000"/>
            <rFont val="Calibri"/>
          </rPr>
          <t>"</t>
        </r>
        <r>
          <rPr>
            <sz val="11"/>
            <color rgb="FF000000"/>
            <rFont val="Calibri"/>
          </rPr>
          <t xml:space="preserve"> command.</t>
        </r>
      </text>
    </comment>
    <comment ref="R227" authorId="0" shapeId="0" xr:uid="{00000000-0006-0000-0A00-0000FF000000}">
      <text>
        <r>
          <rPr>
            <sz val="11"/>
            <rFont val="Calibri"/>
          </rPr>
          <t xml:space="preserve">OL 8 must generate audit records for any use of the </t>
        </r>
        <r>
          <rPr>
            <sz val="11"/>
            <color rgb="FF000000"/>
            <rFont val="Calibri"/>
          </rPr>
          <t>"</t>
        </r>
        <r>
          <rPr>
            <b/>
            <sz val="11"/>
            <color rgb="FF000000"/>
            <rFont val="Calibri"/>
          </rPr>
          <t>init_module</t>
        </r>
        <r>
          <rPr>
            <sz val="11"/>
            <color rgb="FF000000"/>
            <rFont val="Calibri"/>
          </rPr>
          <t>"</t>
        </r>
        <r>
          <rPr>
            <sz val="11"/>
            <color rgb="FF000000"/>
            <rFont val="Calibri"/>
          </rPr>
          <t xml:space="preserve"> and </t>
        </r>
        <r>
          <rPr>
            <sz val="11"/>
            <color rgb="FF000000"/>
            <rFont val="Calibri"/>
          </rPr>
          <t>"</t>
        </r>
        <r>
          <rPr>
            <b/>
            <sz val="11"/>
            <color rgb="FF000000"/>
            <rFont val="Calibri"/>
          </rPr>
          <t>finit_module</t>
        </r>
        <r>
          <rPr>
            <sz val="11"/>
            <color rgb="FF000000"/>
            <rFont val="Calibri"/>
          </rPr>
          <t>"</t>
        </r>
        <r>
          <rPr>
            <sz val="11"/>
            <color rgb="FF000000"/>
            <rFont val="Calibri"/>
          </rPr>
          <t xml:space="preserve"> system calls.</t>
        </r>
      </text>
    </comment>
    <comment ref="S227" authorId="0" shapeId="0" xr:uid="{00000000-0006-0000-0A00-000000010000}">
      <text>
        <r>
          <rPr>
            <sz val="11"/>
            <rFont val="Calibri"/>
          </rPr>
          <t>OL 8 must generate audit records for any use of the delete_module syscall.</t>
        </r>
      </text>
    </comment>
    <comment ref="T227" authorId="0" shapeId="0" xr:uid="{00000000-0006-0000-0A00-000001010000}">
      <text>
        <r>
          <rPr>
            <sz val="11"/>
            <rFont val="Calibri"/>
          </rPr>
          <t xml:space="preserve">OL 8 must generate audit records for any use of the </t>
        </r>
        <r>
          <rPr>
            <sz val="11"/>
            <color rgb="FF000000"/>
            <rFont val="Calibri"/>
          </rPr>
          <t>"</t>
        </r>
        <r>
          <rPr>
            <b/>
            <sz val="11"/>
            <color rgb="FF000000"/>
            <rFont val="Calibri"/>
          </rPr>
          <t>kmod</t>
        </r>
        <r>
          <rPr>
            <sz val="11"/>
            <color rgb="FF000000"/>
            <rFont val="Calibri"/>
          </rPr>
          <t>"</t>
        </r>
        <r>
          <rPr>
            <sz val="11"/>
            <color rgb="FF000000"/>
            <rFont val="Calibri"/>
          </rPr>
          <t xml:space="preserve"> command.</t>
        </r>
      </text>
    </comment>
    <comment ref="U227" authorId="0" shapeId="0" xr:uid="{00000000-0006-0000-0A00-000002010000}">
      <text>
        <r>
          <rPr>
            <sz val="11"/>
            <rFont val="Calibri"/>
          </rPr>
          <t>OL 8 must enable Linux audit logging for the USBGuard daemon.</t>
        </r>
      </text>
    </comment>
    <comment ref="L228" authorId="0" shapeId="0" xr:uid="{00000000-0006-0000-0A00-000003010000}">
      <text>
        <r>
          <rPr>
            <sz val="11"/>
            <rFont val="Calibri"/>
          </rPr>
          <t xml:space="preserve">OL 8 must generate audit records for all account creation events that affect </t>
        </r>
        <r>
          <rPr>
            <sz val="11"/>
            <color rgb="FF000000"/>
            <rFont val="Calibri"/>
          </rPr>
          <t>"</t>
        </r>
        <r>
          <rPr>
            <b/>
            <sz val="11"/>
            <color rgb="FF000000"/>
            <rFont val="Calibri"/>
          </rPr>
          <t>/etc/shadow</t>
        </r>
        <r>
          <rPr>
            <sz val="11"/>
            <color rgb="FF000000"/>
            <rFont val="Calibri"/>
          </rPr>
          <t>"</t>
        </r>
        <r>
          <rPr>
            <sz val="11"/>
            <color rgb="FF000000"/>
            <rFont val="Calibri"/>
          </rPr>
          <t>.</t>
        </r>
      </text>
    </comment>
    <comment ref="M228" authorId="0" shapeId="0" xr:uid="{00000000-0006-0000-0A00-000004010000}">
      <text>
        <r>
          <rPr>
            <sz val="11"/>
            <rFont val="Calibri"/>
          </rPr>
          <t xml:space="preserve">OL 8 must generate audit records for all account creation events that affect </t>
        </r>
        <r>
          <rPr>
            <sz val="11"/>
            <color rgb="FF000000"/>
            <rFont val="Calibri"/>
          </rPr>
          <t>"</t>
        </r>
        <r>
          <rPr>
            <b/>
            <sz val="11"/>
            <color rgb="FF000000"/>
            <rFont val="Calibri"/>
          </rPr>
          <t>/etc/security/opasswd</t>
        </r>
        <r>
          <rPr>
            <sz val="11"/>
            <color rgb="FF000000"/>
            <rFont val="Calibri"/>
          </rPr>
          <t>"</t>
        </r>
        <r>
          <rPr>
            <sz val="11"/>
            <color rgb="FF000000"/>
            <rFont val="Calibri"/>
          </rPr>
          <t>.</t>
        </r>
      </text>
    </comment>
    <comment ref="N228" authorId="0" shapeId="0" xr:uid="{00000000-0006-0000-0A00-000005010000}">
      <text>
        <r>
          <rPr>
            <sz val="11"/>
            <rFont val="Calibri"/>
          </rPr>
          <t xml:space="preserve">OL 8 must generate audit records for all account creation events that affect </t>
        </r>
        <r>
          <rPr>
            <sz val="11"/>
            <color rgb="FF000000"/>
            <rFont val="Calibri"/>
          </rPr>
          <t>"</t>
        </r>
        <r>
          <rPr>
            <b/>
            <sz val="11"/>
            <color rgb="FF000000"/>
            <rFont val="Calibri"/>
          </rPr>
          <t>/etc/passwd</t>
        </r>
        <r>
          <rPr>
            <sz val="11"/>
            <color rgb="FF000000"/>
            <rFont val="Calibri"/>
          </rPr>
          <t>"</t>
        </r>
        <r>
          <rPr>
            <sz val="11"/>
            <color rgb="FF000000"/>
            <rFont val="Calibri"/>
          </rPr>
          <t>.</t>
        </r>
      </text>
    </comment>
    <comment ref="O228" authorId="0" shapeId="0" xr:uid="{00000000-0006-0000-0A00-000006010000}">
      <text>
        <r>
          <rPr>
            <sz val="11"/>
            <rFont val="Calibri"/>
          </rPr>
          <t xml:space="preserve">OL 8 must generate audit records for all account creation events that affect </t>
        </r>
        <r>
          <rPr>
            <sz val="11"/>
            <color rgb="FF000000"/>
            <rFont val="Calibri"/>
          </rPr>
          <t>"</t>
        </r>
        <r>
          <rPr>
            <b/>
            <sz val="11"/>
            <color rgb="FF000000"/>
            <rFont val="Calibri"/>
          </rPr>
          <t>/etc/gshadow</t>
        </r>
        <r>
          <rPr>
            <sz val="11"/>
            <color rgb="FF000000"/>
            <rFont val="Calibri"/>
          </rPr>
          <t>"</t>
        </r>
        <r>
          <rPr>
            <sz val="11"/>
            <color rgb="FF000000"/>
            <rFont val="Calibri"/>
          </rPr>
          <t>.</t>
        </r>
      </text>
    </comment>
    <comment ref="P228" authorId="0" shapeId="0" xr:uid="{00000000-0006-0000-0A00-000007010000}">
      <text>
        <r>
          <rPr>
            <sz val="11"/>
            <rFont val="Calibri"/>
          </rPr>
          <t xml:space="preserve">OL 8 must generate audit records for all account creation events that affect </t>
        </r>
        <r>
          <rPr>
            <sz val="11"/>
            <color rgb="FF000000"/>
            <rFont val="Calibri"/>
          </rPr>
          <t>"</t>
        </r>
        <r>
          <rPr>
            <b/>
            <sz val="11"/>
            <color rgb="FF000000"/>
            <rFont val="Calibri"/>
          </rPr>
          <t>/etc/group</t>
        </r>
        <r>
          <rPr>
            <sz val="11"/>
            <color rgb="FF000000"/>
            <rFont val="Calibri"/>
          </rPr>
          <t>"</t>
        </r>
        <r>
          <rPr>
            <sz val="11"/>
            <color rgb="FF000000"/>
            <rFont val="Calibri"/>
          </rPr>
          <t>.</t>
        </r>
      </text>
    </comment>
    <comment ref="Q228" authorId="0" shapeId="0" xr:uid="{00000000-0006-0000-0A00-000008010000}">
      <text>
        <r>
          <rPr>
            <sz val="11"/>
            <rFont val="Calibri"/>
          </rPr>
          <t xml:space="preserve">OL 8 must generate audit records for all account creations, modifications, disabling, and termination events that affect </t>
        </r>
        <r>
          <rPr>
            <sz val="11"/>
            <color rgb="FF000000"/>
            <rFont val="Calibri"/>
          </rPr>
          <t>"</t>
        </r>
        <r>
          <rPr>
            <b/>
            <sz val="11"/>
            <color rgb="FF000000"/>
            <rFont val="Calibri"/>
          </rPr>
          <t>/etc/sudoers</t>
        </r>
        <r>
          <rPr>
            <sz val="11"/>
            <color rgb="FF000000"/>
            <rFont val="Calibri"/>
          </rPr>
          <t>"</t>
        </r>
        <r>
          <rPr>
            <sz val="11"/>
            <color rgb="FF000000"/>
            <rFont val="Calibri"/>
          </rPr>
          <t>.</t>
        </r>
      </text>
    </comment>
    <comment ref="R228" authorId="0" shapeId="0" xr:uid="{00000000-0006-0000-0A00-000009010000}">
      <text>
        <r>
          <rPr>
            <sz val="11"/>
            <rFont val="Calibri"/>
          </rPr>
          <t xml:space="preserve">OL 8 must generate audit records for all account creations, modifications, disabling, and termination events that affect </t>
        </r>
        <r>
          <rPr>
            <sz val="11"/>
            <color rgb="FF000000"/>
            <rFont val="Calibri"/>
          </rPr>
          <t>"</t>
        </r>
        <r>
          <rPr>
            <b/>
            <sz val="11"/>
            <color rgb="FF000000"/>
            <rFont val="Calibri"/>
          </rPr>
          <t>/etc/sudoers.d/</t>
        </r>
        <r>
          <rPr>
            <sz val="11"/>
            <color rgb="FF000000"/>
            <rFont val="Calibri"/>
          </rPr>
          <t>"</t>
        </r>
        <r>
          <rPr>
            <sz val="11"/>
            <color rgb="FF000000"/>
            <rFont val="Calibri"/>
          </rPr>
          <t>.</t>
        </r>
      </text>
    </comment>
    <comment ref="S228" authorId="0" shapeId="0" xr:uid="{00000000-0006-0000-0A00-00000A010000}">
      <text>
        <r>
          <rPr>
            <sz val="11"/>
            <rFont val="Calibri"/>
          </rPr>
          <t xml:space="preserve">OL 8 must generate audit records for any use of the </t>
        </r>
        <r>
          <rPr>
            <sz val="11"/>
            <color rgb="FF000000"/>
            <rFont val="Calibri"/>
          </rPr>
          <t>"</t>
        </r>
        <r>
          <rPr>
            <b/>
            <sz val="11"/>
            <color rgb="FF000000"/>
            <rFont val="Calibri"/>
          </rPr>
          <t>rename</t>
        </r>
        <r>
          <rPr>
            <sz val="11"/>
            <color rgb="FF000000"/>
            <rFont val="Calibri"/>
          </rPr>
          <t>"</t>
        </r>
        <r>
          <rPr>
            <sz val="11"/>
            <color rgb="FF000000"/>
            <rFont val="Calibri"/>
          </rPr>
          <t xml:space="preserve">, </t>
        </r>
        <r>
          <rPr>
            <sz val="11"/>
            <color rgb="FF000000"/>
            <rFont val="Calibri"/>
          </rPr>
          <t>"</t>
        </r>
        <r>
          <rPr>
            <b/>
            <sz val="11"/>
            <color rgb="FF000000"/>
            <rFont val="Calibri"/>
          </rPr>
          <t>unlink</t>
        </r>
        <r>
          <rPr>
            <sz val="11"/>
            <color rgb="FF000000"/>
            <rFont val="Calibri"/>
          </rPr>
          <t>"</t>
        </r>
        <r>
          <rPr>
            <sz val="11"/>
            <color rgb="FF000000"/>
            <rFont val="Calibri"/>
          </rPr>
          <t xml:space="preserve">, </t>
        </r>
        <r>
          <rPr>
            <sz val="11"/>
            <color rgb="FF000000"/>
            <rFont val="Calibri"/>
          </rPr>
          <t>"</t>
        </r>
        <r>
          <rPr>
            <b/>
            <sz val="11"/>
            <color rgb="FF000000"/>
            <rFont val="Calibri"/>
          </rPr>
          <t>rmdir</t>
        </r>
        <r>
          <rPr>
            <sz val="11"/>
            <color rgb="FF000000"/>
            <rFont val="Calibri"/>
          </rPr>
          <t>"</t>
        </r>
        <r>
          <rPr>
            <sz val="11"/>
            <color rgb="FF000000"/>
            <rFont val="Calibri"/>
          </rPr>
          <t xml:space="preserve">, </t>
        </r>
        <r>
          <rPr>
            <sz val="11"/>
            <color rgb="FF000000"/>
            <rFont val="Calibri"/>
          </rPr>
          <t>"</t>
        </r>
        <r>
          <rPr>
            <b/>
            <sz val="11"/>
            <color rgb="FF000000"/>
            <rFont val="Calibri"/>
          </rPr>
          <t>renameat</t>
        </r>
        <r>
          <rPr>
            <sz val="11"/>
            <color rgb="FF000000"/>
            <rFont val="Calibri"/>
          </rPr>
          <t>"</t>
        </r>
        <r>
          <rPr>
            <sz val="11"/>
            <color rgb="FF000000"/>
            <rFont val="Calibri"/>
          </rPr>
          <t xml:space="preserve">, and </t>
        </r>
        <r>
          <rPr>
            <sz val="11"/>
            <color rgb="FF000000"/>
            <rFont val="Calibri"/>
          </rPr>
          <t>"</t>
        </r>
        <r>
          <rPr>
            <b/>
            <sz val="11"/>
            <color rgb="FF000000"/>
            <rFont val="Calibri"/>
          </rPr>
          <t>unlinkat</t>
        </r>
        <r>
          <rPr>
            <sz val="11"/>
            <color rgb="FF000000"/>
            <rFont val="Calibri"/>
          </rPr>
          <t>"</t>
        </r>
        <r>
          <rPr>
            <sz val="11"/>
            <color rgb="FF000000"/>
            <rFont val="Calibri"/>
          </rPr>
          <t xml:space="preserve"> system calls.</t>
        </r>
      </text>
    </comment>
    <comment ref="T228" authorId="0" shapeId="0" xr:uid="{00000000-0006-0000-0A00-00000B010000}">
      <text>
        <r>
          <rPr>
            <sz val="11"/>
            <rFont val="Calibri"/>
          </rPr>
          <t xml:space="preserve">OL 8 must generate audit records for any use of the </t>
        </r>
        <r>
          <rPr>
            <sz val="11"/>
            <color rgb="FF000000"/>
            <rFont val="Calibri"/>
          </rPr>
          <t>"</t>
        </r>
        <r>
          <rPr>
            <b/>
            <sz val="11"/>
            <color rgb="FF000000"/>
            <rFont val="Calibri"/>
          </rPr>
          <t>truncate</t>
        </r>
        <r>
          <rPr>
            <sz val="11"/>
            <color rgb="FF000000"/>
            <rFont val="Calibri"/>
          </rPr>
          <t>"</t>
        </r>
        <r>
          <rPr>
            <sz val="11"/>
            <color rgb="FF000000"/>
            <rFont val="Calibri"/>
          </rPr>
          <t xml:space="preserve">, </t>
        </r>
        <r>
          <rPr>
            <sz val="11"/>
            <color rgb="FF000000"/>
            <rFont val="Calibri"/>
          </rPr>
          <t>"</t>
        </r>
        <r>
          <rPr>
            <b/>
            <sz val="11"/>
            <color rgb="FF000000"/>
            <rFont val="Calibri"/>
          </rPr>
          <t>ftruncate</t>
        </r>
        <r>
          <rPr>
            <sz val="11"/>
            <color rgb="FF000000"/>
            <rFont val="Calibri"/>
          </rPr>
          <t>"</t>
        </r>
        <r>
          <rPr>
            <sz val="11"/>
            <color rgb="FF000000"/>
            <rFont val="Calibri"/>
          </rPr>
          <t xml:space="preserve">, </t>
        </r>
        <r>
          <rPr>
            <sz val="11"/>
            <color rgb="FF000000"/>
            <rFont val="Calibri"/>
          </rPr>
          <t>"</t>
        </r>
        <r>
          <rPr>
            <b/>
            <sz val="11"/>
            <color rgb="FF000000"/>
            <rFont val="Calibri"/>
          </rPr>
          <t>creat</t>
        </r>
        <r>
          <rPr>
            <sz val="11"/>
            <color rgb="FF000000"/>
            <rFont val="Calibri"/>
          </rPr>
          <t>"</t>
        </r>
        <r>
          <rPr>
            <sz val="11"/>
            <color rgb="FF000000"/>
            <rFont val="Calibri"/>
          </rPr>
          <t xml:space="preserve">, </t>
        </r>
        <r>
          <rPr>
            <sz val="11"/>
            <color rgb="FF000000"/>
            <rFont val="Calibri"/>
          </rPr>
          <t>"</t>
        </r>
        <r>
          <rPr>
            <b/>
            <sz val="11"/>
            <color rgb="FF000000"/>
            <rFont val="Calibri"/>
          </rPr>
          <t>open</t>
        </r>
        <r>
          <rPr>
            <sz val="11"/>
            <color rgb="FF000000"/>
            <rFont val="Calibri"/>
          </rPr>
          <t>"</t>
        </r>
        <r>
          <rPr>
            <sz val="11"/>
            <color rgb="FF000000"/>
            <rFont val="Calibri"/>
          </rPr>
          <t xml:space="preserve">, </t>
        </r>
        <r>
          <rPr>
            <sz val="11"/>
            <color rgb="FF000000"/>
            <rFont val="Calibri"/>
          </rPr>
          <t>"</t>
        </r>
        <r>
          <rPr>
            <b/>
            <sz val="11"/>
            <color rgb="FF000000"/>
            <rFont val="Calibri"/>
          </rPr>
          <t>openat</t>
        </r>
        <r>
          <rPr>
            <sz val="11"/>
            <color rgb="FF000000"/>
            <rFont val="Calibri"/>
          </rPr>
          <t>"</t>
        </r>
        <r>
          <rPr>
            <sz val="11"/>
            <color rgb="FF000000"/>
            <rFont val="Calibri"/>
          </rPr>
          <t xml:space="preserve">, and </t>
        </r>
        <r>
          <rPr>
            <sz val="11"/>
            <color rgb="FF000000"/>
            <rFont val="Calibri"/>
          </rPr>
          <t>"</t>
        </r>
        <r>
          <rPr>
            <b/>
            <sz val="11"/>
            <color rgb="FF000000"/>
            <rFont val="Calibri"/>
          </rPr>
          <t>open_by_handle_at</t>
        </r>
        <r>
          <rPr>
            <sz val="11"/>
            <color rgb="FF000000"/>
            <rFont val="Calibri"/>
          </rPr>
          <t>"</t>
        </r>
        <r>
          <rPr>
            <sz val="11"/>
            <color rgb="FF000000"/>
            <rFont val="Calibri"/>
          </rPr>
          <t xml:space="preserve"> system calls.</t>
        </r>
      </text>
    </comment>
    <comment ref="L231" authorId="0" shapeId="0" xr:uid="{00000000-0006-0000-0A00-00000C010000}">
      <text>
        <r>
          <rPr>
            <sz val="11"/>
            <rFont val="Calibri"/>
          </rPr>
          <t xml:space="preserve">The OL 8 </t>
        </r>
        <r>
          <rPr>
            <sz val="11"/>
            <color rgb="FF000000"/>
            <rFont val="Calibri"/>
          </rPr>
          <t>"</t>
        </r>
        <r>
          <rPr>
            <b/>
            <sz val="11"/>
            <color rgb="FF000000"/>
            <rFont val="Calibri"/>
          </rPr>
          <t>/var/log/messages</t>
        </r>
        <r>
          <rPr>
            <sz val="11"/>
            <color rgb="FF000000"/>
            <rFont val="Calibri"/>
          </rPr>
          <t>"</t>
        </r>
        <r>
          <rPr>
            <sz val="11"/>
            <color rgb="FF000000"/>
            <rFont val="Calibri"/>
          </rPr>
          <t xml:space="preserve"> file must have mode 0640 or less permissive.</t>
        </r>
      </text>
    </comment>
    <comment ref="M231" authorId="0" shapeId="0" xr:uid="{00000000-0006-0000-0A00-00000D010000}">
      <text>
        <r>
          <rPr>
            <sz val="11"/>
            <rFont val="Calibri"/>
          </rPr>
          <t xml:space="preserve">The OL 8 </t>
        </r>
        <r>
          <rPr>
            <sz val="11"/>
            <color rgb="FF000000"/>
            <rFont val="Calibri"/>
          </rPr>
          <t>"</t>
        </r>
        <r>
          <rPr>
            <b/>
            <sz val="11"/>
            <color rgb="FF000000"/>
            <rFont val="Calibri"/>
          </rPr>
          <t>/var/log/messages</t>
        </r>
        <r>
          <rPr>
            <sz val="11"/>
            <color rgb="FF000000"/>
            <rFont val="Calibri"/>
          </rPr>
          <t>"</t>
        </r>
        <r>
          <rPr>
            <sz val="11"/>
            <color rgb="FF000000"/>
            <rFont val="Calibri"/>
          </rPr>
          <t xml:space="preserve"> file must be owned by root.</t>
        </r>
      </text>
    </comment>
    <comment ref="N231" authorId="0" shapeId="0" xr:uid="{00000000-0006-0000-0A00-00000E010000}">
      <text>
        <r>
          <rPr>
            <sz val="11"/>
            <rFont val="Calibri"/>
          </rPr>
          <t xml:space="preserve">The OL 8 </t>
        </r>
        <r>
          <rPr>
            <sz val="11"/>
            <color rgb="FF000000"/>
            <rFont val="Calibri"/>
          </rPr>
          <t>"</t>
        </r>
        <r>
          <rPr>
            <b/>
            <sz val="11"/>
            <color rgb="FF000000"/>
            <rFont val="Calibri"/>
          </rPr>
          <t>/var/log/messages</t>
        </r>
        <r>
          <rPr>
            <sz val="11"/>
            <color rgb="FF000000"/>
            <rFont val="Calibri"/>
          </rPr>
          <t>"</t>
        </r>
        <r>
          <rPr>
            <sz val="11"/>
            <color rgb="FF000000"/>
            <rFont val="Calibri"/>
          </rPr>
          <t xml:space="preserve"> file must be group-owned by root.</t>
        </r>
      </text>
    </comment>
    <comment ref="O231" authorId="0" shapeId="0" xr:uid="{00000000-0006-0000-0A00-00000F010000}">
      <text>
        <r>
          <rPr>
            <sz val="11"/>
            <rFont val="Calibri"/>
          </rPr>
          <t xml:space="preserve">The OL 8 </t>
        </r>
        <r>
          <rPr>
            <sz val="11"/>
            <color rgb="FF000000"/>
            <rFont val="Calibri"/>
          </rPr>
          <t>"</t>
        </r>
        <r>
          <rPr>
            <b/>
            <sz val="11"/>
            <color rgb="FF000000"/>
            <rFont val="Calibri"/>
          </rPr>
          <t>/var/log</t>
        </r>
        <r>
          <rPr>
            <sz val="11"/>
            <color rgb="FF000000"/>
            <rFont val="Calibri"/>
          </rPr>
          <t>"</t>
        </r>
        <r>
          <rPr>
            <sz val="11"/>
            <color rgb="FF000000"/>
            <rFont val="Calibri"/>
          </rPr>
          <t xml:space="preserve"> directory must have mode 0755 or less permissive.</t>
        </r>
      </text>
    </comment>
    <comment ref="P231" authorId="0" shapeId="0" xr:uid="{00000000-0006-0000-0A00-000010010000}">
      <text>
        <r>
          <rPr>
            <sz val="11"/>
            <rFont val="Calibri"/>
          </rPr>
          <t xml:space="preserve">The OL 8 </t>
        </r>
        <r>
          <rPr>
            <sz val="11"/>
            <color rgb="FF000000"/>
            <rFont val="Calibri"/>
          </rPr>
          <t>"</t>
        </r>
        <r>
          <rPr>
            <b/>
            <sz val="11"/>
            <color rgb="FF000000"/>
            <rFont val="Calibri"/>
          </rPr>
          <t>/var/log</t>
        </r>
        <r>
          <rPr>
            <sz val="11"/>
            <color rgb="FF000000"/>
            <rFont val="Calibri"/>
          </rPr>
          <t>"</t>
        </r>
        <r>
          <rPr>
            <sz val="11"/>
            <color rgb="FF000000"/>
            <rFont val="Calibri"/>
          </rPr>
          <t xml:space="preserve"> directory must be owned by root.</t>
        </r>
      </text>
    </comment>
    <comment ref="Q231" authorId="0" shapeId="0" xr:uid="{00000000-0006-0000-0A00-000011010000}">
      <text>
        <r>
          <rPr>
            <sz val="11"/>
            <rFont val="Calibri"/>
          </rPr>
          <t xml:space="preserve">The OL 8 </t>
        </r>
        <r>
          <rPr>
            <sz val="11"/>
            <color rgb="FF000000"/>
            <rFont val="Calibri"/>
          </rPr>
          <t>"</t>
        </r>
        <r>
          <rPr>
            <b/>
            <sz val="11"/>
            <color rgb="FF000000"/>
            <rFont val="Calibri"/>
          </rPr>
          <t>/var/log</t>
        </r>
        <r>
          <rPr>
            <sz val="11"/>
            <color rgb="FF000000"/>
            <rFont val="Calibri"/>
          </rPr>
          <t>"</t>
        </r>
        <r>
          <rPr>
            <sz val="11"/>
            <color rgb="FF000000"/>
            <rFont val="Calibri"/>
          </rPr>
          <t xml:space="preserve"> directory must be group-owned by root.</t>
        </r>
      </text>
    </comment>
    <comment ref="R231" authorId="0" shapeId="0" xr:uid="{00000000-0006-0000-0A00-000012010000}">
      <text>
        <r>
          <rPr>
            <sz val="11"/>
            <rFont val="Calibri"/>
          </rPr>
          <t xml:space="preserve">OL 8 audit logs must have a mode of </t>
        </r>
        <r>
          <rPr>
            <sz val="11"/>
            <color rgb="FF000000"/>
            <rFont val="Calibri"/>
          </rPr>
          <t>"</t>
        </r>
        <r>
          <rPr>
            <b/>
            <sz val="11"/>
            <color rgb="FF000000"/>
            <rFont val="Calibri"/>
          </rPr>
          <t>0600</t>
        </r>
        <r>
          <rPr>
            <sz val="11"/>
            <color rgb="FF000000"/>
            <rFont val="Calibri"/>
          </rPr>
          <t>"</t>
        </r>
        <r>
          <rPr>
            <sz val="11"/>
            <color rgb="FF000000"/>
            <rFont val="Calibri"/>
          </rPr>
          <t xml:space="preserve"> or less permissive to prevent unauthorized read access.</t>
        </r>
      </text>
    </comment>
    <comment ref="S231" authorId="0" shapeId="0" xr:uid="{00000000-0006-0000-0A00-000013010000}">
      <text>
        <r>
          <rPr>
            <sz val="11"/>
            <rFont val="Calibri"/>
          </rPr>
          <t>OL 8 audit logs must be owned by root to prevent unauthorized read access.</t>
        </r>
      </text>
    </comment>
    <comment ref="T231" authorId="0" shapeId="0" xr:uid="{00000000-0006-0000-0A00-000014010000}">
      <text>
        <r>
          <rPr>
            <sz val="11"/>
            <rFont val="Calibri"/>
          </rPr>
          <t>OL 8 audit logs must be group-owned by root to prevent unauthorized read access.</t>
        </r>
      </text>
    </comment>
    <comment ref="U231" authorId="0" shapeId="0" xr:uid="{00000000-0006-0000-0A00-000015010000}">
      <text>
        <r>
          <rPr>
            <sz val="11"/>
            <rFont val="Calibri"/>
          </rPr>
          <t>The OL 8 audit log directory must be owned by root to prevent unauthorized read access.</t>
        </r>
      </text>
    </comment>
    <comment ref="V231" authorId="0" shapeId="0" xr:uid="{00000000-0006-0000-0A00-000016010000}">
      <text>
        <r>
          <rPr>
            <sz val="11"/>
            <rFont val="Calibri"/>
          </rPr>
          <t>The OL 8 audit log directory must be group-owned by root to prevent unauthorized read access.</t>
        </r>
      </text>
    </comment>
    <comment ref="W231" authorId="0" shapeId="0" xr:uid="{00000000-0006-0000-0A00-000017010000}">
      <text>
        <r>
          <rPr>
            <sz val="11"/>
            <rFont val="Calibri"/>
          </rPr>
          <t>The OL 8 audit log directory must have a mode of 0700 or less permissive to prevent unauthorized read access.</t>
        </r>
      </text>
    </comment>
    <comment ref="L232" authorId="0" shapeId="0" xr:uid="{00000000-0006-0000-0A00-000018010000}">
      <text>
        <r>
          <rPr>
            <sz val="11"/>
            <rFont val="Calibri"/>
          </rPr>
          <t xml:space="preserve">The OL 8 </t>
        </r>
        <r>
          <rPr>
            <sz val="11"/>
            <color rgb="FF000000"/>
            <rFont val="Calibri"/>
          </rPr>
          <t>"</t>
        </r>
        <r>
          <rPr>
            <b/>
            <sz val="11"/>
            <color rgb="FF000000"/>
            <rFont val="Calibri"/>
          </rPr>
          <t>/var/log/messages</t>
        </r>
        <r>
          <rPr>
            <sz val="11"/>
            <color rgb="FF000000"/>
            <rFont val="Calibri"/>
          </rPr>
          <t>"</t>
        </r>
        <r>
          <rPr>
            <sz val="11"/>
            <color rgb="FF000000"/>
            <rFont val="Calibri"/>
          </rPr>
          <t xml:space="preserve"> file must have mode 0640 or less permissive.</t>
        </r>
      </text>
    </comment>
    <comment ref="M232" authorId="0" shapeId="0" xr:uid="{00000000-0006-0000-0A00-000019010000}">
      <text>
        <r>
          <rPr>
            <sz val="11"/>
            <rFont val="Calibri"/>
          </rPr>
          <t xml:space="preserve">The OL 8 </t>
        </r>
        <r>
          <rPr>
            <sz val="11"/>
            <color rgb="FF000000"/>
            <rFont val="Calibri"/>
          </rPr>
          <t>"</t>
        </r>
        <r>
          <rPr>
            <b/>
            <sz val="11"/>
            <color rgb="FF000000"/>
            <rFont val="Calibri"/>
          </rPr>
          <t>/var/log/messages</t>
        </r>
        <r>
          <rPr>
            <sz val="11"/>
            <color rgb="FF000000"/>
            <rFont val="Calibri"/>
          </rPr>
          <t>"</t>
        </r>
        <r>
          <rPr>
            <sz val="11"/>
            <color rgb="FF000000"/>
            <rFont val="Calibri"/>
          </rPr>
          <t xml:space="preserve"> file must be owned by root.</t>
        </r>
      </text>
    </comment>
    <comment ref="N232" authorId="0" shapeId="0" xr:uid="{00000000-0006-0000-0A00-00001A010000}">
      <text>
        <r>
          <rPr>
            <sz val="11"/>
            <rFont val="Calibri"/>
          </rPr>
          <t xml:space="preserve">The OL 8 </t>
        </r>
        <r>
          <rPr>
            <sz val="11"/>
            <color rgb="FF000000"/>
            <rFont val="Calibri"/>
          </rPr>
          <t>"</t>
        </r>
        <r>
          <rPr>
            <b/>
            <sz val="11"/>
            <color rgb="FF000000"/>
            <rFont val="Calibri"/>
          </rPr>
          <t>/var/log/messages</t>
        </r>
        <r>
          <rPr>
            <sz val="11"/>
            <color rgb="FF000000"/>
            <rFont val="Calibri"/>
          </rPr>
          <t>"</t>
        </r>
        <r>
          <rPr>
            <sz val="11"/>
            <color rgb="FF000000"/>
            <rFont val="Calibri"/>
          </rPr>
          <t xml:space="preserve"> file must be group-owned by root.</t>
        </r>
      </text>
    </comment>
    <comment ref="O232" authorId="0" shapeId="0" xr:uid="{00000000-0006-0000-0A00-00001B010000}">
      <text>
        <r>
          <rPr>
            <sz val="11"/>
            <rFont val="Calibri"/>
          </rPr>
          <t xml:space="preserve">The OL 8 </t>
        </r>
        <r>
          <rPr>
            <sz val="11"/>
            <color rgb="FF000000"/>
            <rFont val="Calibri"/>
          </rPr>
          <t>"</t>
        </r>
        <r>
          <rPr>
            <b/>
            <sz val="11"/>
            <color rgb="FF000000"/>
            <rFont val="Calibri"/>
          </rPr>
          <t>/var/log</t>
        </r>
        <r>
          <rPr>
            <sz val="11"/>
            <color rgb="FF000000"/>
            <rFont val="Calibri"/>
          </rPr>
          <t>"</t>
        </r>
        <r>
          <rPr>
            <sz val="11"/>
            <color rgb="FF000000"/>
            <rFont val="Calibri"/>
          </rPr>
          <t xml:space="preserve"> directory must have mode 0755 or less permissive.</t>
        </r>
      </text>
    </comment>
    <comment ref="P232" authorId="0" shapeId="0" xr:uid="{00000000-0006-0000-0A00-00001C010000}">
      <text>
        <r>
          <rPr>
            <sz val="11"/>
            <rFont val="Calibri"/>
          </rPr>
          <t xml:space="preserve">The OL 8 </t>
        </r>
        <r>
          <rPr>
            <sz val="11"/>
            <color rgb="FF000000"/>
            <rFont val="Calibri"/>
          </rPr>
          <t>"</t>
        </r>
        <r>
          <rPr>
            <b/>
            <sz val="11"/>
            <color rgb="FF000000"/>
            <rFont val="Calibri"/>
          </rPr>
          <t>/var/log</t>
        </r>
        <r>
          <rPr>
            <sz val="11"/>
            <color rgb="FF000000"/>
            <rFont val="Calibri"/>
          </rPr>
          <t>"</t>
        </r>
        <r>
          <rPr>
            <sz val="11"/>
            <color rgb="FF000000"/>
            <rFont val="Calibri"/>
          </rPr>
          <t xml:space="preserve"> directory must be owned by root.</t>
        </r>
      </text>
    </comment>
    <comment ref="Q232" authorId="0" shapeId="0" xr:uid="{00000000-0006-0000-0A00-00001D010000}">
      <text>
        <r>
          <rPr>
            <sz val="11"/>
            <rFont val="Calibri"/>
          </rPr>
          <t xml:space="preserve">The OL 8 </t>
        </r>
        <r>
          <rPr>
            <sz val="11"/>
            <color rgb="FF000000"/>
            <rFont val="Calibri"/>
          </rPr>
          <t>"</t>
        </r>
        <r>
          <rPr>
            <b/>
            <sz val="11"/>
            <color rgb="FF000000"/>
            <rFont val="Calibri"/>
          </rPr>
          <t>/var/log</t>
        </r>
        <r>
          <rPr>
            <sz val="11"/>
            <color rgb="FF000000"/>
            <rFont val="Calibri"/>
          </rPr>
          <t>"</t>
        </r>
        <r>
          <rPr>
            <sz val="11"/>
            <color rgb="FF000000"/>
            <rFont val="Calibri"/>
          </rPr>
          <t xml:space="preserve"> directory must be group-owned by root.</t>
        </r>
      </text>
    </comment>
    <comment ref="R232" authorId="0" shapeId="0" xr:uid="{00000000-0006-0000-0A00-00001E010000}">
      <text>
        <r>
          <rPr>
            <sz val="11"/>
            <rFont val="Calibri"/>
          </rPr>
          <t xml:space="preserve">OL 8 audit logs must have a mode of </t>
        </r>
        <r>
          <rPr>
            <sz val="11"/>
            <color rgb="FF000000"/>
            <rFont val="Calibri"/>
          </rPr>
          <t>"</t>
        </r>
        <r>
          <rPr>
            <b/>
            <sz val="11"/>
            <color rgb="FF000000"/>
            <rFont val="Calibri"/>
          </rPr>
          <t>0600</t>
        </r>
        <r>
          <rPr>
            <sz val="11"/>
            <color rgb="FF000000"/>
            <rFont val="Calibri"/>
          </rPr>
          <t>"</t>
        </r>
        <r>
          <rPr>
            <sz val="11"/>
            <color rgb="FF000000"/>
            <rFont val="Calibri"/>
          </rPr>
          <t xml:space="preserve"> or less permissive to prevent unauthorized read access.</t>
        </r>
      </text>
    </comment>
    <comment ref="S232" authorId="0" shapeId="0" xr:uid="{00000000-0006-0000-0A00-00001F010000}">
      <text>
        <r>
          <rPr>
            <sz val="11"/>
            <rFont val="Calibri"/>
          </rPr>
          <t>OL 8 audit logs must be owned by root to prevent unauthorized read access.</t>
        </r>
      </text>
    </comment>
    <comment ref="T232" authorId="0" shapeId="0" xr:uid="{00000000-0006-0000-0A00-000020010000}">
      <text>
        <r>
          <rPr>
            <sz val="11"/>
            <rFont val="Calibri"/>
          </rPr>
          <t>OL 8 audit logs must be group-owned by root to prevent unauthorized read access.</t>
        </r>
      </text>
    </comment>
    <comment ref="U232" authorId="0" shapeId="0" xr:uid="{00000000-0006-0000-0A00-000021010000}">
      <text>
        <r>
          <rPr>
            <sz val="11"/>
            <rFont val="Calibri"/>
          </rPr>
          <t>The OL 8 audit log directory must be owned by root to prevent unauthorized read access.</t>
        </r>
      </text>
    </comment>
    <comment ref="V232" authorId="0" shapeId="0" xr:uid="{00000000-0006-0000-0A00-000022010000}">
      <text>
        <r>
          <rPr>
            <sz val="11"/>
            <rFont val="Calibri"/>
          </rPr>
          <t>The OL 8 audit log directory must be group-owned by root to prevent unauthorized read access.</t>
        </r>
      </text>
    </comment>
    <comment ref="W232" authorId="0" shapeId="0" xr:uid="{00000000-0006-0000-0A00-000023010000}">
      <text>
        <r>
          <rPr>
            <sz val="11"/>
            <rFont val="Calibri"/>
          </rPr>
          <t>The OL 8 audit log directory must have a mode of 0700 or less permissive to prevent unauthorized read access.</t>
        </r>
      </text>
    </comment>
    <comment ref="X232" authorId="0" shapeId="0" xr:uid="{00000000-0006-0000-0A00-000024010000}">
      <text>
        <r>
          <rPr>
            <sz val="11"/>
            <rFont val="Calibri"/>
          </rPr>
          <t>The OL 8 audit system must protect auditing rules from unauthorized change.</t>
        </r>
      </text>
    </comment>
    <comment ref="Y232" authorId="0" shapeId="0" xr:uid="{00000000-0006-0000-0A00-000025010000}">
      <text>
        <r>
          <rPr>
            <sz val="11"/>
            <rFont val="Calibri"/>
          </rPr>
          <t>The OL 8 audit system must protect logon UIDs from unauthorized change.</t>
        </r>
      </text>
    </comment>
    <comment ref="Z232" authorId="0" shapeId="0" xr:uid="{00000000-0006-0000-0A00-000026010000}">
      <text>
        <r>
          <rPr>
            <sz val="11"/>
            <rFont val="Calibri"/>
          </rPr>
          <t xml:space="preserve">OL 8 audit tools must have a mode of </t>
        </r>
        <r>
          <rPr>
            <sz val="11"/>
            <color rgb="FF000000"/>
            <rFont val="Calibri"/>
          </rPr>
          <t>"</t>
        </r>
        <r>
          <rPr>
            <b/>
            <sz val="11"/>
            <color rgb="FF000000"/>
            <rFont val="Calibri"/>
          </rPr>
          <t>0755</t>
        </r>
        <r>
          <rPr>
            <sz val="11"/>
            <color rgb="FF000000"/>
            <rFont val="Calibri"/>
          </rPr>
          <t>"</t>
        </r>
        <r>
          <rPr>
            <sz val="11"/>
            <color rgb="FF000000"/>
            <rFont val="Calibri"/>
          </rPr>
          <t xml:space="preserve"> or less permissive.</t>
        </r>
      </text>
    </comment>
    <comment ref="AA232" authorId="0" shapeId="0" xr:uid="{00000000-0006-0000-0A00-000027010000}">
      <text>
        <r>
          <rPr>
            <sz val="11"/>
            <rFont val="Calibri"/>
          </rPr>
          <t>OL 8 audit tools must be owned by root.</t>
        </r>
      </text>
    </comment>
    <comment ref="AB232" authorId="0" shapeId="0" xr:uid="{00000000-0006-0000-0A00-000028010000}">
      <text>
        <r>
          <rPr>
            <sz val="11"/>
            <rFont val="Calibri"/>
          </rPr>
          <t>OL 8 audit tools must be group-owned by root.</t>
        </r>
      </text>
    </comment>
    <comment ref="AC232" authorId="0" shapeId="0" xr:uid="{00000000-0006-0000-0A00-000029010000}">
      <text>
        <r>
          <rPr>
            <sz val="11"/>
            <rFont val="Calibri"/>
          </rPr>
          <t>OL 8 must use cryptographic mechanisms to protect the integrity of audit tools.</t>
        </r>
      </text>
    </comment>
    <comment ref="L234" authorId="0" shapeId="0" xr:uid="{00000000-0006-0000-0A00-00002A010000}">
      <text>
        <r>
          <rPr>
            <sz val="11"/>
            <rFont val="Calibri"/>
          </rPr>
          <t>The OL 8 audit system must protect auditing rules from unauthorized change.</t>
        </r>
      </text>
    </comment>
    <comment ref="M234" authorId="0" shapeId="0" xr:uid="{00000000-0006-0000-0A00-00002B010000}">
      <text>
        <r>
          <rPr>
            <sz val="11"/>
            <rFont val="Calibri"/>
          </rPr>
          <t>OL 8 must use cryptographic mechanisms to protect the integrity of audit tools.</t>
        </r>
      </text>
    </comment>
    <comment ref="L242" authorId="0" shapeId="0" xr:uid="{00000000-0006-0000-0A00-00002C010000}">
      <text>
        <r>
          <rPr>
            <sz val="11"/>
            <rFont val="Calibri"/>
          </rPr>
          <t>OL 8 must label all offloaded audit logs before sending them to the central log server.</t>
        </r>
      </text>
    </comment>
    <comment ref="M242" authorId="0" shapeId="0" xr:uid="{00000000-0006-0000-0A00-00002D010000}">
      <text>
        <r>
          <rPr>
            <sz val="11"/>
            <rFont val="Calibri"/>
          </rPr>
          <t>OL 8 must allocate audit record storage capacity to store at least one week of audit records when audit records are not immediately sent to a central audit record storage facility.</t>
        </r>
      </text>
    </comment>
    <comment ref="N242" authorId="0" shapeId="0" xr:uid="{00000000-0006-0000-0A00-00002E010000}">
      <text>
        <r>
          <rPr>
            <sz val="11"/>
            <rFont val="Calibri"/>
          </rPr>
          <t>OL 8 must have the packages required for offloading audit logs installed.</t>
        </r>
      </text>
    </comment>
    <comment ref="O242" authorId="0" shapeId="0" xr:uid="{00000000-0006-0000-0A00-00002F010000}">
      <text>
        <r>
          <rPr>
            <sz val="11"/>
            <rFont val="Calibri"/>
          </rPr>
          <t>OL 8 must have the packages required for encrypting offloaded audit logs installed.</t>
        </r>
      </text>
    </comment>
    <comment ref="P242" authorId="0" shapeId="0" xr:uid="{00000000-0006-0000-0A00-000030010000}">
      <text>
        <r>
          <rPr>
            <sz val="11"/>
            <rFont val="Calibri"/>
          </rPr>
          <t>OL 8 must encrypt the transfer of audit records offloaded onto a different system or media from the system being audited.</t>
        </r>
      </text>
    </comment>
    <comment ref="Q242" authorId="0" shapeId="0" xr:uid="{00000000-0006-0000-0A00-000031010000}">
      <text>
        <r>
          <rPr>
            <sz val="11"/>
            <rFont val="Calibri"/>
          </rPr>
          <t>OL 8 must authenticate the remote logging server for offloading audit logs.</t>
        </r>
      </text>
    </comment>
    <comment ref="R242" authorId="0" shapeId="0" xr:uid="{00000000-0006-0000-0A00-000032010000}">
      <text>
        <r>
          <rPr>
            <sz val="11"/>
            <rFont val="Calibri"/>
          </rPr>
          <t>OL 8 must take action when allocated audit record storage volume reaches 75 percent of the repository maximum audit record storage capacity.</t>
        </r>
      </text>
    </comment>
    <comment ref="L244" authorId="0" shapeId="0" xr:uid="{00000000-0006-0000-0A00-000033010000}">
      <text>
        <r>
          <rPr>
            <sz val="11"/>
            <rFont val="Calibri"/>
          </rPr>
          <t xml:space="preserve">OL 8 must generate audit records for any use of the </t>
        </r>
        <r>
          <rPr>
            <sz val="11"/>
            <color rgb="FF000000"/>
            <rFont val="Calibri"/>
          </rPr>
          <t>"</t>
        </r>
        <r>
          <rPr>
            <b/>
            <sz val="11"/>
            <color rgb="FF000000"/>
            <rFont val="Calibri"/>
          </rPr>
          <t>pam_timestamp_check</t>
        </r>
        <r>
          <rPr>
            <sz val="11"/>
            <color rgb="FF000000"/>
            <rFont val="Calibri"/>
          </rPr>
          <t>"</t>
        </r>
        <r>
          <rPr>
            <sz val="11"/>
            <color rgb="FF000000"/>
            <rFont val="Calibri"/>
          </rPr>
          <t xml:space="preserve"> command.</t>
        </r>
      </text>
    </comment>
    <comment ref="M244" authorId="0" shapeId="0" xr:uid="{00000000-0006-0000-0A00-000034010000}">
      <text>
        <r>
          <rPr>
            <sz val="11"/>
            <rFont val="Calibri"/>
          </rPr>
          <t>OL 8 must compare internal information system clocks at least every 24 hours with a server synchronized to an authoritative time source, such as the United States Naval Observatory (USNO) time servers, or a time server designated for the appropriate DOD network (NIPRNet/SIPRNet), and/or the Global Positioning System (GPS).</t>
        </r>
      </text>
    </comment>
    <comment ref="L249" authorId="0" shapeId="0" xr:uid="{00000000-0006-0000-0A00-000035010000}">
      <text>
        <r>
          <rPr>
            <sz val="11"/>
            <rFont val="Calibri"/>
          </rPr>
          <t>The OL 8 System Administrator (SA) and Information System Security Officer (ISSO) (at a minimum) must be alerted of an audit processing failure event.</t>
        </r>
      </text>
    </comment>
    <comment ref="M249" authorId="0" shapeId="0" xr:uid="{00000000-0006-0000-0A00-000036010000}">
      <text>
        <r>
          <rPr>
            <sz val="11"/>
            <rFont val="Calibri"/>
          </rPr>
          <t>The OL 8 Information System Security Officer (ISSO) and System Administrator (SA) (at a minimum) must have mail aliases to be notified of an audit processing failure.</t>
        </r>
      </text>
    </comment>
    <comment ref="N249" authorId="0" shapeId="0" xr:uid="{00000000-0006-0000-0A00-000037010000}">
      <text>
        <r>
          <rPr>
            <sz val="11"/>
            <rFont val="Calibri"/>
          </rPr>
          <t>The OL 8 System must take appropriate action when an audit processing failure occurs.</t>
        </r>
      </text>
    </comment>
    <comment ref="O249" authorId="0" shapeId="0" xr:uid="{00000000-0006-0000-0A00-000038010000}">
      <text>
        <r>
          <rPr>
            <sz val="11"/>
            <rFont val="Calibri"/>
          </rPr>
          <t>The OL 8 audit system must take appropriate action when the audit storage volume is full.</t>
        </r>
      </text>
    </comment>
    <comment ref="P249" authorId="0" shapeId="0" xr:uid="{00000000-0006-0000-0A00-000039010000}">
      <text>
        <r>
          <rPr>
            <sz val="11"/>
            <rFont val="Calibri"/>
          </rPr>
          <t>OL 8 must notify the System Administrator (SA) and Information System Security Officer (ISSO) (at a minimum) when allocated audit record storage volume 75 percent utilization.</t>
        </r>
      </text>
    </comment>
    <comment ref="L276" authorId="0" shapeId="0" xr:uid="{00000000-0006-0000-0A00-00003A010000}">
      <text>
        <r>
          <rPr>
            <sz val="11"/>
            <rFont val="Calibri"/>
          </rPr>
          <t>The OL 8 file integrity tool must notify the system administrator (SA) when changes to the baseline configuration or anomalies in the operation of any security functions are discovered within an organizationally defined frequency.</t>
        </r>
      </text>
    </comment>
    <comment ref="M276" authorId="0" shapeId="0" xr:uid="{00000000-0006-0000-0A00-00003B010000}">
      <text>
        <r>
          <rPr>
            <sz val="11"/>
            <rFont val="Calibri"/>
          </rPr>
          <t>The OL 8 file integrity tool must be configured to verify extended attributes.</t>
        </r>
      </text>
    </comment>
    <comment ref="N276" authorId="0" shapeId="0" xr:uid="{00000000-0006-0000-0A00-00003C010000}">
      <text>
        <r>
          <rPr>
            <sz val="11"/>
            <rFont val="Calibri"/>
          </rPr>
          <t>The OL 8 file integrity tool must be configured to verify Access Control Lists (ACLs).</t>
        </r>
      </text>
    </comment>
    <comment ref="O276" authorId="0" shapeId="0" xr:uid="{00000000-0006-0000-0A00-00003D010000}">
      <text>
        <r>
          <rPr>
            <sz val="11"/>
            <rFont val="Calibri"/>
          </rPr>
          <t>The OL 8 operating system must use a file integrity tool to verify correct operation of all security functions.</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02" authorId="0" shapeId="0" xr:uid="{00000000-0006-0000-0B00-000001000000}">
      <text>
        <r>
          <rPr>
            <sz val="11"/>
            <rFont val="Calibri"/>
          </rPr>
          <t>The OL 8 file integrity tool must notify the system administrator (SA) when changes to the baseline configuration or anomalies in the operation of any security functions are discovered within an organizationally defined frequency.</t>
        </r>
      </text>
    </comment>
    <comment ref="I202" authorId="0" shapeId="0" xr:uid="{00000000-0006-0000-0B00-000004000000}">
      <text>
        <r>
          <rPr>
            <sz val="11"/>
            <rFont val="Calibri"/>
          </rPr>
          <t>The OL 8 file integrity tool must be configured to verify extended attributes.</t>
        </r>
      </text>
    </comment>
    <comment ref="J202" authorId="0" shapeId="0" xr:uid="{00000000-0006-0000-0B00-000002000000}">
      <text>
        <r>
          <rPr>
            <sz val="11"/>
            <rFont val="Calibri"/>
          </rPr>
          <t>The OL 8 file integrity tool must be configured to verify Access Control Lists (ACLs).</t>
        </r>
      </text>
    </comment>
    <comment ref="K202" authorId="0" shapeId="0" xr:uid="{00000000-0006-0000-0B00-000003000000}">
      <text>
        <r>
          <rPr>
            <sz val="11"/>
            <rFont val="Calibri"/>
          </rPr>
          <t>The OL 8 operating system must use a file integrity tool to verify correct operation of all security functions.</t>
        </r>
      </text>
    </comment>
    <comment ref="H205" authorId="0" shapeId="0" xr:uid="{00000000-0006-0000-0B00-000005000000}">
      <text>
        <r>
          <rPr>
            <sz val="11"/>
            <rFont val="Calibri"/>
          </rPr>
          <t>All OL 8 local disk partitions must implement cryptographic mechanisms to prevent unauthorized disclosure or modification of all information that requires at-rest protection.</t>
        </r>
      </text>
    </comment>
    <comment ref="H209" authorId="0" shapeId="0" xr:uid="{00000000-0006-0000-0B00-000006000000}">
      <text>
        <r>
          <rPr>
            <sz val="11"/>
            <rFont val="Calibri"/>
          </rPr>
          <t xml:space="preserve">The OL 8 </t>
        </r>
        <r>
          <rPr>
            <sz val="11"/>
            <color rgb="FF000000"/>
            <rFont val="Calibri"/>
          </rPr>
          <t>"</t>
        </r>
        <r>
          <rPr>
            <b/>
            <sz val="11"/>
            <color rgb="FF000000"/>
            <rFont val="Calibri"/>
          </rPr>
          <t>fapolicy</t>
        </r>
        <r>
          <rPr>
            <sz val="11"/>
            <color rgb="FF000000"/>
            <rFont val="Calibri"/>
          </rPr>
          <t>"</t>
        </r>
        <r>
          <rPr>
            <sz val="11"/>
            <color rgb="FF000000"/>
            <rFont val="Calibri"/>
          </rPr>
          <t xml:space="preserve"> module must be installed.</t>
        </r>
      </text>
    </comment>
    <comment ref="I209" authorId="0" shapeId="0" xr:uid="{00000000-0006-0000-0B00-000007000000}">
      <text>
        <r>
          <rPr>
            <sz val="11"/>
            <rFont val="Calibri"/>
          </rPr>
          <t xml:space="preserve">The OL 8 </t>
        </r>
        <r>
          <rPr>
            <sz val="11"/>
            <color rgb="FF000000"/>
            <rFont val="Calibri"/>
          </rPr>
          <t>"</t>
        </r>
        <r>
          <rPr>
            <b/>
            <sz val="11"/>
            <color rgb="FF000000"/>
            <rFont val="Calibri"/>
          </rPr>
          <t>fapolicy</t>
        </r>
        <r>
          <rPr>
            <sz val="11"/>
            <color rgb="FF000000"/>
            <rFont val="Calibri"/>
          </rPr>
          <t>"</t>
        </r>
        <r>
          <rPr>
            <sz val="11"/>
            <color rgb="FF000000"/>
            <rFont val="Calibri"/>
          </rPr>
          <t xml:space="preserve"> module must be enabled.</t>
        </r>
      </text>
    </comment>
    <comment ref="J209" authorId="0" shapeId="0" xr:uid="{00000000-0006-0000-0B00-000008000000}">
      <text>
        <r>
          <rPr>
            <sz val="11"/>
            <rFont val="Calibri"/>
          </rPr>
          <t>The OL 8 fapolicy module must be configured to employ a deny-all, permit-by-exception policy to allow the execution of authorized software programs.</t>
        </r>
      </text>
    </comment>
    <comment ref="H210" authorId="0" shapeId="0" xr:uid="{00000000-0006-0000-0B00-000009000000}">
      <text>
        <r>
          <rPr>
            <sz val="11"/>
            <rFont val="Calibri"/>
          </rPr>
          <t>An OL 8 firewall must employ a deny-all, allow-by-exception policy for allowing connections to other systems.</t>
        </r>
      </text>
    </comment>
    <comment ref="I210" authorId="0" shapeId="0" xr:uid="{00000000-0006-0000-0B00-00000B000000}">
      <text>
        <r>
          <rPr>
            <sz val="11"/>
            <rFont val="Calibri"/>
          </rPr>
          <t>A firewall must be installed on OL 8.</t>
        </r>
      </text>
    </comment>
    <comment ref="J210" authorId="0" shapeId="0" xr:uid="{00000000-0006-0000-0B00-00000C000000}">
      <text>
        <r>
          <rPr>
            <sz val="11"/>
            <rFont val="Calibri"/>
          </rPr>
          <t>A firewall must be active on OL 8.</t>
        </r>
      </text>
    </comment>
    <comment ref="K210" authorId="0" shapeId="0" xr:uid="{00000000-0006-0000-0B00-00000D000000}">
      <text>
        <r>
          <rPr>
            <sz val="11"/>
            <rFont val="Calibri"/>
          </rPr>
          <t>A firewall must be able to protect against or limit the effects of denial-of-service (DoS) attacks by ensuring OL 8 can implement rate-limiting measures on impacted network interfaces.</t>
        </r>
      </text>
    </comment>
    <comment ref="L210" authorId="0" shapeId="0" xr:uid="{00000000-0006-0000-0B00-00000A000000}">
      <text>
        <r>
          <rPr>
            <sz val="11"/>
            <rFont val="Calibri"/>
          </rPr>
          <t>OL 8 network interfaces must not be in promiscuous mode.</t>
        </r>
      </text>
    </comment>
    <comment ref="H211" authorId="0" shapeId="0" xr:uid="{00000000-0006-0000-0B00-00000E000000}">
      <text>
        <r>
          <rPr>
            <sz val="11"/>
            <rFont val="Calibri"/>
          </rPr>
          <t>An OL 8 firewall must employ a deny-all, allow-by-exception policy for allowing connections to other systems.</t>
        </r>
      </text>
    </comment>
    <comment ref="I211" authorId="0" shapeId="0" xr:uid="{00000000-0006-0000-0B00-00000F000000}">
      <text>
        <r>
          <rPr>
            <sz val="11"/>
            <rFont val="Calibri"/>
          </rPr>
          <t>A firewall must be able to protect against or limit the effects of denial-of-service (DoS) attacks by ensuring OL 8 can implement rate-limiting measures on impacted network interfaces.</t>
        </r>
      </text>
    </comment>
    <comment ref="H217" authorId="0" shapeId="0" xr:uid="{00000000-0006-0000-0B00-000010000000}">
      <text>
        <r>
          <rPr>
            <sz val="11"/>
            <rFont val="Calibri"/>
          </rPr>
          <t>The OL 8 file system automounter must be disabled.</t>
        </r>
      </text>
    </comment>
    <comment ref="I217" authorId="0" shapeId="0" xr:uid="{00000000-0006-0000-0B00-000011000000}">
      <text>
        <r>
          <rPr>
            <sz val="11"/>
            <rFont val="Calibri"/>
          </rPr>
          <t>OL 8 must be configured to disable the ability to use USB mass storage devices.</t>
        </r>
      </text>
    </comment>
    <comment ref="J217" authorId="0" shapeId="0" xr:uid="{00000000-0006-0000-0B00-000012000000}">
      <text>
        <r>
          <rPr>
            <sz val="11"/>
            <rFont val="Calibri"/>
          </rPr>
          <t>OL 8 must have the USBGuard installed.</t>
        </r>
      </text>
    </comment>
    <comment ref="K217" authorId="0" shapeId="0" xr:uid="{00000000-0006-0000-0B00-000013000000}">
      <text>
        <r>
          <rPr>
            <sz val="11"/>
            <rFont val="Calibri"/>
          </rPr>
          <t>OL 8 must block unauthorized peripherals before establishing a connection.</t>
        </r>
      </text>
    </comment>
    <comment ref="L217" authorId="0" shapeId="0" xr:uid="{00000000-0006-0000-0B00-000014000000}">
      <text>
        <r>
          <rPr>
            <sz val="11"/>
            <rFont val="Calibri"/>
          </rPr>
          <t>OL 8 must enable the USBGuard.</t>
        </r>
      </text>
    </comment>
    <comment ref="H226" authorId="0" shapeId="0" xr:uid="{00000000-0006-0000-0B00-000015000000}">
      <text>
        <r>
          <rPr>
            <sz val="11"/>
            <rFont val="Calibri"/>
          </rPr>
          <t>YUM must be configured to prevent the installation of patches, service packs, device drivers, or OL 8 system components that have not been digitally signed using a certificate that is recognized and approved by the organization.</t>
        </r>
      </text>
    </comment>
    <comment ref="H227" authorId="0" shapeId="0" xr:uid="{00000000-0006-0000-0B00-000016000000}">
      <text>
        <r>
          <rPr>
            <sz val="11"/>
            <rFont val="Calibri"/>
          </rPr>
          <t>OL 8 vendor-packaged system security patches and updates must be installed and up to date.</t>
        </r>
      </text>
    </comment>
    <comment ref="I227" authorId="0" shapeId="0" xr:uid="{00000000-0006-0000-0B00-000017000000}">
      <text>
        <r>
          <rPr>
            <sz val="11"/>
            <rFont val="Calibri"/>
          </rPr>
          <t xml:space="preserve">OL 8 must have the </t>
        </r>
        <r>
          <rPr>
            <sz val="11"/>
            <color rgb="FF000000"/>
            <rFont val="Calibri"/>
          </rPr>
          <t>"</t>
        </r>
        <r>
          <rPr>
            <b/>
            <sz val="11"/>
            <color rgb="FF000000"/>
            <rFont val="Calibri"/>
          </rPr>
          <t>policycoreutils</t>
        </r>
        <r>
          <rPr>
            <sz val="11"/>
            <color rgb="FF000000"/>
            <rFont val="Calibri"/>
          </rPr>
          <t>"</t>
        </r>
        <r>
          <rPr>
            <sz val="11"/>
            <color rgb="FF000000"/>
            <rFont val="Calibri"/>
          </rPr>
          <t xml:space="preserve"> package installed.</t>
        </r>
      </text>
    </comment>
    <comment ref="H239" authorId="0" shapeId="0" xr:uid="{00000000-0006-0000-0B00-000018000000}">
      <text>
        <r>
          <rPr>
            <sz val="11"/>
            <rFont val="Calibri"/>
          </rPr>
          <t>OL 8 must use a Linux Security Module configured to enforce limits on system services.</t>
        </r>
      </text>
    </comment>
    <comment ref="I239" authorId="0" shapeId="0" xr:uid="{00000000-0006-0000-0B00-000019000000}">
      <text>
        <r>
          <rPr>
            <sz val="11"/>
            <rFont val="Calibri"/>
          </rPr>
          <t>OL 8 must enable the SELinux targeted policy.</t>
        </r>
      </text>
    </comment>
    <comment ref="J239" authorId="0" shapeId="0" xr:uid="{00000000-0006-0000-0B00-00001A000000}">
      <text>
        <r>
          <rPr>
            <sz val="11"/>
            <rFont val="Calibri"/>
          </rPr>
          <t>OL 8 systems, versions 8.2 and above, must configure SELinux context type to allow the use of a non-default faillock tally directory.</t>
        </r>
      </text>
    </comment>
    <comment ref="K239" authorId="0" shapeId="0" xr:uid="{00000000-0006-0000-0B00-00001B000000}">
      <text>
        <r>
          <rPr>
            <sz val="11"/>
            <rFont val="Calibri"/>
          </rPr>
          <t>OL 8 systems below version 8.2 must configure SELinux context type to allow the use of a non-default faillock tally directory.</t>
        </r>
      </text>
    </comment>
    <comment ref="H241" authorId="0" shapeId="0" xr:uid="{00000000-0006-0000-0B00-00001C000000}">
      <text>
        <r>
          <rPr>
            <sz val="11"/>
            <rFont val="Calibri"/>
          </rPr>
          <t>OL 8 must implement NIST FIPS-validated cryptography for the following: To provision digital signatures, to generate cryptographic hashes, and to protect data requiring data-at-rest protections in accordance with applicable federal laws, Executive Orders, directives, policies, regulations, and standards.</t>
        </r>
      </text>
    </comment>
    <comment ref="I241" authorId="0" shapeId="0" xr:uid="{00000000-0006-0000-0B00-000040000000}">
      <text>
        <r>
          <rPr>
            <sz val="11"/>
            <rFont val="Calibri"/>
          </rPr>
          <t>OL 8 must display the Standard Mandatory DOD Notice and Consent Banner before granting local or remote access to the system via an SSH logon.</t>
        </r>
      </text>
    </comment>
    <comment ref="J241" authorId="0" shapeId="0" xr:uid="{00000000-0006-0000-0B00-000041000000}">
      <text>
        <r>
          <rPr>
            <sz val="11"/>
            <rFont val="Calibri"/>
          </rPr>
          <t>OL 8 must display the Standard Mandatory DoD Notice and Consent Banner before granting local or remote access to the system via a graphical user logon.</t>
        </r>
      </text>
    </comment>
    <comment ref="K241" authorId="0" shapeId="0" xr:uid="{00000000-0006-0000-0B00-000042000000}">
      <text>
        <r>
          <rPr>
            <sz val="11"/>
            <rFont val="Calibri"/>
          </rPr>
          <t>OL 8 must display the Standard Mandatory DoD Notice and Consent Banner before granting local or remote access to the system via a command line user logon.</t>
        </r>
      </text>
    </comment>
    <comment ref="L241" authorId="0" shapeId="0" xr:uid="{00000000-0006-0000-0B00-000043000000}">
      <text>
        <r>
          <rPr>
            <sz val="11"/>
            <rFont val="Calibri"/>
          </rPr>
          <t>OL 8 must encrypt all stored passwords with a FIPS 140-2 approved cryptographic hashing algorithm.</t>
        </r>
      </text>
    </comment>
    <comment ref="M241" authorId="0" shapeId="0" xr:uid="{00000000-0006-0000-0B00-00001D000000}">
      <text>
        <r>
          <rPr>
            <sz val="11"/>
            <rFont val="Calibri"/>
          </rPr>
          <t>OL 8 must employ FIPS 140-2 approved cryptographic hashing algorithms for all stored passwords.</t>
        </r>
      </text>
    </comment>
    <comment ref="N241" authorId="0" shapeId="0" xr:uid="{00000000-0006-0000-0B00-00001E000000}">
      <text>
        <r>
          <rPr>
            <sz val="11"/>
            <rFont val="Calibri"/>
          </rPr>
          <t>The OL 8 shadow password suite must be configured to use a sufficient number of hashing rounds.</t>
        </r>
      </text>
    </comment>
    <comment ref="O241" authorId="0" shapeId="0" xr:uid="{00000000-0006-0000-0B00-00001F000000}">
      <text>
        <r>
          <rPr>
            <sz val="11"/>
            <rFont val="Calibri"/>
          </rPr>
          <t>OL 8 operating systems booted with United Extensible Firmware Interface (UEFI) must require authentication upon booting into single-user mode and maintenance.</t>
        </r>
      </text>
    </comment>
    <comment ref="P241" authorId="0" shapeId="0" xr:uid="{00000000-0006-0000-0B00-000020000000}">
      <text>
        <r>
          <rPr>
            <sz val="11"/>
            <rFont val="Calibri"/>
          </rPr>
          <t>OL 8 operating systems booted with a BIOS must require authentication upon booting into single-user and maintenance modes.</t>
        </r>
      </text>
    </comment>
    <comment ref="Q241" authorId="0" shapeId="0" xr:uid="{00000000-0006-0000-0B00-000021000000}">
      <text>
        <r>
          <rPr>
            <sz val="11"/>
            <rFont val="Calibri"/>
          </rPr>
          <t>OL 8 operating systems must require authentication upon booting into emergency mode.</t>
        </r>
      </text>
    </comment>
    <comment ref="R241" authorId="0" shapeId="0" xr:uid="{00000000-0006-0000-0B00-000022000000}">
      <text>
        <r>
          <rPr>
            <sz val="11"/>
            <rFont val="Calibri"/>
          </rPr>
          <t xml:space="preserve">The OL 8 </t>
        </r>
        <r>
          <rPr>
            <sz val="11"/>
            <color rgb="FF000000"/>
            <rFont val="Calibri"/>
          </rPr>
          <t>"</t>
        </r>
        <r>
          <rPr>
            <b/>
            <sz val="11"/>
            <color rgb="FF000000"/>
            <rFont val="Calibri"/>
          </rPr>
          <t>pam_unix.so</t>
        </r>
        <r>
          <rPr>
            <sz val="11"/>
            <color rgb="FF000000"/>
            <rFont val="Calibri"/>
          </rPr>
          <t>"</t>
        </r>
        <r>
          <rPr>
            <sz val="11"/>
            <color rgb="FF000000"/>
            <rFont val="Calibri"/>
          </rPr>
          <t xml:space="preserve"> module must be configured in the system-auth file to use a FIPS 140-2 approved cryptographic hashing algorithm for system authentication.</t>
        </r>
      </text>
    </comment>
    <comment ref="S241" authorId="0" shapeId="0" xr:uid="{00000000-0006-0000-0B00-000023000000}">
      <text>
        <r>
          <rPr>
            <sz val="11"/>
            <rFont val="Calibri"/>
          </rPr>
          <t xml:space="preserve">The OL 8 </t>
        </r>
        <r>
          <rPr>
            <sz val="11"/>
            <color rgb="FF000000"/>
            <rFont val="Calibri"/>
          </rPr>
          <t>"</t>
        </r>
        <r>
          <rPr>
            <b/>
            <sz val="11"/>
            <color rgb="FF000000"/>
            <rFont val="Calibri"/>
          </rPr>
          <t>pam_unix.so</t>
        </r>
        <r>
          <rPr>
            <sz val="11"/>
            <color rgb="FF000000"/>
            <rFont val="Calibri"/>
          </rPr>
          <t>"</t>
        </r>
        <r>
          <rPr>
            <sz val="11"/>
            <color rgb="FF000000"/>
            <rFont val="Calibri"/>
          </rPr>
          <t xml:space="preserve"> module must be configured in the password-auth file to use a FIPS 140-2 approved cryptographic hashing algorithm for system authentication.</t>
        </r>
      </text>
    </comment>
    <comment ref="T241" authorId="0" shapeId="0" xr:uid="{00000000-0006-0000-0B00-000024000000}">
      <text>
        <r>
          <rPr>
            <sz val="11"/>
            <rFont val="Calibri"/>
          </rPr>
          <t>OL 8 must prevent system daemons from using Kerberos for authentication.</t>
        </r>
      </text>
    </comment>
    <comment ref="U241" authorId="0" shapeId="0" xr:uid="{00000000-0006-0000-0B00-000025000000}">
      <text>
        <r>
          <rPr>
            <sz val="11"/>
            <rFont val="Calibri"/>
          </rPr>
          <t>OL 8 must be configured so that all network connections associated with SSH traffic terminate after becoming unresponsive.</t>
        </r>
      </text>
    </comment>
    <comment ref="V241" authorId="0" shapeId="0" xr:uid="{00000000-0006-0000-0B00-000026000000}">
      <text>
        <r>
          <rPr>
            <sz val="11"/>
            <rFont val="Calibri"/>
          </rPr>
          <t>OL 8 must be configured so that all network connections associated with SSH traffic are terminated after 10 minutes of becoming unresponsive.</t>
        </r>
      </text>
    </comment>
    <comment ref="W241" authorId="0" shapeId="0" xr:uid="{00000000-0006-0000-0B00-000027000000}">
      <text>
        <r>
          <rPr>
            <sz val="11"/>
            <rFont val="Calibri"/>
          </rPr>
          <t>The OL 8 SSH server must be configured to use strong entropy.</t>
        </r>
      </text>
    </comment>
    <comment ref="X241" authorId="0" shapeId="0" xr:uid="{00000000-0006-0000-0B00-000028000000}">
      <text>
        <r>
          <rPr>
            <sz val="11"/>
            <rFont val="Calibri"/>
          </rPr>
          <t>OL 8 must prevent the loading of a new kernel for later execution.</t>
        </r>
      </text>
    </comment>
    <comment ref="Y241" authorId="0" shapeId="0" xr:uid="{00000000-0006-0000-0B00-000029000000}">
      <text>
        <r>
          <rPr>
            <sz val="11"/>
            <rFont val="Calibri"/>
          </rPr>
          <t>OL 8 must enable kernel parameters to enforce Discretionary Access Control (DAC) on symlinks.</t>
        </r>
      </text>
    </comment>
    <comment ref="Z241" authorId="0" shapeId="0" xr:uid="{00000000-0006-0000-0B00-00002A000000}">
      <text>
        <r>
          <rPr>
            <sz val="11"/>
            <rFont val="Calibri"/>
          </rPr>
          <t>OL 8 must enable kernel parameters to enforce Discretionary Access Control (DAC) on hardlinks.</t>
        </r>
      </text>
    </comment>
    <comment ref="AA241" authorId="0" shapeId="0" xr:uid="{00000000-0006-0000-0B00-00002B000000}">
      <text>
        <r>
          <rPr>
            <sz val="11"/>
            <rFont val="Calibri"/>
          </rPr>
          <t>OL 8 must restrict access to the kernel message buffer.</t>
        </r>
      </text>
    </comment>
    <comment ref="AB241" authorId="0" shapeId="0" xr:uid="{00000000-0006-0000-0B00-00002C000000}">
      <text>
        <r>
          <rPr>
            <sz val="11"/>
            <rFont val="Calibri"/>
          </rPr>
          <t>OL 8 must prevent kernel profiling by nonprivileged users.</t>
        </r>
      </text>
    </comment>
    <comment ref="AC241" authorId="0" shapeId="0" xr:uid="{00000000-0006-0000-0B00-00002D000000}">
      <text>
        <r>
          <rPr>
            <sz val="11"/>
            <rFont val="Calibri"/>
          </rPr>
          <t>OL 8 must implement non-executable data to protect its memory from unauthorized code execution.</t>
        </r>
      </text>
    </comment>
    <comment ref="AD241" authorId="0" shapeId="0" xr:uid="{00000000-0006-0000-0B00-00002E000000}">
      <text>
        <r>
          <rPr>
            <sz val="11"/>
            <rFont val="Calibri"/>
          </rPr>
          <t>OL 8 must clear the page allocator to prevent use-after-free attacks.</t>
        </r>
      </text>
    </comment>
    <comment ref="AE241" authorId="0" shapeId="0" xr:uid="{00000000-0006-0000-0B00-00002F000000}">
      <text>
        <r>
          <rPr>
            <sz val="11"/>
            <rFont val="Calibri"/>
          </rPr>
          <t>OL 8 must clear memory when it is freed to prevent use-after-free attacks.</t>
        </r>
      </text>
    </comment>
    <comment ref="AF241" authorId="0" shapeId="0" xr:uid="{00000000-0006-0000-0B00-000030000000}">
      <text>
        <r>
          <rPr>
            <sz val="11"/>
            <rFont val="Calibri"/>
          </rPr>
          <t>OL 8 must implement address space layout randomization (ASLR) to protect its memory from unauthorized code execution.</t>
        </r>
      </text>
    </comment>
    <comment ref="AG241" authorId="0" shapeId="0" xr:uid="{00000000-0006-0000-0B00-000031000000}">
      <text>
        <r>
          <rPr>
            <sz val="11"/>
            <rFont val="Calibri"/>
          </rPr>
          <t>YUM must remove all software components after updated versions have been installed on OL 8.</t>
        </r>
      </text>
    </comment>
    <comment ref="AH241" authorId="0" shapeId="0" xr:uid="{00000000-0006-0000-0B00-000032000000}">
      <text>
        <r>
          <rPr>
            <sz val="11"/>
            <rFont val="Calibri"/>
          </rPr>
          <t xml:space="preserve">There must be no </t>
        </r>
        <r>
          <rPr>
            <sz val="11"/>
            <color rgb="FF000000"/>
            <rFont val="Calibri"/>
          </rPr>
          <t>"</t>
        </r>
        <r>
          <rPr>
            <b/>
            <sz val="11"/>
            <color rgb="FF000000"/>
            <rFont val="Calibri"/>
          </rPr>
          <t>shosts.equiv</t>
        </r>
        <r>
          <rPr>
            <sz val="11"/>
            <color rgb="FF000000"/>
            <rFont val="Calibri"/>
          </rPr>
          <t>"</t>
        </r>
        <r>
          <rPr>
            <sz val="11"/>
            <color rgb="FF000000"/>
            <rFont val="Calibri"/>
          </rPr>
          <t xml:space="preserve"> files on the OL 8 operating system.</t>
        </r>
      </text>
    </comment>
    <comment ref="AI241" authorId="0" shapeId="0" xr:uid="{00000000-0006-0000-0B00-000033000000}">
      <text>
        <r>
          <rPr>
            <sz val="11"/>
            <rFont val="Calibri"/>
          </rPr>
          <t xml:space="preserve">There must be no </t>
        </r>
        <r>
          <rPr>
            <sz val="11"/>
            <color rgb="FF000000"/>
            <rFont val="Calibri"/>
          </rPr>
          <t>"</t>
        </r>
        <r>
          <rPr>
            <b/>
            <sz val="11"/>
            <color rgb="FF000000"/>
            <rFont val="Calibri"/>
          </rPr>
          <t>.shosts</t>
        </r>
        <r>
          <rPr>
            <sz val="11"/>
            <color rgb="FF000000"/>
            <rFont val="Calibri"/>
          </rPr>
          <t>"</t>
        </r>
        <r>
          <rPr>
            <sz val="11"/>
            <color rgb="FF000000"/>
            <rFont val="Calibri"/>
          </rPr>
          <t xml:space="preserve"> files on the OL 8 operating system.</t>
        </r>
      </text>
    </comment>
    <comment ref="AJ241" authorId="0" shapeId="0" xr:uid="{00000000-0006-0000-0B00-000034000000}">
      <text>
        <r>
          <rPr>
            <sz val="11"/>
            <rFont val="Calibri"/>
          </rPr>
          <t>OL 8 must enable the hardware random number generator entropy gatherer service.</t>
        </r>
      </text>
    </comment>
    <comment ref="AK241" authorId="0" shapeId="0" xr:uid="{00000000-0006-0000-0B00-000035000000}">
      <text>
        <r>
          <rPr>
            <sz val="11"/>
            <rFont val="Calibri"/>
          </rPr>
          <t>OL 8 must have the packages required to use the hardware random number generator entropy gatherer service.</t>
        </r>
      </text>
    </comment>
    <comment ref="AL241" authorId="0" shapeId="0" xr:uid="{00000000-0006-0000-0B00-000036000000}">
      <text>
        <r>
          <rPr>
            <sz val="11"/>
            <rFont val="Calibri"/>
          </rPr>
          <t xml:space="preserve">The OL 8 SSH public host key files must have mode </t>
        </r>
        <r>
          <rPr>
            <sz val="11"/>
            <color rgb="FF000000"/>
            <rFont val="Calibri"/>
          </rPr>
          <t>"</t>
        </r>
        <r>
          <rPr>
            <b/>
            <sz val="11"/>
            <color rgb="FF000000"/>
            <rFont val="Calibri"/>
          </rPr>
          <t>0644</t>
        </r>
        <r>
          <rPr>
            <sz val="11"/>
            <color rgb="FF000000"/>
            <rFont val="Calibri"/>
          </rPr>
          <t>"</t>
        </r>
        <r>
          <rPr>
            <sz val="11"/>
            <color rgb="FF000000"/>
            <rFont val="Calibri"/>
          </rPr>
          <t xml:space="preserve"> or less permissive.</t>
        </r>
      </text>
    </comment>
    <comment ref="AM241" authorId="0" shapeId="0" xr:uid="{00000000-0006-0000-0B00-000037000000}">
      <text>
        <r>
          <rPr>
            <sz val="11"/>
            <rFont val="Calibri"/>
          </rPr>
          <t xml:space="preserve">The OL 8 SSH private host key files must have mode </t>
        </r>
        <r>
          <rPr>
            <sz val="11"/>
            <color rgb="FF000000"/>
            <rFont val="Calibri"/>
          </rPr>
          <t>"</t>
        </r>
        <r>
          <rPr>
            <b/>
            <sz val="11"/>
            <color rgb="FF000000"/>
            <rFont val="Calibri"/>
          </rPr>
          <t>0640</t>
        </r>
        <r>
          <rPr>
            <sz val="11"/>
            <color rgb="FF000000"/>
            <rFont val="Calibri"/>
          </rPr>
          <t>"</t>
        </r>
        <r>
          <rPr>
            <sz val="11"/>
            <color rgb="FF000000"/>
            <rFont val="Calibri"/>
          </rPr>
          <t xml:space="preserve"> or less permissive.</t>
        </r>
      </text>
    </comment>
    <comment ref="AN241" authorId="0" shapeId="0" xr:uid="{00000000-0006-0000-0B00-000038000000}">
      <text>
        <r>
          <rPr>
            <sz val="11"/>
            <rFont val="Calibri"/>
          </rPr>
          <t>The OL 8 SSH daemon must not allow authentication using known host</t>
        </r>
        <r>
          <rPr>
            <sz val="11"/>
            <color rgb="FF000000"/>
            <rFont val="Calibri"/>
          </rPr>
          <t>'</t>
        </r>
        <r>
          <rPr>
            <sz val="11"/>
            <color rgb="FF000000"/>
            <rFont val="Calibri"/>
          </rPr>
          <t>s authentication.</t>
        </r>
      </text>
    </comment>
    <comment ref="AO241" authorId="0" shapeId="0" xr:uid="{00000000-0006-0000-0B00-000039000000}">
      <text>
        <r>
          <rPr>
            <sz val="11"/>
            <rFont val="Calibri"/>
          </rPr>
          <t>The OL 8 SSH daemon must not allow Kerberos authentication, except to fulfill documented and validated mission requirements.</t>
        </r>
      </text>
    </comment>
    <comment ref="AP241" authorId="0" shapeId="0" xr:uid="{00000000-0006-0000-0B00-00003A000000}">
      <text>
        <r>
          <rPr>
            <sz val="11"/>
            <rFont val="Calibri"/>
          </rPr>
          <t>The OL 8 SSH daemon must not allow GSSAPI authentication, except to fulfill documented and validated mission requirements.</t>
        </r>
      </text>
    </comment>
    <comment ref="AQ241" authorId="0" shapeId="0" xr:uid="{00000000-0006-0000-0B00-00003B000000}">
      <text>
        <r>
          <rPr>
            <sz val="11"/>
            <rFont val="Calibri"/>
          </rPr>
          <t xml:space="preserve">OL 8 must use a separate file system for </t>
        </r>
        <r>
          <rPr>
            <sz val="11"/>
            <color rgb="FF000000"/>
            <rFont val="Calibri"/>
          </rPr>
          <t>"</t>
        </r>
        <r>
          <rPr>
            <b/>
            <sz val="11"/>
            <color rgb="FF000000"/>
            <rFont val="Calibri"/>
          </rPr>
          <t>/var</t>
        </r>
        <r>
          <rPr>
            <sz val="11"/>
            <color rgb="FF000000"/>
            <rFont val="Calibri"/>
          </rPr>
          <t>"</t>
        </r>
        <r>
          <rPr>
            <sz val="11"/>
            <color rgb="FF000000"/>
            <rFont val="Calibri"/>
          </rPr>
          <t>.</t>
        </r>
      </text>
    </comment>
    <comment ref="AR241" authorId="0" shapeId="0" xr:uid="{00000000-0006-0000-0B00-00003C000000}">
      <text>
        <r>
          <rPr>
            <sz val="11"/>
            <rFont val="Calibri"/>
          </rPr>
          <t xml:space="preserve">OL 8 must use a separate file system for </t>
        </r>
        <r>
          <rPr>
            <sz val="11"/>
            <color rgb="FF000000"/>
            <rFont val="Calibri"/>
          </rPr>
          <t>"</t>
        </r>
        <r>
          <rPr>
            <b/>
            <sz val="11"/>
            <color rgb="FF000000"/>
            <rFont val="Calibri"/>
          </rPr>
          <t>/var/log</t>
        </r>
        <r>
          <rPr>
            <sz val="11"/>
            <color rgb="FF000000"/>
            <rFont val="Calibri"/>
          </rPr>
          <t>"</t>
        </r>
        <r>
          <rPr>
            <sz val="11"/>
            <color rgb="FF000000"/>
            <rFont val="Calibri"/>
          </rPr>
          <t>.</t>
        </r>
      </text>
    </comment>
    <comment ref="AS241" authorId="0" shapeId="0" xr:uid="{00000000-0006-0000-0B00-00003D000000}">
      <text>
        <r>
          <rPr>
            <sz val="11"/>
            <rFont val="Calibri"/>
          </rPr>
          <t xml:space="preserve">OL 8 must use a separate file system for </t>
        </r>
        <r>
          <rPr>
            <sz val="11"/>
            <color rgb="FF000000"/>
            <rFont val="Calibri"/>
          </rPr>
          <t>"</t>
        </r>
        <r>
          <rPr>
            <b/>
            <sz val="11"/>
            <color rgb="FF000000"/>
            <rFont val="Calibri"/>
          </rPr>
          <t>/tmp</t>
        </r>
        <r>
          <rPr>
            <sz val="11"/>
            <color rgb="FF000000"/>
            <rFont val="Calibri"/>
          </rPr>
          <t>"</t>
        </r>
        <r>
          <rPr>
            <sz val="11"/>
            <color rgb="FF000000"/>
            <rFont val="Calibri"/>
          </rPr>
          <t>.</t>
        </r>
      </text>
    </comment>
    <comment ref="AT241" authorId="0" shapeId="0" xr:uid="{00000000-0006-0000-0B00-00003E000000}">
      <text>
        <r>
          <rPr>
            <sz val="11"/>
            <rFont val="Calibri"/>
          </rPr>
          <t>OL 8 must use a separate file system for /var/tmp.</t>
        </r>
      </text>
    </comment>
    <comment ref="AU241" authorId="0" shapeId="0" xr:uid="{00000000-0006-0000-0B00-00003F000000}">
      <text>
        <r>
          <rPr>
            <sz val="11"/>
            <rFont val="Calibri"/>
          </rPr>
          <t>OL 8 must prevent files with the setuid and setgid bit set from being executed on the /boot directory.</t>
        </r>
      </text>
    </comment>
    <comment ref="H258" authorId="0" shapeId="0" xr:uid="{00000000-0006-0000-0B00-000044000000}">
      <text>
        <r>
          <rPr>
            <sz val="11"/>
            <rFont val="Calibri"/>
          </rPr>
          <t>OL 8 must be a vendor-supported release.</t>
        </r>
      </text>
    </comment>
    <comment ref="I258" authorId="0" shapeId="0" xr:uid="{00000000-0006-0000-0B00-000045000000}">
      <text>
        <r>
          <rPr>
            <sz val="11"/>
            <rFont val="Calibri"/>
          </rPr>
          <t>OL 8 vendor-packaged system security patches and updates must be installed and up to date.</t>
        </r>
      </text>
    </comment>
    <comment ref="H309" authorId="0" shapeId="0" xr:uid="{00000000-0006-0000-0B00-000046000000}">
      <text>
        <r>
          <rPr>
            <sz val="11"/>
            <rFont val="Calibri"/>
          </rPr>
          <t>OL 8 must require users to provide a password for privilege escalation.</t>
        </r>
      </text>
    </comment>
    <comment ref="I309" authorId="0" shapeId="0" xr:uid="{00000000-0006-0000-0B00-000047000000}">
      <text>
        <r>
          <rPr>
            <sz val="11"/>
            <rFont val="Calibri"/>
          </rPr>
          <t>OL 8 must require users to reauthenticate for privilege escalation and changing roles.</t>
        </r>
      </text>
    </comment>
    <comment ref="J309" authorId="0" shapeId="0" xr:uid="{00000000-0006-0000-0B00-000048000000}">
      <text>
        <r>
          <rPr>
            <sz val="11"/>
            <rFont val="Calibri"/>
          </rPr>
          <t>OL 8 must restrict privilege elevation to authorized personnel.</t>
        </r>
      </text>
    </comment>
    <comment ref="K309" authorId="0" shapeId="0" xr:uid="{00000000-0006-0000-0B00-000049000000}">
      <text>
        <r>
          <rPr>
            <sz val="11"/>
            <rFont val="Calibri"/>
          </rPr>
          <t>OL 8 must use the invoking user</t>
        </r>
        <r>
          <rPr>
            <sz val="11"/>
            <color rgb="FF000000"/>
            <rFont val="Calibri"/>
          </rPr>
          <t>'</t>
        </r>
        <r>
          <rPr>
            <sz val="11"/>
            <color rgb="FF000000"/>
            <rFont val="Calibri"/>
          </rPr>
          <t xml:space="preserve">s password for privilege escalation when using </t>
        </r>
        <r>
          <rPr>
            <sz val="11"/>
            <color rgb="FF000000"/>
            <rFont val="Calibri"/>
          </rPr>
          <t>"</t>
        </r>
        <r>
          <rPr>
            <b/>
            <sz val="11"/>
            <color rgb="FF000000"/>
            <rFont val="Calibri"/>
          </rPr>
          <t>sudo</t>
        </r>
        <r>
          <rPr>
            <sz val="11"/>
            <color rgb="FF000000"/>
            <rFont val="Calibri"/>
          </rPr>
          <t>"</t>
        </r>
        <r>
          <rPr>
            <sz val="11"/>
            <color rgb="FF000000"/>
            <rFont val="Calibri"/>
          </rPr>
          <t>.</t>
        </r>
      </text>
    </comment>
    <comment ref="L309" authorId="0" shapeId="0" xr:uid="{00000000-0006-0000-0B00-00004A000000}">
      <text>
        <r>
          <rPr>
            <sz val="11"/>
            <rFont val="Calibri"/>
          </rPr>
          <t>OL 8 must not permit direct logons to the root account using remote access via SSH.</t>
        </r>
      </text>
    </comment>
    <comment ref="M309" authorId="0" shapeId="0" xr:uid="{00000000-0006-0000-0B00-00004B000000}">
      <text>
        <r>
          <rPr>
            <sz val="11"/>
            <rFont val="Calibri"/>
          </rPr>
          <t>The root account must be the only account having unrestricted access to the OL 8 system.</t>
        </r>
      </text>
    </comment>
    <comment ref="N309" authorId="0" shapeId="0" xr:uid="{00000000-0006-0000-0B00-00004C000000}">
      <text>
        <r>
          <rPr>
            <sz val="11"/>
            <rFont val="Calibri"/>
          </rPr>
          <t>OL 8 must prevent nonprivileged users from executing privileged functions, including disabling, circumventing, or altering implemented security safeguards/countermeasures.</t>
        </r>
      </text>
    </comment>
    <comment ref="O309" authorId="0" shapeId="0" xr:uid="{00000000-0006-0000-0B00-00004D000000}">
      <text>
        <r>
          <rPr>
            <sz val="11"/>
            <rFont val="Calibri"/>
          </rPr>
          <t xml:space="preserve">OL 8 must specify the default </t>
        </r>
        <r>
          <rPr>
            <sz val="11"/>
            <color rgb="FF000000"/>
            <rFont val="Calibri"/>
          </rPr>
          <t>"</t>
        </r>
        <r>
          <rPr>
            <b/>
            <sz val="11"/>
            <color rgb="FF000000"/>
            <rFont val="Calibri"/>
          </rPr>
          <t>include</t>
        </r>
        <r>
          <rPr>
            <sz val="11"/>
            <color rgb="FF000000"/>
            <rFont val="Calibri"/>
          </rPr>
          <t>"</t>
        </r>
        <r>
          <rPr>
            <sz val="11"/>
            <color rgb="FF000000"/>
            <rFont val="Calibri"/>
          </rPr>
          <t xml:space="preserve"> directory for the /etc/sudoers file.</t>
        </r>
      </text>
    </comment>
    <comment ref="P309" authorId="0" shapeId="0" xr:uid="{00000000-0006-0000-0B00-00004E000000}">
      <text>
        <r>
          <rPr>
            <sz val="11"/>
            <rFont val="Calibri"/>
          </rPr>
          <t>The OL 8 operating system must not be configured to bypass password requirements for privilege escalation.</t>
        </r>
      </text>
    </comment>
    <comment ref="H310" authorId="0" shapeId="0" xr:uid="{00000000-0006-0000-0B00-00004F000000}">
      <text>
        <r>
          <rPr>
            <sz val="11"/>
            <rFont val="Calibri"/>
          </rPr>
          <t>OL 8 must prevent the installation of software, patches, service packs, device drivers, or operating system components of local packages without verification they have been digitally signed using a certificate that is issued by a Certificate Authority (CA) that is recognized and approved by the organization.</t>
        </r>
      </text>
    </comment>
    <comment ref="I310" authorId="0" shapeId="0" xr:uid="{00000000-0006-0000-0B00-000050000000}">
      <text>
        <r>
          <rPr>
            <sz val="11"/>
            <rFont val="Calibri"/>
          </rPr>
          <t>OL 8 must have the package required for multifactor authentication installed.</t>
        </r>
      </text>
    </comment>
    <comment ref="J310" authorId="0" shapeId="0" xr:uid="{00000000-0006-0000-0B00-000051000000}">
      <text>
        <r>
          <rPr>
            <sz val="11"/>
            <rFont val="Calibri"/>
          </rPr>
          <t>OL 8 must implement certificate status checking for multifactor authentication.</t>
        </r>
      </text>
    </comment>
    <comment ref="K310" authorId="0" shapeId="0" xr:uid="{00000000-0006-0000-0B00-000052000000}">
      <text>
        <r>
          <rPr>
            <sz val="11"/>
            <rFont val="Calibri"/>
          </rPr>
          <t>OL 8 must accept Personal Identity Verification (PIV) credentials.</t>
        </r>
      </text>
    </comment>
    <comment ref="L310" authorId="0" shapeId="0" xr:uid="{00000000-0006-0000-0B00-000053000000}">
      <text>
        <r>
          <rPr>
            <sz val="11"/>
            <rFont val="Calibri"/>
          </rPr>
          <t>OL 8 must map the authenticated identity to the user or group account for PKI-based authentication.</t>
        </r>
      </text>
    </comment>
    <comment ref="M310" authorId="0" shapeId="0" xr:uid="{00000000-0006-0000-0B00-000054000000}">
      <text>
        <r>
          <rPr>
            <sz val="11"/>
            <rFont val="Calibri"/>
          </rPr>
          <t>OL 8 must implement multifactor authentication for access to interactive accounts.</t>
        </r>
      </text>
    </comment>
    <comment ref="H345" authorId="0" shapeId="0" xr:uid="{00000000-0006-0000-0B00-000055000000}">
      <text>
        <r>
          <rPr>
            <sz val="11"/>
            <rFont val="Calibri"/>
          </rPr>
          <t>A sticky bit must be set on all OL 8 public directories to prevent unauthorized and unintended information transferred via shared system resources.</t>
        </r>
      </text>
    </comment>
    <comment ref="I345" authorId="0" shapeId="0" xr:uid="{00000000-0006-0000-0B00-000056000000}">
      <text>
        <r>
          <rPr>
            <sz val="11"/>
            <rFont val="Calibri"/>
          </rPr>
          <t>OL 8 system commands must have mode 755 or less permissive.</t>
        </r>
      </text>
    </comment>
    <comment ref="J345" authorId="0" shapeId="0" xr:uid="{00000000-0006-0000-0B00-000057000000}">
      <text>
        <r>
          <rPr>
            <sz val="11"/>
            <rFont val="Calibri"/>
          </rPr>
          <t>OL 8 system commands must be owned by root.</t>
        </r>
      </text>
    </comment>
    <comment ref="K345" authorId="0" shapeId="0" xr:uid="{00000000-0006-0000-0B00-000058000000}">
      <text>
        <r>
          <rPr>
            <sz val="11"/>
            <rFont val="Calibri"/>
          </rPr>
          <t>OL 8 system commands must be group-owned by root or a system account.</t>
        </r>
      </text>
    </comment>
    <comment ref="L345" authorId="0" shapeId="0" xr:uid="{00000000-0006-0000-0B00-000059000000}">
      <text>
        <r>
          <rPr>
            <sz val="11"/>
            <rFont val="Calibri"/>
          </rPr>
          <t>OL 8 library files must have mode 755 or less permissive.</t>
        </r>
      </text>
    </comment>
    <comment ref="M345" authorId="0" shapeId="0" xr:uid="{00000000-0006-0000-0B00-00005A000000}">
      <text>
        <r>
          <rPr>
            <sz val="11"/>
            <rFont val="Calibri"/>
          </rPr>
          <t>OL 8 library files must be owned by root.</t>
        </r>
      </text>
    </comment>
    <comment ref="N345" authorId="0" shapeId="0" xr:uid="{00000000-0006-0000-0B00-00005B000000}">
      <text>
        <r>
          <rPr>
            <sz val="11"/>
            <rFont val="Calibri"/>
          </rPr>
          <t>OL 8 library files must be group-owned by root.</t>
        </r>
      </text>
    </comment>
    <comment ref="O345" authorId="0" shapeId="0" xr:uid="{00000000-0006-0000-0B00-00005C000000}">
      <text>
        <r>
          <rPr>
            <sz val="11"/>
            <rFont val="Calibri"/>
          </rPr>
          <t>The OL 8 SSH daemon must perform strict mode checking of home directory configuration files.</t>
        </r>
      </text>
    </comment>
    <comment ref="P345" authorId="0" shapeId="0" xr:uid="{00000000-0006-0000-0B00-00005D000000}">
      <text>
        <r>
          <rPr>
            <sz val="11"/>
            <rFont val="Calibri"/>
          </rPr>
          <t>OL 8 must prevent files with the setuid and setgid bit set from being executed on file systems that contain user home directories.</t>
        </r>
      </text>
    </comment>
    <comment ref="Q345" authorId="0" shapeId="0" xr:uid="{00000000-0006-0000-0B00-00005E000000}">
      <text>
        <r>
          <rPr>
            <sz val="11"/>
            <rFont val="Calibri"/>
          </rPr>
          <t>OL 8 file systems that contain user home directories must not execute binary files.</t>
        </r>
      </text>
    </comment>
    <comment ref="R345" authorId="0" shapeId="0" xr:uid="{00000000-0006-0000-0B00-00005F000000}">
      <text>
        <r>
          <rPr>
            <sz val="11"/>
            <rFont val="Calibri"/>
          </rPr>
          <t>Executable search paths within the initialization files of all local interactive OL 8 users must only contain paths that resolve to the system default or the user</t>
        </r>
        <r>
          <rPr>
            <sz val="11"/>
            <color rgb="FF000000"/>
            <rFont val="Calibri"/>
          </rPr>
          <t>'</t>
        </r>
        <r>
          <rPr>
            <sz val="11"/>
            <color rgb="FF000000"/>
            <rFont val="Calibri"/>
          </rPr>
          <t>s home directory.</t>
        </r>
      </text>
    </comment>
    <comment ref="S345" authorId="0" shapeId="0" xr:uid="{00000000-0006-0000-0B00-000060000000}">
      <text>
        <r>
          <rPr>
            <sz val="11"/>
            <rFont val="Calibri"/>
          </rPr>
          <t>All OL 8 world-writable directories must be owned by root, sys, bin, or an application user.</t>
        </r>
      </text>
    </comment>
    <comment ref="T345" authorId="0" shapeId="0" xr:uid="{00000000-0006-0000-0B00-000061000000}">
      <text>
        <r>
          <rPr>
            <sz val="11"/>
            <rFont val="Calibri"/>
          </rPr>
          <t>All OL 8 world-writable directories must be group-owned by root, sys, bin, or an application group.</t>
        </r>
      </text>
    </comment>
    <comment ref="U345" authorId="0" shapeId="0" xr:uid="{00000000-0006-0000-0B00-000062000000}">
      <text>
        <r>
          <rPr>
            <sz val="11"/>
            <rFont val="Calibri"/>
          </rPr>
          <t xml:space="preserve">All OL 8 local interactive users must have a home directory assigned in the </t>
        </r>
        <r>
          <rPr>
            <sz val="11"/>
            <color rgb="FF000000"/>
            <rFont val="Calibri"/>
          </rPr>
          <t>"</t>
        </r>
        <r>
          <rPr>
            <b/>
            <sz val="11"/>
            <color rgb="FF000000"/>
            <rFont val="Calibri"/>
          </rPr>
          <t>/etc/passwd</t>
        </r>
        <r>
          <rPr>
            <sz val="11"/>
            <color rgb="FF000000"/>
            <rFont val="Calibri"/>
          </rPr>
          <t>"</t>
        </r>
        <r>
          <rPr>
            <sz val="11"/>
            <color rgb="FF000000"/>
            <rFont val="Calibri"/>
          </rPr>
          <t xml:space="preserve"> file.</t>
        </r>
      </text>
    </comment>
    <comment ref="V345" authorId="0" shapeId="0" xr:uid="{00000000-0006-0000-0B00-000063000000}">
      <text>
        <r>
          <rPr>
            <sz val="11"/>
            <rFont val="Calibri"/>
          </rPr>
          <t xml:space="preserve">All OL 8 local interactive user home directories must have mode </t>
        </r>
        <r>
          <rPr>
            <sz val="11"/>
            <color rgb="FF000000"/>
            <rFont val="Calibri"/>
          </rPr>
          <t>"</t>
        </r>
        <r>
          <rPr>
            <b/>
            <sz val="11"/>
            <color rgb="FF000000"/>
            <rFont val="Calibri"/>
          </rPr>
          <t>0750</t>
        </r>
        <r>
          <rPr>
            <sz val="11"/>
            <color rgb="FF000000"/>
            <rFont val="Calibri"/>
          </rPr>
          <t>"</t>
        </r>
        <r>
          <rPr>
            <sz val="11"/>
            <color rgb="FF000000"/>
            <rFont val="Calibri"/>
          </rPr>
          <t xml:space="preserve"> or less permissive.</t>
        </r>
      </text>
    </comment>
    <comment ref="W345" authorId="0" shapeId="0" xr:uid="{00000000-0006-0000-0B00-000064000000}">
      <text>
        <r>
          <rPr>
            <sz val="11"/>
            <rFont val="Calibri"/>
          </rPr>
          <t xml:space="preserve">All OL 8 local interactive user home directory files must have mode </t>
        </r>
        <r>
          <rPr>
            <sz val="11"/>
            <color rgb="FF000000"/>
            <rFont val="Calibri"/>
          </rPr>
          <t>"</t>
        </r>
        <r>
          <rPr>
            <b/>
            <sz val="11"/>
            <color rgb="FF000000"/>
            <rFont val="Calibri"/>
          </rPr>
          <t>0750</t>
        </r>
        <r>
          <rPr>
            <sz val="11"/>
            <color rgb="FF000000"/>
            <rFont val="Calibri"/>
          </rPr>
          <t>"</t>
        </r>
        <r>
          <rPr>
            <sz val="11"/>
            <color rgb="FF000000"/>
            <rFont val="Calibri"/>
          </rPr>
          <t xml:space="preserve"> or less permissive.</t>
        </r>
      </text>
    </comment>
    <comment ref="X345" authorId="0" shapeId="0" xr:uid="{00000000-0006-0000-0B00-000065000000}">
      <text>
        <r>
          <rPr>
            <sz val="11"/>
            <rFont val="Calibri"/>
          </rPr>
          <t>All OL 8 local interactive user home directories must be group-owned by the home directory owner</t>
        </r>
        <r>
          <rPr>
            <sz val="11"/>
            <color rgb="FF000000"/>
            <rFont val="Calibri"/>
          </rPr>
          <t>'</t>
        </r>
        <r>
          <rPr>
            <sz val="11"/>
            <color rgb="FF000000"/>
            <rFont val="Calibri"/>
          </rPr>
          <t>s primary group.</t>
        </r>
      </text>
    </comment>
    <comment ref="Y345" authorId="0" shapeId="0" xr:uid="{00000000-0006-0000-0B00-000066000000}">
      <text>
        <r>
          <rPr>
            <sz val="11"/>
            <rFont val="Calibri"/>
          </rPr>
          <t>OL 8 must be configured so that all files and directories contained in local interactive user home directories are group-owned by a group of which the home directory owner is a member.</t>
        </r>
      </text>
    </comment>
    <comment ref="Z345" authorId="0" shapeId="0" xr:uid="{00000000-0006-0000-0B00-000067000000}">
      <text>
        <r>
          <rPr>
            <sz val="11"/>
            <rFont val="Calibri"/>
          </rPr>
          <t xml:space="preserve">All OL 8 local interactive user home directories defined in the </t>
        </r>
        <r>
          <rPr>
            <sz val="11"/>
            <color rgb="FF000000"/>
            <rFont val="Calibri"/>
          </rPr>
          <t>"</t>
        </r>
        <r>
          <rPr>
            <b/>
            <sz val="11"/>
            <color rgb="FF000000"/>
            <rFont val="Calibri"/>
          </rPr>
          <t>/etc/passwd</t>
        </r>
        <r>
          <rPr>
            <sz val="11"/>
            <color rgb="FF000000"/>
            <rFont val="Calibri"/>
          </rPr>
          <t>"</t>
        </r>
        <r>
          <rPr>
            <sz val="11"/>
            <color rgb="FF000000"/>
            <rFont val="Calibri"/>
          </rPr>
          <t xml:space="preserve"> file must exist.</t>
        </r>
      </text>
    </comment>
    <comment ref="AA345" authorId="0" shapeId="0" xr:uid="{00000000-0006-0000-0B00-000068000000}">
      <text>
        <r>
          <rPr>
            <sz val="11"/>
            <rFont val="Calibri"/>
          </rPr>
          <t>All OL 8 local interactive user accounts must be assigned a home directory upon creation.</t>
        </r>
      </text>
    </comment>
    <comment ref="AB345" authorId="0" shapeId="0" xr:uid="{00000000-0006-0000-0B00-000069000000}">
      <text>
        <r>
          <rPr>
            <sz val="11"/>
            <rFont val="Calibri"/>
          </rPr>
          <t xml:space="preserve">All OL 8 local initialization files must have mode </t>
        </r>
        <r>
          <rPr>
            <sz val="11"/>
            <color rgb="FF000000"/>
            <rFont val="Calibri"/>
          </rPr>
          <t>"</t>
        </r>
        <r>
          <rPr>
            <b/>
            <sz val="11"/>
            <color rgb="FF000000"/>
            <rFont val="Calibri"/>
          </rPr>
          <t>0740</t>
        </r>
        <r>
          <rPr>
            <sz val="11"/>
            <color rgb="FF000000"/>
            <rFont val="Calibri"/>
          </rPr>
          <t>"</t>
        </r>
        <r>
          <rPr>
            <sz val="11"/>
            <color rgb="FF000000"/>
            <rFont val="Calibri"/>
          </rPr>
          <t xml:space="preserve"> or less permissive.</t>
        </r>
      </text>
    </comment>
    <comment ref="AC345" authorId="0" shapeId="0" xr:uid="{00000000-0006-0000-0B00-00006A000000}">
      <text>
        <r>
          <rPr>
            <sz val="11"/>
            <rFont val="Calibri"/>
          </rPr>
          <t>All OL 8 files and directories must have a valid owner.</t>
        </r>
      </text>
    </comment>
    <comment ref="AD345" authorId="0" shapeId="0" xr:uid="{00000000-0006-0000-0B00-00006B000000}">
      <text>
        <r>
          <rPr>
            <sz val="11"/>
            <rFont val="Calibri"/>
          </rPr>
          <t>All OL 8 files and directories must have a valid group owner.</t>
        </r>
      </text>
    </comment>
    <comment ref="AE345" authorId="0" shapeId="0" xr:uid="{00000000-0006-0000-0B00-00006C000000}">
      <text>
        <r>
          <rPr>
            <sz val="11"/>
            <rFont val="Calibri"/>
          </rPr>
          <t xml:space="preserve">A separate OL 8 filesystem must be used for user home directories (such as </t>
        </r>
        <r>
          <rPr>
            <sz val="11"/>
            <color rgb="FF000000"/>
            <rFont val="Calibri"/>
          </rPr>
          <t>"</t>
        </r>
        <r>
          <rPr>
            <b/>
            <sz val="11"/>
            <color rgb="FF000000"/>
            <rFont val="Calibri"/>
          </rPr>
          <t>/home</t>
        </r>
        <r>
          <rPr>
            <sz val="11"/>
            <color rgb="FF000000"/>
            <rFont val="Calibri"/>
          </rPr>
          <t>"</t>
        </r>
        <r>
          <rPr>
            <sz val="11"/>
            <color rgb="FF000000"/>
            <rFont val="Calibri"/>
          </rPr>
          <t xml:space="preserve"> or an equivalent).</t>
        </r>
      </text>
    </comment>
    <comment ref="AF345" authorId="0" shapeId="0" xr:uid="{00000000-0006-0000-0B00-00006D000000}">
      <text>
        <r>
          <rPr>
            <sz val="11"/>
            <rFont val="Calibri"/>
          </rPr>
          <t>OL 8 duplicate User IDs (UIDs) must not exist for interactive users.</t>
        </r>
      </text>
    </comment>
    <comment ref="AG345" authorId="0" shapeId="0" xr:uid="{00000000-0006-0000-0B00-00006E000000}">
      <text>
        <r>
          <rPr>
            <sz val="11"/>
            <rFont val="Calibri"/>
          </rPr>
          <t>The OL 8 system-auth file must disable access to the system for account identifiers (individuals, groups, roles, and devices) with 35 days of inactivity.</t>
        </r>
      </text>
    </comment>
    <comment ref="AH345" authorId="0" shapeId="0" xr:uid="{00000000-0006-0000-0B00-00006F000000}">
      <text>
        <r>
          <rPr>
            <sz val="11"/>
            <rFont val="Calibri"/>
          </rPr>
          <t>The OL 8 password-auth file must disable access to the system for account identifiers (individuals, groups, roles, and devices) with 35 days of inactivity.</t>
        </r>
      </text>
    </comment>
    <comment ref="AI345" authorId="0" shapeId="0" xr:uid="{00000000-0006-0000-0B00-000070000000}">
      <text>
        <r>
          <rPr>
            <sz val="11"/>
            <rFont val="Calibri"/>
          </rPr>
          <t>OL 8 must not have unnecessary accounts.</t>
        </r>
      </text>
    </comment>
    <comment ref="AJ345" authorId="0" shapeId="0" xr:uid="{00000000-0006-0000-0B00-000071000000}">
      <text>
        <r>
          <rPr>
            <sz val="11"/>
            <rFont val="Calibri"/>
          </rPr>
          <t>OL 8 default permissions must be defined in such a way that all authenticated users can read and modify only their own files.</t>
        </r>
      </text>
    </comment>
    <comment ref="AK345" authorId="0" shapeId="0" xr:uid="{00000000-0006-0000-0B00-000072000000}">
      <text>
        <r>
          <rPr>
            <sz val="11"/>
            <rFont val="Calibri"/>
          </rPr>
          <t>OL 8 must set the umask value to 077 for all local interactive user accounts.</t>
        </r>
      </text>
    </comment>
    <comment ref="AL345" authorId="0" shapeId="0" xr:uid="{00000000-0006-0000-0B00-000073000000}">
      <text>
        <r>
          <rPr>
            <sz val="11"/>
            <rFont val="Calibri"/>
          </rPr>
          <t>OL 8 must define default permissions for logon and non-logon shells.</t>
        </r>
      </text>
    </comment>
    <comment ref="AM345" authorId="0" shapeId="0" xr:uid="{00000000-0006-0000-0B00-000074000000}">
      <text>
        <r>
          <rPr>
            <sz val="11"/>
            <rFont val="Calibri"/>
          </rPr>
          <t>OL 8 library directories must have mode 755 or less permissive.</t>
        </r>
      </text>
    </comment>
    <comment ref="AN345" authorId="0" shapeId="0" xr:uid="{00000000-0006-0000-0B00-000075000000}">
      <text>
        <r>
          <rPr>
            <sz val="11"/>
            <rFont val="Calibri"/>
          </rPr>
          <t>OL 8 library directories must be owned by root.</t>
        </r>
      </text>
    </comment>
    <comment ref="AO345" authorId="0" shapeId="0" xr:uid="{00000000-0006-0000-0B00-000076000000}">
      <text>
        <r>
          <rPr>
            <sz val="11"/>
            <rFont val="Calibri"/>
          </rPr>
          <t>OL 8 library directories must be group-owned by root or a system account.</t>
        </r>
      </text>
    </comment>
    <comment ref="H355" authorId="0" shapeId="0" xr:uid="{00000000-0006-0000-0B00-000077000000}">
      <text>
        <r>
          <rPr>
            <sz val="11"/>
            <rFont val="Calibri"/>
          </rPr>
          <t xml:space="preserve">OL 8 must generate audit records for any use of the </t>
        </r>
        <r>
          <rPr>
            <sz val="11"/>
            <color rgb="FF000000"/>
            <rFont val="Calibri"/>
          </rPr>
          <t>"</t>
        </r>
        <r>
          <rPr>
            <b/>
            <sz val="11"/>
            <color rgb="FF000000"/>
            <rFont val="Calibri"/>
          </rPr>
          <t>pam_timestamp_check</t>
        </r>
        <r>
          <rPr>
            <sz val="11"/>
            <color rgb="FF000000"/>
            <rFont val="Calibri"/>
          </rPr>
          <t>"</t>
        </r>
        <r>
          <rPr>
            <sz val="11"/>
            <color rgb="FF000000"/>
            <rFont val="Calibri"/>
          </rPr>
          <t xml:space="preserve"> command.</t>
        </r>
      </text>
    </comment>
    <comment ref="I355" authorId="0" shapeId="0" xr:uid="{00000000-0006-0000-0B00-000078000000}">
      <text>
        <r>
          <rPr>
            <sz val="11"/>
            <rFont val="Calibri"/>
          </rPr>
          <t>OL 8 must compare internal information system clocks at least every 24 hours with a server synchronized to an authoritative time source, such as the United States Naval Observatory (USNO) time servers, or a time server designated for the appropriate DOD network (NIPRNet/SIPRNet), and/or the Global Positioning System (GPS).</t>
        </r>
      </text>
    </comment>
    <comment ref="H356" authorId="0" shapeId="0" xr:uid="{00000000-0006-0000-0B00-000079000000}">
      <text>
        <r>
          <rPr>
            <sz val="11"/>
            <rFont val="Calibri"/>
          </rPr>
          <t>The OL 8 audit package must be installed.</t>
        </r>
      </text>
    </comment>
    <comment ref="I356" authorId="0" shapeId="0" xr:uid="{00000000-0006-0000-0B00-00007A000000}">
      <text>
        <r>
          <rPr>
            <sz val="11"/>
            <rFont val="Calibri"/>
          </rPr>
          <t>OL 8 audit records must contain information to establish what type of events occurred, the source of events, where events occurred, and the outcome of events.</t>
        </r>
      </text>
    </comment>
    <comment ref="J356" authorId="0" shapeId="0" xr:uid="{00000000-0006-0000-0B00-00007B000000}">
      <text>
        <r>
          <rPr>
            <sz val="11"/>
            <rFont val="Calibri"/>
          </rPr>
          <t>OL 8 must display a banner before granting local or remote access to the system via a graphical user logon.</t>
        </r>
      </text>
    </comment>
    <comment ref="K356" authorId="0" shapeId="0" xr:uid="{00000000-0006-0000-0B00-00007C000000}">
      <text>
        <r>
          <rPr>
            <sz val="11"/>
            <rFont val="Calibri"/>
          </rPr>
          <t>All OL 8 remote access methods must be monitored.</t>
        </r>
      </text>
    </comment>
    <comment ref="L356" authorId="0" shapeId="0" xr:uid="{00000000-0006-0000-0B00-00007D000000}">
      <text>
        <r>
          <rPr>
            <sz val="11"/>
            <rFont val="Calibri"/>
          </rPr>
          <t>OL 8, for PKI-based authentication, must validate certificates by constructing a certification path (which includes status information) to an accepted trust anchor.</t>
        </r>
      </text>
    </comment>
    <comment ref="M356" authorId="0" shapeId="0" xr:uid="{00000000-0006-0000-0B00-00007E000000}">
      <text>
        <r>
          <rPr>
            <sz val="11"/>
            <rFont val="Calibri"/>
          </rPr>
          <t>OL 8, for certificate-based authentication, must enforce authorized access to the corresponding private key.</t>
        </r>
      </text>
    </comment>
    <comment ref="N356" authorId="0" shapeId="0" xr:uid="{00000000-0006-0000-0B00-00007F000000}">
      <text>
        <r>
          <rPr>
            <sz val="11"/>
            <rFont val="Calibri"/>
          </rPr>
          <t>OL 8 operating systems booted with United Extensible Firmware Interface (UEFI) must have a unique name for the grub superusers account when booting into single-user mode and maintenance.</t>
        </r>
      </text>
    </comment>
    <comment ref="O356" authorId="0" shapeId="0" xr:uid="{00000000-0006-0000-0B00-000080000000}">
      <text>
        <r>
          <rPr>
            <sz val="11"/>
            <rFont val="Calibri"/>
          </rPr>
          <t>OL 8 operating systems booted with a BIOS must have a unique name for the grub superusers account when booting into single-user and maintenance modes.</t>
        </r>
      </text>
    </comment>
    <comment ref="P356" authorId="0" shapeId="0" xr:uid="{00000000-0006-0000-0B00-000081000000}">
      <text>
        <r>
          <rPr>
            <sz val="11"/>
            <rFont val="Calibri"/>
          </rPr>
          <t>OL 8 operating systems must require authentication upon booting into rescue mode.</t>
        </r>
      </text>
    </comment>
    <comment ref="Q356" authorId="0" shapeId="0" xr:uid="{00000000-0006-0000-0B00-000082000000}">
      <text>
        <r>
          <rPr>
            <sz val="11"/>
            <rFont val="Calibri"/>
          </rPr>
          <t>The krb5-workstation package must not be installed on OL 8.</t>
        </r>
      </text>
    </comment>
    <comment ref="R356" authorId="0" shapeId="0" xr:uid="{00000000-0006-0000-0B00-000083000000}">
      <text>
        <r>
          <rPr>
            <sz val="11"/>
            <rFont val="Calibri"/>
          </rPr>
          <t>The krb5-server package must not be installed on OL 8.</t>
        </r>
      </text>
    </comment>
    <comment ref="S356" authorId="0" shapeId="0" xr:uid="{00000000-0006-0000-0B00-000084000000}">
      <text>
        <r>
          <rPr>
            <sz val="11"/>
            <rFont val="Calibri"/>
          </rPr>
          <t xml:space="preserve">OL 8 must require reauthentication when using the </t>
        </r>
        <r>
          <rPr>
            <sz val="11"/>
            <color rgb="FF000000"/>
            <rFont val="Calibri"/>
          </rPr>
          <t>"</t>
        </r>
        <r>
          <rPr>
            <b/>
            <sz val="11"/>
            <color rgb="FF000000"/>
            <rFont val="Calibri"/>
          </rPr>
          <t>sudo</t>
        </r>
        <r>
          <rPr>
            <sz val="11"/>
            <color rgb="FF000000"/>
            <rFont val="Calibri"/>
          </rPr>
          <t>"</t>
        </r>
        <r>
          <rPr>
            <sz val="11"/>
            <color rgb="FF000000"/>
            <rFont val="Calibri"/>
          </rPr>
          <t xml:space="preserve"> command.</t>
        </r>
      </text>
    </comment>
    <comment ref="T356" authorId="0" shapeId="0" xr:uid="{00000000-0006-0000-0B00-000085000000}">
      <text>
        <r>
          <rPr>
            <sz val="11"/>
            <rFont val="Calibri"/>
          </rPr>
          <t>OL 8 must disable virtual syscalls.</t>
        </r>
      </text>
    </comment>
    <comment ref="U356" authorId="0" shapeId="0" xr:uid="{00000000-0006-0000-0B00-000086000000}">
      <text>
        <r>
          <rPr>
            <sz val="11"/>
            <rFont val="Calibri"/>
          </rPr>
          <t>OL 8 must not let Meltdown and Spectre exploit critical vulnerabilities in modern processors.</t>
        </r>
      </text>
    </comment>
    <comment ref="V356" authorId="0" shapeId="0" xr:uid="{00000000-0006-0000-0B00-000087000000}">
      <text>
        <r>
          <rPr>
            <sz val="11"/>
            <rFont val="Calibri"/>
          </rPr>
          <t>OL 8 must use a separate file system for the system audit data path.</t>
        </r>
      </text>
    </comment>
    <comment ref="W356" authorId="0" shapeId="0" xr:uid="{00000000-0006-0000-0B00-000088000000}">
      <text>
        <r>
          <rPr>
            <sz val="11"/>
            <rFont val="Calibri"/>
          </rPr>
          <t>OL 8 must have the rsyslog service enabled and active.</t>
        </r>
      </text>
    </comment>
    <comment ref="X356" authorId="0" shapeId="0" xr:uid="{00000000-0006-0000-0B00-000089000000}">
      <text>
        <r>
          <rPr>
            <sz val="11"/>
            <rFont val="Calibri"/>
          </rPr>
          <t>OL 8 must prevent special devices on nonroot local partitions.</t>
        </r>
      </text>
    </comment>
    <comment ref="Y356" authorId="0" shapeId="0" xr:uid="{00000000-0006-0000-0B00-00008A000000}">
      <text>
        <r>
          <rPr>
            <sz val="11"/>
            <rFont val="Calibri"/>
          </rPr>
          <t>OL 8 file systems must not interpret character or block special devices from untrusted file systems.</t>
        </r>
      </text>
    </comment>
    <comment ref="Z356" authorId="0" shapeId="0" xr:uid="{00000000-0006-0000-0B00-00008B000000}">
      <text>
        <r>
          <rPr>
            <sz val="11"/>
            <rFont val="Calibri"/>
          </rPr>
          <t>OL 8 file systems must not execute binary files on removable media.</t>
        </r>
      </text>
    </comment>
    <comment ref="AA356" authorId="0" shapeId="0" xr:uid="{00000000-0006-0000-0B00-00008C000000}">
      <text>
        <r>
          <rPr>
            <sz val="11"/>
            <rFont val="Calibri"/>
          </rPr>
          <t>OL 8 must disable kernel dumps unless needed.</t>
        </r>
      </text>
    </comment>
    <comment ref="AB356" authorId="0" shapeId="0" xr:uid="{00000000-0006-0000-0B00-00008D000000}">
      <text>
        <r>
          <rPr>
            <sz val="11"/>
            <rFont val="Calibri"/>
          </rPr>
          <t>OL 8 systems below version 8.2 must prevent system messages from being presented when three unsuccessful logon attempts occur.</t>
        </r>
      </text>
    </comment>
    <comment ref="AC356" authorId="0" shapeId="0" xr:uid="{00000000-0006-0000-0B00-00008E000000}">
      <text>
        <r>
          <rPr>
            <sz val="11"/>
            <rFont val="Calibri"/>
          </rPr>
          <t>OL 8 systems, versions 8.2 and above, must prevent system messages from being presented when three unsuccessful logon attempts occur.</t>
        </r>
      </text>
    </comment>
    <comment ref="AD356" authorId="0" shapeId="0" xr:uid="{00000000-0006-0000-0B00-00008F000000}">
      <text>
        <r>
          <rPr>
            <sz val="11"/>
            <rFont val="Calibri"/>
          </rPr>
          <t>OL 8 systems below version 8.2 must log user name information when unsuccessful logon attempts occur.</t>
        </r>
      </text>
    </comment>
    <comment ref="AE356" authorId="0" shapeId="0" xr:uid="{00000000-0006-0000-0B00-000090000000}">
      <text>
        <r>
          <rPr>
            <sz val="11"/>
            <rFont val="Calibri"/>
          </rPr>
          <t>OL 8 systems, versions 8.2 and above, must log user name information when unsuccessful logon attempts occur.</t>
        </r>
      </text>
    </comment>
    <comment ref="AF356" authorId="0" shapeId="0" xr:uid="{00000000-0006-0000-0B00-000091000000}">
      <text>
        <r>
          <rPr>
            <sz val="11"/>
            <rFont val="Calibri"/>
          </rPr>
          <t>The OL 8 lastlog command must be owned by root.</t>
        </r>
      </text>
    </comment>
    <comment ref="AG356" authorId="0" shapeId="0" xr:uid="{00000000-0006-0000-0B00-000092000000}">
      <text>
        <r>
          <rPr>
            <sz val="11"/>
            <rFont val="Calibri"/>
          </rPr>
          <t>The OL 8 lastlog command must be group-owned by root.</t>
        </r>
      </text>
    </comment>
    <comment ref="AH356" authorId="0" shapeId="0" xr:uid="{00000000-0006-0000-0B00-000093000000}">
      <text>
        <r>
          <rPr>
            <sz val="11"/>
            <rFont val="Calibri"/>
          </rPr>
          <t>The OL 8 audit system must be configured to audit the execution of privileged functions and prevent all software from executing at higher privilege levels than users executing the software.</t>
        </r>
      </text>
    </comment>
    <comment ref="AI356" authorId="0" shapeId="0" xr:uid="{00000000-0006-0000-0B00-000094000000}">
      <text>
        <r>
          <rPr>
            <sz val="11"/>
            <rFont val="Calibri"/>
          </rPr>
          <t>Cron logging must be implemented in OL 8.</t>
        </r>
      </text>
    </comment>
    <comment ref="AJ356" authorId="0" shapeId="0" xr:uid="{00000000-0006-0000-0B00-000095000000}">
      <text>
        <r>
          <rPr>
            <sz val="11"/>
            <rFont val="Calibri"/>
          </rPr>
          <t>The OL 8 audit system must audit local events.</t>
        </r>
      </text>
    </comment>
    <comment ref="AK356" authorId="0" shapeId="0" xr:uid="{00000000-0006-0000-0B00-000096000000}">
      <text>
        <r>
          <rPr>
            <sz val="11"/>
            <rFont val="Calibri"/>
          </rPr>
          <t>OL 8 must resolve audit information before writing to disk.</t>
        </r>
      </text>
    </comment>
    <comment ref="AL356" authorId="0" shapeId="0" xr:uid="{00000000-0006-0000-0B00-000097000000}">
      <text>
        <r>
          <rPr>
            <sz val="11"/>
            <rFont val="Calibri"/>
          </rPr>
          <t xml:space="preserve">OL 8 must generate audit records for all account creation events that affect </t>
        </r>
        <r>
          <rPr>
            <sz val="11"/>
            <color rgb="FF000000"/>
            <rFont val="Calibri"/>
          </rPr>
          <t>"</t>
        </r>
        <r>
          <rPr>
            <b/>
            <sz val="11"/>
            <color rgb="FF000000"/>
            <rFont val="Calibri"/>
          </rPr>
          <t>/etc/shadow</t>
        </r>
        <r>
          <rPr>
            <sz val="11"/>
            <color rgb="FF000000"/>
            <rFont val="Calibri"/>
          </rPr>
          <t>"</t>
        </r>
        <r>
          <rPr>
            <sz val="11"/>
            <color rgb="FF000000"/>
            <rFont val="Calibri"/>
          </rPr>
          <t>.</t>
        </r>
      </text>
    </comment>
    <comment ref="AM356" authorId="0" shapeId="0" xr:uid="{00000000-0006-0000-0B00-000098000000}">
      <text>
        <r>
          <rPr>
            <sz val="11"/>
            <rFont val="Calibri"/>
          </rPr>
          <t xml:space="preserve">OL 8 must generate audit records for all account creation events that affect </t>
        </r>
        <r>
          <rPr>
            <sz val="11"/>
            <color rgb="FF000000"/>
            <rFont val="Calibri"/>
          </rPr>
          <t>"</t>
        </r>
        <r>
          <rPr>
            <b/>
            <sz val="11"/>
            <color rgb="FF000000"/>
            <rFont val="Calibri"/>
          </rPr>
          <t>/etc/security/opasswd</t>
        </r>
        <r>
          <rPr>
            <sz val="11"/>
            <color rgb="FF000000"/>
            <rFont val="Calibri"/>
          </rPr>
          <t>"</t>
        </r>
        <r>
          <rPr>
            <sz val="11"/>
            <color rgb="FF000000"/>
            <rFont val="Calibri"/>
          </rPr>
          <t>.</t>
        </r>
      </text>
    </comment>
    <comment ref="AN356" authorId="0" shapeId="0" xr:uid="{00000000-0006-0000-0B00-000099000000}">
      <text>
        <r>
          <rPr>
            <sz val="11"/>
            <rFont val="Calibri"/>
          </rPr>
          <t xml:space="preserve">OL 8 must generate audit records for all account creation events that affect </t>
        </r>
        <r>
          <rPr>
            <sz val="11"/>
            <color rgb="FF000000"/>
            <rFont val="Calibri"/>
          </rPr>
          <t>"</t>
        </r>
        <r>
          <rPr>
            <b/>
            <sz val="11"/>
            <color rgb="FF000000"/>
            <rFont val="Calibri"/>
          </rPr>
          <t>/etc/passwd</t>
        </r>
        <r>
          <rPr>
            <sz val="11"/>
            <color rgb="FF000000"/>
            <rFont val="Calibri"/>
          </rPr>
          <t>"</t>
        </r>
        <r>
          <rPr>
            <sz val="11"/>
            <color rgb="FF000000"/>
            <rFont val="Calibri"/>
          </rPr>
          <t>.</t>
        </r>
      </text>
    </comment>
    <comment ref="AO356" authorId="0" shapeId="0" xr:uid="{00000000-0006-0000-0B00-00009A000000}">
      <text>
        <r>
          <rPr>
            <sz val="11"/>
            <rFont val="Calibri"/>
          </rPr>
          <t xml:space="preserve">OL 8 must generate audit records for all account creation events that affect </t>
        </r>
        <r>
          <rPr>
            <sz val="11"/>
            <color rgb="FF000000"/>
            <rFont val="Calibri"/>
          </rPr>
          <t>"</t>
        </r>
        <r>
          <rPr>
            <b/>
            <sz val="11"/>
            <color rgb="FF000000"/>
            <rFont val="Calibri"/>
          </rPr>
          <t>/etc/gshadow</t>
        </r>
        <r>
          <rPr>
            <sz val="11"/>
            <color rgb="FF000000"/>
            <rFont val="Calibri"/>
          </rPr>
          <t>"</t>
        </r>
        <r>
          <rPr>
            <sz val="11"/>
            <color rgb="FF000000"/>
            <rFont val="Calibri"/>
          </rPr>
          <t>.</t>
        </r>
      </text>
    </comment>
    <comment ref="AP356" authorId="0" shapeId="0" xr:uid="{00000000-0006-0000-0B00-00009B000000}">
      <text>
        <r>
          <rPr>
            <sz val="11"/>
            <rFont val="Calibri"/>
          </rPr>
          <t xml:space="preserve">OL 8 must generate audit records for all account creation events that affect </t>
        </r>
        <r>
          <rPr>
            <sz val="11"/>
            <color rgb="FF000000"/>
            <rFont val="Calibri"/>
          </rPr>
          <t>"</t>
        </r>
        <r>
          <rPr>
            <b/>
            <sz val="11"/>
            <color rgb="FF000000"/>
            <rFont val="Calibri"/>
          </rPr>
          <t>/etc/group</t>
        </r>
        <r>
          <rPr>
            <sz val="11"/>
            <color rgb="FF000000"/>
            <rFont val="Calibri"/>
          </rPr>
          <t>"</t>
        </r>
        <r>
          <rPr>
            <sz val="11"/>
            <color rgb="FF000000"/>
            <rFont val="Calibri"/>
          </rPr>
          <t>.</t>
        </r>
      </text>
    </comment>
    <comment ref="AQ356" authorId="0" shapeId="0" xr:uid="{00000000-0006-0000-0B00-00009C000000}">
      <text>
        <r>
          <rPr>
            <sz val="11"/>
            <rFont val="Calibri"/>
          </rPr>
          <t xml:space="preserve">OL 8 must generate audit records for all account creations, modifications, disabling, and termination events that affect </t>
        </r>
        <r>
          <rPr>
            <sz val="11"/>
            <color rgb="FF000000"/>
            <rFont val="Calibri"/>
          </rPr>
          <t>"</t>
        </r>
        <r>
          <rPr>
            <b/>
            <sz val="11"/>
            <color rgb="FF000000"/>
            <rFont val="Calibri"/>
          </rPr>
          <t>/etc/sudoers</t>
        </r>
        <r>
          <rPr>
            <sz val="11"/>
            <color rgb="FF000000"/>
            <rFont val="Calibri"/>
          </rPr>
          <t>"</t>
        </r>
        <r>
          <rPr>
            <sz val="11"/>
            <color rgb="FF000000"/>
            <rFont val="Calibri"/>
          </rPr>
          <t>.</t>
        </r>
      </text>
    </comment>
    <comment ref="AR356" authorId="0" shapeId="0" xr:uid="{00000000-0006-0000-0B00-00009D000000}">
      <text>
        <r>
          <rPr>
            <sz val="11"/>
            <rFont val="Calibri"/>
          </rPr>
          <t xml:space="preserve">OL 8 must generate audit records for all account creations, modifications, disabling, and termination events that affect </t>
        </r>
        <r>
          <rPr>
            <sz val="11"/>
            <color rgb="FF000000"/>
            <rFont val="Calibri"/>
          </rPr>
          <t>"</t>
        </r>
        <r>
          <rPr>
            <b/>
            <sz val="11"/>
            <color rgb="FF000000"/>
            <rFont val="Calibri"/>
          </rPr>
          <t>/etc/sudoers.d/</t>
        </r>
        <r>
          <rPr>
            <sz val="11"/>
            <color rgb="FF000000"/>
            <rFont val="Calibri"/>
          </rPr>
          <t>"</t>
        </r>
        <r>
          <rPr>
            <sz val="11"/>
            <color rgb="FF000000"/>
            <rFont val="Calibri"/>
          </rPr>
          <t>.</t>
        </r>
      </text>
    </comment>
    <comment ref="AS356" authorId="0" shapeId="0" xr:uid="{00000000-0006-0000-0B00-00009E000000}">
      <text>
        <r>
          <rPr>
            <sz val="11"/>
            <rFont val="Calibri"/>
          </rPr>
          <t xml:space="preserve">OL 8 must generate audit records for any use of the </t>
        </r>
        <r>
          <rPr>
            <sz val="11"/>
            <color rgb="FF000000"/>
            <rFont val="Calibri"/>
          </rPr>
          <t>"</t>
        </r>
        <r>
          <rPr>
            <b/>
            <sz val="11"/>
            <color rgb="FF000000"/>
            <rFont val="Calibri"/>
          </rPr>
          <t>su</t>
        </r>
        <r>
          <rPr>
            <sz val="11"/>
            <color rgb="FF000000"/>
            <rFont val="Calibri"/>
          </rPr>
          <t>"</t>
        </r>
        <r>
          <rPr>
            <sz val="11"/>
            <color rgb="FF000000"/>
            <rFont val="Calibri"/>
          </rPr>
          <t xml:space="preserve"> command.</t>
        </r>
      </text>
    </comment>
    <comment ref="AT356" authorId="0" shapeId="0" xr:uid="{00000000-0006-0000-0B00-00009F000000}">
      <text>
        <r>
          <rPr>
            <sz val="11"/>
            <rFont val="Calibri"/>
          </rPr>
          <t xml:space="preserve">The OL 8 audit system must be configured to audit any use of the </t>
        </r>
        <r>
          <rPr>
            <sz val="11"/>
            <color rgb="FF000000"/>
            <rFont val="Calibri"/>
          </rPr>
          <t>"</t>
        </r>
        <r>
          <rPr>
            <b/>
            <sz val="11"/>
            <color rgb="FF000000"/>
            <rFont val="Calibri"/>
          </rPr>
          <t>setxattr</t>
        </r>
        <r>
          <rPr>
            <sz val="11"/>
            <color rgb="FF000000"/>
            <rFont val="Calibri"/>
          </rPr>
          <t>"</t>
        </r>
        <r>
          <rPr>
            <sz val="11"/>
            <color rgb="FF000000"/>
            <rFont val="Calibri"/>
          </rPr>
          <t xml:space="preserve">, </t>
        </r>
        <r>
          <rPr>
            <sz val="11"/>
            <color rgb="FF000000"/>
            <rFont val="Calibri"/>
          </rPr>
          <t>"</t>
        </r>
        <r>
          <rPr>
            <b/>
            <sz val="11"/>
            <color rgb="FF000000"/>
            <rFont val="Calibri"/>
          </rPr>
          <t>fsetxattr</t>
        </r>
        <r>
          <rPr>
            <sz val="11"/>
            <color rgb="FF000000"/>
            <rFont val="Calibri"/>
          </rPr>
          <t>"</t>
        </r>
        <r>
          <rPr>
            <sz val="11"/>
            <color rgb="FF000000"/>
            <rFont val="Calibri"/>
          </rPr>
          <t xml:space="preserve">, </t>
        </r>
        <r>
          <rPr>
            <sz val="11"/>
            <color rgb="FF000000"/>
            <rFont val="Calibri"/>
          </rPr>
          <t>"</t>
        </r>
        <r>
          <rPr>
            <b/>
            <sz val="11"/>
            <color rgb="FF000000"/>
            <rFont val="Calibri"/>
          </rPr>
          <t>lsetxattr</t>
        </r>
        <r>
          <rPr>
            <sz val="11"/>
            <color rgb="FF000000"/>
            <rFont val="Calibri"/>
          </rPr>
          <t>"</t>
        </r>
        <r>
          <rPr>
            <sz val="11"/>
            <color rgb="FF000000"/>
            <rFont val="Calibri"/>
          </rPr>
          <t xml:space="preserve">, </t>
        </r>
        <r>
          <rPr>
            <sz val="11"/>
            <color rgb="FF000000"/>
            <rFont val="Calibri"/>
          </rPr>
          <t>"</t>
        </r>
        <r>
          <rPr>
            <b/>
            <sz val="11"/>
            <color rgb="FF000000"/>
            <rFont val="Calibri"/>
          </rPr>
          <t>removexattr</t>
        </r>
        <r>
          <rPr>
            <sz val="11"/>
            <color rgb="FF000000"/>
            <rFont val="Calibri"/>
          </rPr>
          <t>"</t>
        </r>
        <r>
          <rPr>
            <sz val="11"/>
            <color rgb="FF000000"/>
            <rFont val="Calibri"/>
          </rPr>
          <t xml:space="preserve">, </t>
        </r>
        <r>
          <rPr>
            <sz val="11"/>
            <color rgb="FF000000"/>
            <rFont val="Calibri"/>
          </rPr>
          <t>"</t>
        </r>
        <r>
          <rPr>
            <b/>
            <sz val="11"/>
            <color rgb="FF000000"/>
            <rFont val="Calibri"/>
          </rPr>
          <t>fremovexattr</t>
        </r>
        <r>
          <rPr>
            <sz val="11"/>
            <color rgb="FF000000"/>
            <rFont val="Calibri"/>
          </rPr>
          <t>"</t>
        </r>
        <r>
          <rPr>
            <sz val="11"/>
            <color rgb="FF000000"/>
            <rFont val="Calibri"/>
          </rPr>
          <t xml:space="preserve">, and </t>
        </r>
        <r>
          <rPr>
            <sz val="11"/>
            <color rgb="FF000000"/>
            <rFont val="Calibri"/>
          </rPr>
          <t>"</t>
        </r>
        <r>
          <rPr>
            <b/>
            <sz val="11"/>
            <color rgb="FF000000"/>
            <rFont val="Calibri"/>
          </rPr>
          <t>lremovexattr</t>
        </r>
        <r>
          <rPr>
            <sz val="11"/>
            <color rgb="FF000000"/>
            <rFont val="Calibri"/>
          </rPr>
          <t>"</t>
        </r>
        <r>
          <rPr>
            <sz val="11"/>
            <color rgb="FF000000"/>
            <rFont val="Calibri"/>
          </rPr>
          <t xml:space="preserve"> system calls.</t>
        </r>
      </text>
    </comment>
    <comment ref="AU356" authorId="0" shapeId="0" xr:uid="{00000000-0006-0000-0B00-0000A0000000}">
      <text>
        <r>
          <rPr>
            <sz val="11"/>
            <rFont val="Calibri"/>
          </rPr>
          <t xml:space="preserve">OL 8 must generate audit records for any use of the </t>
        </r>
        <r>
          <rPr>
            <sz val="11"/>
            <color rgb="FF000000"/>
            <rFont val="Calibri"/>
          </rPr>
          <t>"</t>
        </r>
        <r>
          <rPr>
            <b/>
            <sz val="11"/>
            <color rgb="FF000000"/>
            <rFont val="Calibri"/>
          </rPr>
          <t>chage</t>
        </r>
        <r>
          <rPr>
            <sz val="11"/>
            <color rgb="FF000000"/>
            <rFont val="Calibri"/>
          </rPr>
          <t>"</t>
        </r>
        <r>
          <rPr>
            <sz val="11"/>
            <color rgb="FF000000"/>
            <rFont val="Calibri"/>
          </rPr>
          <t xml:space="preserve"> command.</t>
        </r>
      </text>
    </comment>
    <comment ref="H360" authorId="0" shapeId="0" xr:uid="{00000000-0006-0000-0B00-0000A1000000}">
      <text>
        <r>
          <rPr>
            <sz val="11"/>
            <rFont val="Calibri"/>
          </rPr>
          <t>OL 8 must label all offloaded audit logs before sending them to the central log server.</t>
        </r>
      </text>
    </comment>
    <comment ref="I360" authorId="0" shapeId="0" xr:uid="{00000000-0006-0000-0B00-0000A2000000}">
      <text>
        <r>
          <rPr>
            <sz val="11"/>
            <rFont val="Calibri"/>
          </rPr>
          <t>OL 8 must have the packages required for offloading audit logs installed.</t>
        </r>
      </text>
    </comment>
    <comment ref="J360" authorId="0" shapeId="0" xr:uid="{00000000-0006-0000-0B00-0000A3000000}">
      <text>
        <r>
          <rPr>
            <sz val="11"/>
            <rFont val="Calibri"/>
          </rPr>
          <t>OL 8 must have the packages required for encrypting offloaded audit logs installed.</t>
        </r>
      </text>
    </comment>
    <comment ref="K360" authorId="0" shapeId="0" xr:uid="{00000000-0006-0000-0B00-0000A4000000}">
      <text>
        <r>
          <rPr>
            <sz val="11"/>
            <rFont val="Calibri"/>
          </rPr>
          <t>OL 8 must encrypt the transfer of audit records offloaded onto a different system or media from the system being audited.</t>
        </r>
      </text>
    </comment>
    <comment ref="L360" authorId="0" shapeId="0" xr:uid="{00000000-0006-0000-0B00-0000A5000000}">
      <text>
        <r>
          <rPr>
            <sz val="11"/>
            <rFont val="Calibri"/>
          </rPr>
          <t>OL 8 must authenticate the remote logging server for offloading audit logs.</t>
        </r>
      </text>
    </comment>
    <comment ref="H361" authorId="0" shapeId="0" xr:uid="{00000000-0006-0000-0B00-0000A6000000}">
      <text>
        <r>
          <rPr>
            <sz val="11"/>
            <rFont val="Calibri"/>
          </rPr>
          <t xml:space="preserve">The OL 8 </t>
        </r>
        <r>
          <rPr>
            <sz val="11"/>
            <color rgb="FF000000"/>
            <rFont val="Calibri"/>
          </rPr>
          <t>"</t>
        </r>
        <r>
          <rPr>
            <b/>
            <sz val="11"/>
            <color rgb="FF000000"/>
            <rFont val="Calibri"/>
          </rPr>
          <t>/var/log/messages</t>
        </r>
        <r>
          <rPr>
            <sz val="11"/>
            <color rgb="FF000000"/>
            <rFont val="Calibri"/>
          </rPr>
          <t>"</t>
        </r>
        <r>
          <rPr>
            <sz val="11"/>
            <color rgb="FF000000"/>
            <rFont val="Calibri"/>
          </rPr>
          <t xml:space="preserve"> file must have mode 0640 or less permissive.</t>
        </r>
      </text>
    </comment>
    <comment ref="I361" authorId="0" shapeId="0" xr:uid="{00000000-0006-0000-0B00-0000A7000000}">
      <text>
        <r>
          <rPr>
            <sz val="11"/>
            <rFont val="Calibri"/>
          </rPr>
          <t xml:space="preserve">The OL 8 </t>
        </r>
        <r>
          <rPr>
            <sz val="11"/>
            <color rgb="FF000000"/>
            <rFont val="Calibri"/>
          </rPr>
          <t>"</t>
        </r>
        <r>
          <rPr>
            <b/>
            <sz val="11"/>
            <color rgb="FF000000"/>
            <rFont val="Calibri"/>
          </rPr>
          <t>/var/log/messages</t>
        </r>
        <r>
          <rPr>
            <sz val="11"/>
            <color rgb="FF000000"/>
            <rFont val="Calibri"/>
          </rPr>
          <t>"</t>
        </r>
        <r>
          <rPr>
            <sz val="11"/>
            <color rgb="FF000000"/>
            <rFont val="Calibri"/>
          </rPr>
          <t xml:space="preserve"> file must be owned by root.</t>
        </r>
      </text>
    </comment>
    <comment ref="J361" authorId="0" shapeId="0" xr:uid="{00000000-0006-0000-0B00-0000A8000000}">
      <text>
        <r>
          <rPr>
            <sz val="11"/>
            <rFont val="Calibri"/>
          </rPr>
          <t xml:space="preserve">The OL 8 </t>
        </r>
        <r>
          <rPr>
            <sz val="11"/>
            <color rgb="FF000000"/>
            <rFont val="Calibri"/>
          </rPr>
          <t>"</t>
        </r>
        <r>
          <rPr>
            <b/>
            <sz val="11"/>
            <color rgb="FF000000"/>
            <rFont val="Calibri"/>
          </rPr>
          <t>/var/log/messages</t>
        </r>
        <r>
          <rPr>
            <sz val="11"/>
            <color rgb="FF000000"/>
            <rFont val="Calibri"/>
          </rPr>
          <t>"</t>
        </r>
        <r>
          <rPr>
            <sz val="11"/>
            <color rgb="FF000000"/>
            <rFont val="Calibri"/>
          </rPr>
          <t xml:space="preserve"> file must be group-owned by root.</t>
        </r>
      </text>
    </comment>
    <comment ref="K361" authorId="0" shapeId="0" xr:uid="{00000000-0006-0000-0B00-0000A9000000}">
      <text>
        <r>
          <rPr>
            <sz val="11"/>
            <rFont val="Calibri"/>
          </rPr>
          <t xml:space="preserve">The OL 8 </t>
        </r>
        <r>
          <rPr>
            <sz val="11"/>
            <color rgb="FF000000"/>
            <rFont val="Calibri"/>
          </rPr>
          <t>"</t>
        </r>
        <r>
          <rPr>
            <b/>
            <sz val="11"/>
            <color rgb="FF000000"/>
            <rFont val="Calibri"/>
          </rPr>
          <t>/var/log</t>
        </r>
        <r>
          <rPr>
            <sz val="11"/>
            <color rgb="FF000000"/>
            <rFont val="Calibri"/>
          </rPr>
          <t>"</t>
        </r>
        <r>
          <rPr>
            <sz val="11"/>
            <color rgb="FF000000"/>
            <rFont val="Calibri"/>
          </rPr>
          <t xml:space="preserve"> directory must have mode 0755 or less permissive.</t>
        </r>
      </text>
    </comment>
    <comment ref="L361" authorId="0" shapeId="0" xr:uid="{00000000-0006-0000-0B00-0000AA000000}">
      <text>
        <r>
          <rPr>
            <sz val="11"/>
            <rFont val="Calibri"/>
          </rPr>
          <t xml:space="preserve">The OL 8 </t>
        </r>
        <r>
          <rPr>
            <sz val="11"/>
            <color rgb="FF000000"/>
            <rFont val="Calibri"/>
          </rPr>
          <t>"</t>
        </r>
        <r>
          <rPr>
            <b/>
            <sz val="11"/>
            <color rgb="FF000000"/>
            <rFont val="Calibri"/>
          </rPr>
          <t>/var/log</t>
        </r>
        <r>
          <rPr>
            <sz val="11"/>
            <color rgb="FF000000"/>
            <rFont val="Calibri"/>
          </rPr>
          <t>"</t>
        </r>
        <r>
          <rPr>
            <sz val="11"/>
            <color rgb="FF000000"/>
            <rFont val="Calibri"/>
          </rPr>
          <t xml:space="preserve"> directory must be owned by root.</t>
        </r>
      </text>
    </comment>
    <comment ref="M361" authorId="0" shapeId="0" xr:uid="{00000000-0006-0000-0B00-0000AB000000}">
      <text>
        <r>
          <rPr>
            <sz val="11"/>
            <rFont val="Calibri"/>
          </rPr>
          <t xml:space="preserve">The OL 8 </t>
        </r>
        <r>
          <rPr>
            <sz val="11"/>
            <color rgb="FF000000"/>
            <rFont val="Calibri"/>
          </rPr>
          <t>"</t>
        </r>
        <r>
          <rPr>
            <b/>
            <sz val="11"/>
            <color rgb="FF000000"/>
            <rFont val="Calibri"/>
          </rPr>
          <t>/var/log</t>
        </r>
        <r>
          <rPr>
            <sz val="11"/>
            <color rgb="FF000000"/>
            <rFont val="Calibri"/>
          </rPr>
          <t>"</t>
        </r>
        <r>
          <rPr>
            <sz val="11"/>
            <color rgb="FF000000"/>
            <rFont val="Calibri"/>
          </rPr>
          <t xml:space="preserve"> directory must be group-owned by root.</t>
        </r>
      </text>
    </comment>
    <comment ref="N361" authorId="0" shapeId="0" xr:uid="{00000000-0006-0000-0B00-0000AC000000}">
      <text>
        <r>
          <rPr>
            <sz val="11"/>
            <rFont val="Calibri"/>
          </rPr>
          <t xml:space="preserve">OL 8 audit logs must have a mode of </t>
        </r>
        <r>
          <rPr>
            <sz val="11"/>
            <color rgb="FF000000"/>
            <rFont val="Calibri"/>
          </rPr>
          <t>"</t>
        </r>
        <r>
          <rPr>
            <b/>
            <sz val="11"/>
            <color rgb="FF000000"/>
            <rFont val="Calibri"/>
          </rPr>
          <t>0600</t>
        </r>
        <r>
          <rPr>
            <sz val="11"/>
            <color rgb="FF000000"/>
            <rFont val="Calibri"/>
          </rPr>
          <t>"</t>
        </r>
        <r>
          <rPr>
            <sz val="11"/>
            <color rgb="FF000000"/>
            <rFont val="Calibri"/>
          </rPr>
          <t xml:space="preserve"> or less permissive to prevent unauthorized read access.</t>
        </r>
      </text>
    </comment>
    <comment ref="O361" authorId="0" shapeId="0" xr:uid="{00000000-0006-0000-0B00-0000AD000000}">
      <text>
        <r>
          <rPr>
            <sz val="11"/>
            <rFont val="Calibri"/>
          </rPr>
          <t>OL 8 audit logs must be owned by root to prevent unauthorized read access.</t>
        </r>
      </text>
    </comment>
    <comment ref="P361" authorId="0" shapeId="0" xr:uid="{00000000-0006-0000-0B00-0000AE000000}">
      <text>
        <r>
          <rPr>
            <sz val="11"/>
            <rFont val="Calibri"/>
          </rPr>
          <t>OL 8 audit logs must be group-owned by root to prevent unauthorized read access.</t>
        </r>
      </text>
    </comment>
    <comment ref="Q361" authorId="0" shapeId="0" xr:uid="{00000000-0006-0000-0B00-0000AF000000}">
      <text>
        <r>
          <rPr>
            <sz val="11"/>
            <rFont val="Calibri"/>
          </rPr>
          <t>The OL 8 audit log directory must be owned by root to prevent unauthorized read access.</t>
        </r>
      </text>
    </comment>
    <comment ref="R361" authorId="0" shapeId="0" xr:uid="{00000000-0006-0000-0B00-0000B0000000}">
      <text>
        <r>
          <rPr>
            <sz val="11"/>
            <rFont val="Calibri"/>
          </rPr>
          <t>The OL 8 audit log directory must be group-owned by root to prevent unauthorized read access.</t>
        </r>
      </text>
    </comment>
    <comment ref="S361" authorId="0" shapeId="0" xr:uid="{00000000-0006-0000-0B00-0000B1000000}">
      <text>
        <r>
          <rPr>
            <sz val="11"/>
            <rFont val="Calibri"/>
          </rPr>
          <t>The OL 8 audit log directory must have a mode of 0700 or less permissive to prevent unauthorized read access.</t>
        </r>
      </text>
    </comment>
    <comment ref="T361" authorId="0" shapeId="0" xr:uid="{00000000-0006-0000-0B00-0000B2000000}">
      <text>
        <r>
          <rPr>
            <sz val="11"/>
            <rFont val="Calibri"/>
          </rPr>
          <t>The OL 8 audit system must protect auditing rules from unauthorized change.</t>
        </r>
      </text>
    </comment>
    <comment ref="U361" authorId="0" shapeId="0" xr:uid="{00000000-0006-0000-0B00-0000B3000000}">
      <text>
        <r>
          <rPr>
            <sz val="11"/>
            <rFont val="Calibri"/>
          </rPr>
          <t>The OL 8 audit system must protect logon UIDs from unauthorized change.</t>
        </r>
      </text>
    </comment>
    <comment ref="V361" authorId="0" shapeId="0" xr:uid="{00000000-0006-0000-0B00-0000B4000000}">
      <text>
        <r>
          <rPr>
            <sz val="11"/>
            <rFont val="Calibri"/>
          </rPr>
          <t xml:space="preserve">OL 8 audit tools must have a mode of </t>
        </r>
        <r>
          <rPr>
            <sz val="11"/>
            <color rgb="FF000000"/>
            <rFont val="Calibri"/>
          </rPr>
          <t>"</t>
        </r>
        <r>
          <rPr>
            <b/>
            <sz val="11"/>
            <color rgb="FF000000"/>
            <rFont val="Calibri"/>
          </rPr>
          <t>0755</t>
        </r>
        <r>
          <rPr>
            <sz val="11"/>
            <color rgb="FF000000"/>
            <rFont val="Calibri"/>
          </rPr>
          <t>"</t>
        </r>
        <r>
          <rPr>
            <sz val="11"/>
            <color rgb="FF000000"/>
            <rFont val="Calibri"/>
          </rPr>
          <t xml:space="preserve"> or less permissive.</t>
        </r>
      </text>
    </comment>
    <comment ref="W361" authorId="0" shapeId="0" xr:uid="{00000000-0006-0000-0B00-0000B5000000}">
      <text>
        <r>
          <rPr>
            <sz val="11"/>
            <rFont val="Calibri"/>
          </rPr>
          <t>OL 8 audit tools must be owned by root.</t>
        </r>
      </text>
    </comment>
    <comment ref="X361" authorId="0" shapeId="0" xr:uid="{00000000-0006-0000-0B00-0000B6000000}">
      <text>
        <r>
          <rPr>
            <sz val="11"/>
            <rFont val="Calibri"/>
          </rPr>
          <t>OL 8 audit tools must be group-owned by root.</t>
        </r>
      </text>
    </comment>
    <comment ref="Y361" authorId="0" shapeId="0" xr:uid="{00000000-0006-0000-0B00-0000B7000000}">
      <text>
        <r>
          <rPr>
            <sz val="11"/>
            <rFont val="Calibri"/>
          </rPr>
          <t>OL 8 must use cryptographic mechanisms to protect the integrity of audit tools.</t>
        </r>
      </text>
    </comment>
    <comment ref="H362" authorId="0" shapeId="0" xr:uid="{00000000-0006-0000-0B00-0000B8000000}">
      <text>
        <r>
          <rPr>
            <sz val="11"/>
            <rFont val="Calibri"/>
          </rPr>
          <t>The OL 8 System Administrator (SA) and Information System Security Officer (ISSO) (at a minimum) must be alerted of an audit processing failure event.</t>
        </r>
      </text>
    </comment>
    <comment ref="I362" authorId="0" shapeId="0" xr:uid="{00000000-0006-0000-0B00-0000B9000000}">
      <text>
        <r>
          <rPr>
            <sz val="11"/>
            <rFont val="Calibri"/>
          </rPr>
          <t>The OL 8 Information System Security Officer (ISSO) and System Administrator (SA) (at a minimum) must have mail aliases to be notified of an audit processing failure.</t>
        </r>
      </text>
    </comment>
    <comment ref="J362" authorId="0" shapeId="0" xr:uid="{00000000-0006-0000-0B00-0000BA000000}">
      <text>
        <r>
          <rPr>
            <sz val="11"/>
            <rFont val="Calibri"/>
          </rPr>
          <t>The OL 8 System must take appropriate action when an audit processing failure occurs.</t>
        </r>
      </text>
    </comment>
    <comment ref="K362" authorId="0" shapeId="0" xr:uid="{00000000-0006-0000-0B00-0000BB000000}">
      <text>
        <r>
          <rPr>
            <sz val="11"/>
            <rFont val="Calibri"/>
          </rPr>
          <t>The OL 8 audit system must take appropriate action when the audit storage volume is full.</t>
        </r>
      </text>
    </comment>
    <comment ref="L362" authorId="0" shapeId="0" xr:uid="{00000000-0006-0000-0B00-0000BC000000}">
      <text>
        <r>
          <rPr>
            <sz val="11"/>
            <rFont val="Calibri"/>
          </rPr>
          <t>OL 8 must notify the System Administrator (SA) and Information System Security Officer (ISSO) (at a minimum) when allocated audit record storage volume 75 percent utilization.</t>
        </r>
      </text>
    </comment>
  </commentList>
</comments>
</file>

<file path=xl/sharedStrings.xml><?xml version="1.0" encoding="utf-8"?>
<sst xmlns="http://schemas.openxmlformats.org/spreadsheetml/2006/main" count="16894" uniqueCount="7487">
  <si>
    <t>Id</t>
  </si>
  <si>
    <t>Title</t>
  </si>
  <si>
    <t>Severity</t>
  </si>
  <si>
    <t>MoSCoW</t>
  </si>
  <si>
    <t>OpsImpact</t>
  </si>
  <si>
    <t>Phase</t>
  </si>
  <si>
    <t>ImplStatus</t>
  </si>
  <si>
    <t>Notes</t>
  </si>
  <si>
    <t>Remediation</t>
  </si>
  <si>
    <t>Description</t>
  </si>
  <si>
    <t>Audit</t>
  </si>
  <si>
    <t>Status</t>
  </si>
  <si>
    <t>LogID</t>
  </si>
  <si>
    <t>V-248519</t>
  </si>
  <si>
    <r>
      <rPr>
        <sz val="11"/>
        <rFont val="Calibri"/>
      </rPr>
      <t>The OL 8 audit package must be installed.</t>
    </r>
  </si>
  <si>
    <t>CAT II (Medium)</t>
  </si>
  <si>
    <t>Unassigned</t>
  </si>
  <si>
    <t>Unassessed</t>
  </si>
  <si>
    <t>Pending</t>
  </si>
  <si>
    <t/>
  </si>
  <si>
    <r>
      <rPr>
        <sz val="11"/>
        <color rgb="FF000000"/>
        <rFont val="Calibri"/>
      </rPr>
      <t>Configure the audit service to produce audit records containing the information needed to establish when (date and time) an event occurred.</t>
    </r>
    <r>
      <rPr>
        <sz val="11"/>
        <color rgb="FF000000"/>
        <rFont val="Calibri"/>
      </rPr>
      <t xml:space="preserve">
</t>
    </r>
    <r>
      <rPr>
        <sz val="11"/>
        <color rgb="FF000000"/>
        <rFont val="Calibri"/>
      </rPr>
      <t>Install the audit service (if the audit service is not already installed) with the following command:</t>
    </r>
    <r>
      <rPr>
        <sz val="11"/>
        <color rgb="FF000000"/>
        <rFont val="Calibri"/>
      </rPr>
      <t xml:space="preserve">
</t>
    </r>
    <r>
      <rPr>
        <sz val="11"/>
        <color rgb="FF000000"/>
        <rFont val="Calibri"/>
      </rPr>
      <t>$ sudo yum install audit</t>
    </r>
  </si>
  <si>
    <r>
      <rPr>
        <sz val="11"/>
        <color rgb="FF000000"/>
        <rFont val="Calibri"/>
      </rPr>
      <t xml:space="preserve">Without establishing what type of events occurred and their source, location, and outcome, it would be difficult to establish, correlate, and investigate the events leading up to an outage or attack.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Audit record content that may be necessary to satisfy this requirement includes, for example, time stamps, source and destination addresses, user/process identifiers, event descriptions, success/fail indications, filenames involved, and access control or flow control rules invoked.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Associating event types with detected events in OL 8 audit logs provides a means of investigating an attack, recognizing resource utilization or capacity thresholds, or identifying an improperly configured OL 8 system.</t>
    </r>
    <r>
      <rPr>
        <sz val="11"/>
        <color rgb="FF000000"/>
        <rFont val="Calibri"/>
      </rPr>
      <t xml:space="preserve">
</t>
    </r>
    <r>
      <rPr>
        <sz val="11"/>
        <color rgb="FF000000"/>
        <rFont val="Calibri"/>
      </rPr>
      <t>Satisfies: SRG-OS-000037-GPOS-00015, SRG-OS-000038-GPOS-00016, SRG-OS-000039-GPOS-00017, SRG-OS-000040-GPOS-00018, SRG-OS-000041-GPOS-00019, SRG-OS-000042-GPOS-00021, SRG-OS-000051-GPOS-00024, SRG-OS-000054-GPOS-00025, SRG-OS-000062-GPOS-00031, SRG-OS-000122-GPOS-00063, SRG-OS-000254-GPOS-00095, SRG-OS-000255-GPOS-00096, SRG-OS-000337-GPOS-00129, SRG-OS-000348-GPOS-00136, SRG-OS-000349-GPOS-00137, SRG-OS-000350-GPOS-00138, SRG-OS-000351-GPOS-00139, SRG-OS-000352-GPOS-00140, SRG-OS-000353-GPOS-00141, SRG-OS-000354-GPOS-00142, SRG-OS-000358-GPOS-00145, SRG-OS-000365-GPOS-00152, SRG-OS-000392-GPOS-00172, SRG-OS-000475-GPOS-00220</t>
    </r>
  </si>
  <si>
    <r>
      <rPr>
        <sz val="11"/>
        <color rgb="FF000000"/>
        <rFont val="Calibri"/>
      </rPr>
      <t>Verify the audit service is configured to produce audit records.</t>
    </r>
    <r>
      <rPr>
        <sz val="11"/>
        <color rgb="FF000000"/>
        <rFont val="Calibri"/>
      </rPr>
      <t xml:space="preserve">
</t>
    </r>
    <r>
      <rPr>
        <sz val="11"/>
        <color rgb="FF000000"/>
        <rFont val="Calibri"/>
      </rPr>
      <t>Check that the audit service is installed with the following command:</t>
    </r>
    <r>
      <rPr>
        <sz val="11"/>
        <color rgb="FF000000"/>
        <rFont val="Calibri"/>
      </rPr>
      <t xml:space="preserve">
</t>
    </r>
    <r>
      <rPr>
        <sz val="11"/>
        <color rgb="FF000000"/>
        <rFont val="Calibri"/>
      </rPr>
      <t>$ sudo yum list installed audit</t>
    </r>
    <r>
      <rPr>
        <sz val="11"/>
        <color rgb="FF000000"/>
        <rFont val="Calibri"/>
      </rPr>
      <t xml:space="preserve">
</t>
    </r>
    <r>
      <rPr>
        <sz val="11"/>
        <color rgb="FF000000"/>
        <rFont val="Calibri"/>
      </rPr>
      <t>If the "auditd" package is not installed, this is a finding.</t>
    </r>
  </si>
  <si>
    <t>V-248520</t>
  </si>
  <si>
    <r>
      <rPr>
        <sz val="11"/>
        <rFont val="Calibri"/>
      </rPr>
      <t>OL 8 audit records must contain information to establish what type of events occurred, the source of events, where events occurred, and the outcome of events.</t>
    </r>
  </si>
  <si>
    <r>
      <rPr>
        <sz val="11"/>
        <color rgb="FF000000"/>
        <rFont val="Calibri"/>
      </rPr>
      <t>Configure the audit service to produce audit records containing the information needed to establish when (date and time) an event occurred with the following commands:</t>
    </r>
    <r>
      <rPr>
        <sz val="11"/>
        <color rgb="FF000000"/>
        <rFont val="Calibri"/>
      </rPr>
      <t xml:space="preserve">
</t>
    </r>
    <r>
      <rPr>
        <sz val="11"/>
        <color rgb="FF000000"/>
        <rFont val="Calibri"/>
      </rPr>
      <t>$ sudo systemctl enable auditd.service</t>
    </r>
    <r>
      <rPr>
        <sz val="11"/>
        <color rgb="FF000000"/>
        <rFont val="Calibri"/>
      </rPr>
      <t xml:space="preserve">
</t>
    </r>
    <r>
      <rPr>
        <sz val="11"/>
        <color rgb="FF000000"/>
        <rFont val="Calibri"/>
      </rPr>
      <t>$ sudo systemctl start auditd.service</t>
    </r>
  </si>
  <si>
    <r>
      <rPr>
        <sz val="11"/>
        <color rgb="FF000000"/>
        <rFont val="Calibri"/>
      </rPr>
      <t>Verify the audit service is configured to produce audit records with the following command:</t>
    </r>
    <r>
      <rPr>
        <sz val="11"/>
        <color rgb="FF000000"/>
        <rFont val="Calibri"/>
      </rPr>
      <t xml:space="preserve">
</t>
    </r>
    <r>
      <rPr>
        <sz val="11"/>
        <color rgb="FF000000"/>
        <rFont val="Calibri"/>
      </rPr>
      <t>$ sudo systemctl status auditd.service</t>
    </r>
    <r>
      <rPr>
        <sz val="11"/>
        <color rgb="FF000000"/>
        <rFont val="Calibri"/>
      </rPr>
      <t xml:space="preserve">
</t>
    </r>
    <r>
      <rPr>
        <sz val="11"/>
        <color rgb="FF000000"/>
        <rFont val="Calibri"/>
      </rPr>
      <t>auditd.service - Security Auditing Service</t>
    </r>
    <r>
      <rPr>
        <sz val="11"/>
        <color rgb="FF000000"/>
        <rFont val="Calibri"/>
      </rPr>
      <t xml:space="preserve">
</t>
    </r>
    <r>
      <rPr>
        <sz val="11"/>
        <color rgb="FF000000"/>
        <rFont val="Calibri"/>
      </rPr>
      <t>Loaded:loaded (/usr/lib/systemd/system/auditd.service; enabled; vendor preset: enabled)</t>
    </r>
    <r>
      <rPr>
        <sz val="11"/>
        <color rgb="FF000000"/>
        <rFont val="Calibri"/>
      </rPr>
      <t xml:space="preserve">
</t>
    </r>
    <r>
      <rPr>
        <sz val="11"/>
        <color rgb="FF000000"/>
        <rFont val="Calibri"/>
      </rPr>
      <t>Active: active (running) since Tues 2020-12-11 12:56:56 EST; 4 weeks 0 days ago</t>
    </r>
    <r>
      <rPr>
        <sz val="11"/>
        <color rgb="FF000000"/>
        <rFont val="Calibri"/>
      </rPr>
      <t xml:space="preserve">
</t>
    </r>
    <r>
      <rPr>
        <sz val="11"/>
        <color rgb="FF000000"/>
        <rFont val="Calibri"/>
      </rPr>
      <t>If the audit service is not "active" and "running", this is a finding.</t>
    </r>
  </si>
  <si>
    <t>V-248521</t>
  </si>
  <si>
    <r>
      <rPr>
        <sz val="11"/>
        <rFont val="Calibri"/>
      </rPr>
      <t>OL 8 must be a vendor-supported release.</t>
    </r>
  </si>
  <si>
    <t>CAT I (High)</t>
  </si>
  <si>
    <r>
      <rPr>
        <sz val="11"/>
        <color rgb="FF000000"/>
        <rFont val="Calibri"/>
      </rPr>
      <t>Upgrade to a supported version of the operating system.</t>
    </r>
  </si>
  <si>
    <r>
      <rPr>
        <sz val="11"/>
        <color rgb="FF000000"/>
        <rFont val="Calibri"/>
      </rPr>
      <t xml:space="preserve">Configuring the operating system to implement organization-wide security implementation guides and security checklists verifies compliance with federal standards and establishes a common security baseline across the DOD that reflects the most restrictive security posture consistent with operational requirements.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Configuration settings are the set of parameters that can be changed in hardware, software, or firmware components of the system that affect the security posture and/or functionality of the system. Security-related parameters are parameters impacting the security state of the system, including the parameters required to satisfy other security control requirements. Security-related parameters include, for example, registry settings; account, file, and directory permission settings; and settings for functions, ports, protocols, services, and remote connections.</t>
    </r>
    <r>
      <rPr>
        <sz val="11"/>
        <color rgb="FF000000"/>
        <rFont val="Calibri"/>
      </rPr>
      <t xml:space="preserve">
</t>
    </r>
    <r>
      <rPr>
        <sz val="11"/>
        <color rgb="FF000000"/>
        <rFont val="Calibri"/>
      </rPr>
      <t>End Of Life dates for Oracle Linux 8 releases are as follows:</t>
    </r>
    <r>
      <rPr>
        <sz val="11"/>
        <color rgb="FF000000"/>
        <rFont val="Calibri"/>
      </rPr>
      <t xml:space="preserve">
</t>
    </r>
    <r>
      <rPr>
        <sz val="11"/>
        <color rgb="FF000000"/>
        <rFont val="Calibri"/>
      </rPr>
      <t>Current end of Premier Support for Oracle Linux 8 is July 2029.</t>
    </r>
    <r>
      <rPr>
        <sz val="11"/>
        <color rgb="FF000000"/>
        <rFont val="Calibri"/>
      </rPr>
      <t xml:space="preserve">
</t>
    </r>
    <r>
      <rPr>
        <sz val="11"/>
        <color rgb="FF000000"/>
        <rFont val="Calibri"/>
      </rPr>
      <t xml:space="preserve">Current end of Extended Support for Oracle Linux 8 is July 2032. </t>
    </r>
    <r>
      <rPr>
        <sz val="11"/>
        <color rgb="FF000000"/>
        <rFont val="Calibri"/>
      </rPr>
      <t xml:space="preserve">
</t>
    </r>
    <r>
      <rPr>
        <sz val="11"/>
        <color rgb="FF000000"/>
        <rFont val="Calibri"/>
      </rPr>
      <t>Each minor version reaches end of life when the new version is released.</t>
    </r>
  </si>
  <si>
    <r>
      <rPr>
        <sz val="11"/>
        <color rgb="FF000000"/>
        <rFont val="Calibri"/>
      </rPr>
      <t xml:space="preserve">Verify the version of the operating system is vendor supported.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Check the version of the operating system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cat /etc/oracle-release </t>
    </r>
    <r>
      <rPr>
        <sz val="11"/>
        <color rgb="FF000000"/>
        <rFont val="Calibri"/>
      </rPr>
      <t xml:space="preserve">
</t>
    </r>
    <r>
      <rPr>
        <sz val="11"/>
        <color rgb="FF000000"/>
        <rFont val="Calibri"/>
      </rPr>
      <t>Oracle Linux Server release 8.10</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release is not supported by the vendor, this is a finding.</t>
    </r>
  </si>
  <si>
    <t>V-248523</t>
  </si>
  <si>
    <r>
      <rPr>
        <sz val="11"/>
        <rFont val="Calibri"/>
      </rPr>
      <t>OL 8 vendor-packaged system security patches and updates must be installed and up to date.</t>
    </r>
  </si>
  <si>
    <r>
      <rPr>
        <sz val="11"/>
        <color rgb="FF000000"/>
        <rFont val="Calibri"/>
      </rPr>
      <t>Install the operating system patches or updated packages available from Oracle within 30 days or sooner as local policy dictates.</t>
    </r>
  </si>
  <si>
    <r>
      <rPr>
        <sz val="11"/>
        <color rgb="FF000000"/>
        <rFont val="Calibri"/>
      </rPr>
      <t xml:space="preserve">Timely patching is critical for maintaining the operational availability, confidentiality, and integrity of information technology (IT) systems. However, failure to keep operating system and application software patched is a common mistake made by IT professionals.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New patches are released daily, and it is often difficult for even experienced System Administrators to keep abreast of all the new patches. When new weaknesses in an operating system exist, patches are usually made available by the vendor to resolve the problems. If the most recent security patches and updates are not installed, unauthorized users may take advantage of weaknesses in the unpatched software. The lack of prompt attention to patching could result in a system compromise.</t>
    </r>
  </si>
  <si>
    <r>
      <rPr>
        <sz val="11"/>
        <color rgb="FF000000"/>
        <rFont val="Calibri"/>
      </rPr>
      <t>Note: If the system is not an internet connected system, this requirement is not applicable.</t>
    </r>
    <r>
      <rPr>
        <sz val="11"/>
        <color rgb="FF000000"/>
        <rFont val="Calibri"/>
      </rPr>
      <t xml:space="preserve">
</t>
    </r>
    <r>
      <rPr>
        <sz val="11"/>
        <color rgb="FF000000"/>
        <rFont val="Calibri"/>
      </rPr>
      <t xml:space="preserve">Verify the operating system security patches and updates are installed and up to date. Updates are required to be applied with a frequency determined by the site or Program Management Office (PMO).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Obtain the list of available package security updates from Oracle. The URL for updates is https://linux.oracle.com/errata/. It is important to note that updates provided by Oracle may not be present on the system if the underlying packages are not installed.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Check that the available package security updates have been installed on the system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yum history list | more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Loaded plugins: langpacks, product-id, subscription-manager </t>
    </r>
    <r>
      <rPr>
        <sz val="11"/>
        <color rgb="FF000000"/>
        <rFont val="Calibri"/>
      </rPr>
      <t xml:space="preserve">
</t>
    </r>
    <r>
      <rPr>
        <sz val="11"/>
        <color rgb="FF000000"/>
        <rFont val="Calibri"/>
      </rPr>
      <t xml:space="preserve">ID | Command line | Date and time | Action(s) | Altered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70 | install aide | 2020-03-05 10:58 | Install | 1 </t>
    </r>
    <r>
      <rPr>
        <sz val="11"/>
        <color rgb="FF000000"/>
        <rFont val="Calibri"/>
      </rPr>
      <t xml:space="preserve">
</t>
    </r>
    <r>
      <rPr>
        <sz val="11"/>
        <color rgb="FF000000"/>
        <rFont val="Calibri"/>
      </rPr>
      <t xml:space="preserve">69 | update -y | 2020-03-04 14:34 | Update | 18 EE </t>
    </r>
    <r>
      <rPr>
        <sz val="11"/>
        <color rgb="FF000000"/>
        <rFont val="Calibri"/>
      </rPr>
      <t xml:space="preserve">
</t>
    </r>
    <r>
      <rPr>
        <sz val="11"/>
        <color rgb="FF000000"/>
        <rFont val="Calibri"/>
      </rPr>
      <t xml:space="preserve">68 | install vlc | 2020-02-21 17:12 | Install | 21 </t>
    </r>
    <r>
      <rPr>
        <sz val="11"/>
        <color rgb="FF000000"/>
        <rFont val="Calibri"/>
      </rPr>
      <t xml:space="preserve">
</t>
    </r>
    <r>
      <rPr>
        <sz val="11"/>
        <color rgb="FF000000"/>
        <rFont val="Calibri"/>
      </rPr>
      <t xml:space="preserve">67 | update -y | 2020-02-21 17:04 | Update | 7 EE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package updates have not been performed on the system within the timeframe that the site/program documentation requires,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Typical update frequency may be overridden by Information Assurance Vulnerability Alert (IAVA) notifications from CYBERCOM.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operating system is not in compliance with the Information Assurance Vulnerability Management (IAVM) process, this is a finding.</t>
    </r>
  </si>
  <si>
    <t>V-248524</t>
  </si>
  <si>
    <r>
      <rPr>
        <sz val="11"/>
        <rFont val="Calibri"/>
      </rPr>
      <t>OL 8 must implement NIST FIPS-validated cryptography for the following: To provision digital signatures, to generate cryptographic hashes, and to protect data requiring data-at-rest protections in accordance with applicable federal laws, Executive Orders, directives, policies, regulations, and standards.</t>
    </r>
  </si>
  <si>
    <r>
      <rPr>
        <sz val="11"/>
        <color rgb="FF000000"/>
        <rFont val="Calibri"/>
      </rPr>
      <t>Configure the operating system to implement DOD-approved encryption by following the steps below:</t>
    </r>
    <r>
      <rPr>
        <sz val="11"/>
        <color rgb="FF000000"/>
        <rFont val="Calibri"/>
      </rPr>
      <t xml:space="preserve">
</t>
    </r>
    <r>
      <rPr>
        <sz val="11"/>
        <color rgb="FF000000"/>
        <rFont val="Calibri"/>
      </rPr>
      <t>To enable strict FIPS compliance, the fips=1 kernel option must be added to the kernel boot parameters during system installation so key generation is done with FIPS-approved algorithms and continuous monitoring tests in place.</t>
    </r>
    <r>
      <rPr>
        <sz val="11"/>
        <color rgb="FF000000"/>
        <rFont val="Calibri"/>
      </rPr>
      <t xml:space="preserve">
</t>
    </r>
    <r>
      <rPr>
        <sz val="11"/>
        <color rgb="FF000000"/>
        <rFont val="Calibri"/>
      </rPr>
      <t>Enable FIPS mode after installation (not strict FIPS-compliant) with the following command:</t>
    </r>
    <r>
      <rPr>
        <sz val="11"/>
        <color rgb="FF000000"/>
        <rFont val="Calibri"/>
      </rPr>
      <t xml:space="preserve">
</t>
    </r>
    <r>
      <rPr>
        <sz val="11"/>
        <color rgb="FF000000"/>
        <rFont val="Calibri"/>
      </rPr>
      <t xml:space="preserve">     $ sudo fips-mode-setup --enable</t>
    </r>
    <r>
      <rPr>
        <sz val="11"/>
        <color rgb="FF000000"/>
        <rFont val="Calibri"/>
      </rPr>
      <t xml:space="preserve">
</t>
    </r>
    <r>
      <rPr>
        <sz val="11"/>
        <color rgb="FF000000"/>
        <rFont val="Calibri"/>
      </rPr>
      <t>Reboot the system for the changes to take effect.</t>
    </r>
  </si>
  <si>
    <r>
      <rPr>
        <sz val="11"/>
        <color rgb="FF000000"/>
        <rFont val="Calibri"/>
      </rPr>
      <t xml:space="preserve">Use of weak or untested encryption algorithms undermines the purposes of using encryption to protect data. The operating system must implement cryptographic modules adhering to the higher standards approved by the federal government since this provides assurance they have been tested and validated.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OL 8 uses GRUB 2 as the default bootloader. Note that GRUB 2 command-line parameters are defined in the "kernelopts" variable of the "/boot/grub2/grubenv" file for all kernel boot entries. The command "fips-mode-setup" modifies the "kernelopts" variable, which in turn updates all kernel boot entries.</t>
    </r>
    <r>
      <rPr>
        <sz val="11"/>
        <color rgb="FF000000"/>
        <rFont val="Calibri"/>
      </rPr>
      <t xml:space="preserve">
</t>
    </r>
    <r>
      <rPr>
        <sz val="11"/>
        <color rgb="FF000000"/>
        <rFont val="Calibri"/>
      </rPr>
      <t>The fips=1 kernel option needs to be added to the kernel command line during system installation so that key generation is done with FIPS-approved algorithms and continuous monitoring tests in place. Users must also ensure the system has plenty of entropy during the installation process by moving the mouse around, or if no mouse is available, ensuring that many keystrokes are typed. The recommended amount of keystrokes is 256 and more. Less than 256 keystrokes may generate a nonunique key.</t>
    </r>
    <r>
      <rPr>
        <sz val="11"/>
        <color rgb="FF000000"/>
        <rFont val="Calibri"/>
      </rPr>
      <t xml:space="preserve">
</t>
    </r>
    <r>
      <rPr>
        <sz val="11"/>
        <color rgb="FF000000"/>
        <rFont val="Calibri"/>
      </rPr>
      <t>Satisfies: SRG-OS-000033-GPOS-00014, SRG-OS-000125-GPOS-00065, SRG-OS-000250-GPOS-00093, SRG-OS-000393-GPOS-00173, SRG-OS-000394-GPOS-00174, SRG-OS-000423-GPOS-00187</t>
    </r>
  </si>
  <si>
    <r>
      <rPr>
        <sz val="11"/>
        <color rgb="FF000000"/>
        <rFont val="Calibri"/>
      </rPr>
      <t>Verify the operating system implements DOD-approved encryption to protect the confidentiality of remote access sessions.</t>
    </r>
    <r>
      <rPr>
        <sz val="11"/>
        <color rgb="FF000000"/>
        <rFont val="Calibri"/>
      </rPr>
      <t xml:space="preserve">
</t>
    </r>
    <r>
      <rPr>
        <sz val="11"/>
        <color rgb="FF000000"/>
        <rFont val="Calibri"/>
      </rPr>
      <t>Check to see if FIPS mode is enabled with the following command:</t>
    </r>
    <r>
      <rPr>
        <sz val="11"/>
        <color rgb="FF000000"/>
        <rFont val="Calibri"/>
      </rPr>
      <t xml:space="preserve">
</t>
    </r>
    <r>
      <rPr>
        <sz val="11"/>
        <color rgb="FF000000"/>
        <rFont val="Calibri"/>
      </rPr>
      <t xml:space="preserve">     $ fips-mode-setup --check</t>
    </r>
    <r>
      <rPr>
        <sz val="11"/>
        <color rgb="FF000000"/>
        <rFont val="Calibri"/>
      </rPr>
      <t xml:space="preserve">
</t>
    </r>
    <r>
      <rPr>
        <sz val="11"/>
        <color rgb="FF000000"/>
        <rFont val="Calibri"/>
      </rPr>
      <t xml:space="preserve">     FIPS mode is enabled</t>
    </r>
    <r>
      <rPr>
        <sz val="11"/>
        <color rgb="FF000000"/>
        <rFont val="Calibri"/>
      </rPr>
      <t xml:space="preserve">
</t>
    </r>
    <r>
      <rPr>
        <sz val="11"/>
        <color rgb="FF000000"/>
        <rFont val="Calibri"/>
      </rPr>
      <t>If FIPS mode is "enabled", check if the kernel boot parameter is configured for FIPS mode with the following command:</t>
    </r>
    <r>
      <rPr>
        <sz val="11"/>
        <color rgb="FF000000"/>
        <rFont val="Calibri"/>
      </rPr>
      <t xml:space="preserve">
</t>
    </r>
    <r>
      <rPr>
        <sz val="11"/>
        <color rgb="FF000000"/>
        <rFont val="Calibri"/>
      </rPr>
      <t xml:space="preserve">     $ sudo grub2-editenv list | grep fips</t>
    </r>
    <r>
      <rPr>
        <sz val="11"/>
        <color rgb="FF000000"/>
        <rFont val="Calibri"/>
      </rPr>
      <t xml:space="preserve">
</t>
    </r>
    <r>
      <rPr>
        <sz val="11"/>
        <color rgb="FF000000"/>
        <rFont val="Calibri"/>
      </rPr>
      <t xml:space="preserve">     kernelopts=...fips=1</t>
    </r>
    <r>
      <rPr>
        <sz val="11"/>
        <color rgb="FF000000"/>
        <rFont val="Calibri"/>
      </rPr>
      <t xml:space="preserve">
</t>
    </r>
    <r>
      <rPr>
        <sz val="11"/>
        <color rgb="FF000000"/>
        <rFont val="Calibri"/>
      </rPr>
      <t>If the kernel boot parameter is configured to use FIPS mode, check to see if the system is in FIPS mode with the following command:</t>
    </r>
    <r>
      <rPr>
        <sz val="11"/>
        <color rgb="FF000000"/>
        <rFont val="Calibri"/>
      </rPr>
      <t xml:space="preserve">
</t>
    </r>
    <r>
      <rPr>
        <sz val="11"/>
        <color rgb="FF000000"/>
        <rFont val="Calibri"/>
      </rPr>
      <t xml:space="preserve">     $ sudo cat /proc/sys/crypto/fips_enabled</t>
    </r>
    <r>
      <rPr>
        <sz val="11"/>
        <color rgb="FF000000"/>
        <rFont val="Calibri"/>
      </rPr>
      <t xml:space="preserve">
</t>
    </r>
    <r>
      <rPr>
        <sz val="11"/>
        <color rgb="FF000000"/>
        <rFont val="Calibri"/>
      </rPr>
      <t xml:space="preserve">     1</t>
    </r>
    <r>
      <rPr>
        <sz val="11"/>
        <color rgb="FF000000"/>
        <rFont val="Calibri"/>
      </rPr>
      <t xml:space="preserve">
</t>
    </r>
    <r>
      <rPr>
        <sz val="11"/>
        <color rgb="FF000000"/>
        <rFont val="Calibri"/>
      </rPr>
      <t>If FIPS mode is not "enabled", the kernel boot parameter is not configured for FIPS mode, or the system does not have a value of "1" for "fips_enabled" in "/proc/sys/crypto", this is a finding.</t>
    </r>
  </si>
  <si>
    <t>V-248525</t>
  </si>
  <si>
    <r>
      <rPr>
        <sz val="11"/>
        <rFont val="Calibri"/>
      </rPr>
      <t>All OL 8 local disk partitions must implement cryptographic mechanisms to prevent unauthorized disclosure or modification of all information that requires at-rest protection.</t>
    </r>
  </si>
  <si>
    <r>
      <rPr>
        <sz val="11"/>
        <color rgb="FF000000"/>
        <rFont val="Calibri"/>
      </rPr>
      <t xml:space="preserve">Configure OL 8 to prevent unauthorized modification of all information at rest by using disk encryption.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Encrypting a partition in an already-installed system is more difficult because existing partitions will need to be resized and changed.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To encrypt an entire partition, dedicate a partition for encryption in the partition layout.</t>
    </r>
  </si>
  <si>
    <r>
      <rPr>
        <sz val="11"/>
        <color rgb="FF000000"/>
        <rFont val="Calibri"/>
      </rPr>
      <t xml:space="preserve">OL 8 systems handling data requiring "data-at-rest" protections must employ cryptographic mechanisms to prevent unauthorized disclosure and modification of the information at rest.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Selection of a cryptographic mechanism is based on the need to protect the integrity of organizational information. The strength of the mechanism is commensurate with the security category and/or classification of the information. Organizations have the flexibility to either encrypt all information on storage devices (i.e., full disk encryption) or encrypt specific data structures (e.g., files, records, or fields).</t>
    </r>
    <r>
      <rPr>
        <sz val="11"/>
        <color rgb="FF000000"/>
        <rFont val="Calibri"/>
      </rPr>
      <t xml:space="preserve">
</t>
    </r>
    <r>
      <rPr>
        <sz val="11"/>
        <color rgb="FF000000"/>
        <rFont val="Calibri"/>
      </rPr>
      <t>Satisfies: SRG-OS-000185-GPOS-00079, SRG-OS-000404-GPOS-00183, SRG-OS-000405-GPOS-00184</t>
    </r>
  </si>
  <si>
    <r>
      <rPr>
        <sz val="11"/>
        <color rgb="FF000000"/>
        <rFont val="Calibri"/>
      </rPr>
      <t xml:space="preserve">Verify OL 8 prevents unauthorized disclosure or modification of all information requiring at-rest protection by using disk encryption.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there is a documented and approved reason for not having data-at-rest encryption at the operating system level, such as encryption provided by a hypervisor or a disk storage array in a virtualized environment, this requirement is not applicable.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Verify all system partitions are encrypted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blkid</t>
    </r>
    <r>
      <rPr>
        <sz val="11"/>
        <color rgb="FF000000"/>
        <rFont val="Calibri"/>
      </rPr>
      <t xml:space="preserve">
</t>
    </r>
    <r>
      <rPr>
        <sz val="11"/>
        <color rgb="FF000000"/>
        <rFont val="Calibri"/>
      </rPr>
      <t xml:space="preserve">     /dev/mapper/ol-root:  UUID="67b7d7fe-de60-6fd0-befb-e6748cf97743" TYPE="crypto_LUKS"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Every persistent disk partition present must be of type "crypto_LUKS".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any partitions other than the boot partition or pseudo file systems (such as "/proc" or "/sys") are not listed, ask the administrator to indicate how the partitions are encrypted. If there is no evidence that these partitions are encrypted, this is a finding.</t>
    </r>
  </si>
  <si>
    <t>V-248526</t>
  </si>
  <si>
    <r>
      <rPr>
        <sz val="11"/>
        <rFont val="Calibri"/>
      </rPr>
      <t>OL 8 must display the Standard Mandatory DOD Notice and Consent Banner before granting local or remote access to the system via an SSH logon.</t>
    </r>
  </si>
  <si>
    <r>
      <rPr>
        <sz val="11"/>
        <color rgb="FF000000"/>
        <rFont val="Calibri"/>
      </rPr>
      <t xml:space="preserve">Configure OL 8 to display the Standard Mandatory DOD Notice and Consent Banner before granting access to the system via the SSH.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Edit the "/etc/ssh/sshd_config" file to uncomment the banner keyword and configure it to point to a file that will contain the logon banner (this file may be named differently or be in a different location if using a version of SSH that is provided by a third-party vendor). An example configuration line is: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banner /etc/issue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Either create the file containing the banner or replace the text in the file with the Standard Mandatory DOD Notice and Consent Banner. The DOD-required text is: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"You are accessing a U.S. Government (USG) Information System (IS) that is provided for USG-authorized use only. By using this IS (which includes any device attached to this IS), you consent to the following conditions: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-The USG routinely intercepts and monitors communications on this IS for purposes including, but not limited to, penetration testing, COMSEC monitoring, network operations and defense, personnel misconduct (PM), law enforcement (LE), and counterintelligence (CI) investigations.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-At any time, the USG may inspect and seize data stored on this IS.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-Communications using, or data stored on, this IS are not private, are subject to routine monitoring, interception, and search, and may be disclosed or used for any USG-authorized purpose.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-This IS includes security measures (e.g., authentication and access controls) to protect USG interests--not for your personal benefit or privacy.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 SSH service must be restarted for changes to take effect.</t>
    </r>
  </si>
  <si>
    <r>
      <rPr>
        <sz val="11"/>
        <color rgb="FF000000"/>
        <rFont val="Calibri"/>
      </rPr>
      <t xml:space="preserve">Display of a standardized and approved use notification before granting access to the operating system ensures privacy and security notification verbiage used is consistent with applicable federal laws, Executive Orders, directives, policies, regulations, standards, and guidance.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System use notifications are required only for access via logon interfaces with human users and are not required when such human interfaces do not exist.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The banner must be formatted in accordance with applicable DOD policy. Use the following verbiage for operating systems that can accommodate banners of 1300 characters: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"You are accessing a U.S. Government (USG) Information System (IS) that is provided for USG-authorized use only.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By using this IS (which includes any device attached to this IS), you consent to the following conditions: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-The USG routinely intercepts and monitors communications on this IS for purposes including, but not limited to, penetration testing, COMSEC monitoring, network operations and defense, personnel misconduct (PM), law enforcement (LE), and counterintelligence (CI) investigations.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-At any time, the USG may inspect and seize data stored on this IS.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-Communications using, or data stored on, this IS are not private, are subject to routine monitoring, interception, and search, and may be disclosed or used for any USG-authorized purpose.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-This IS includes security measures (e.g., authentication and access controls) to protect USG interests--not for your personal benefit or privacy.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Use the following verbiage for operating systems that have severe limitations on the number of characters that can be displayed in the banner: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"I've read &amp; consent to terms in IS user agreem't."</t>
    </r>
    <r>
      <rPr>
        <sz val="11"/>
        <color rgb="FF000000"/>
        <rFont val="Calibri"/>
      </rPr>
      <t xml:space="preserve">
</t>
    </r>
    <r>
      <rPr>
        <sz val="11"/>
        <color rgb="FF000000"/>
        <rFont val="Calibri"/>
      </rPr>
      <t>Satisfies: SRG-OS-000023-GPOS-00006, SRG-OS-000228-GPOS-00088</t>
    </r>
  </si>
  <si>
    <r>
      <rPr>
        <sz val="11"/>
        <color rgb="FF000000"/>
        <rFont val="Calibri"/>
      </rPr>
      <t>Verify that any publicly accessible connection to the operating system displays the Standard Mandatory DOD Notice and Consent Banner before granting access to the system.</t>
    </r>
    <r>
      <rPr>
        <sz val="11"/>
        <color rgb="FF000000"/>
        <rFont val="Calibri"/>
      </rPr>
      <t xml:space="preserve">
</t>
    </r>
    <r>
      <rPr>
        <sz val="11"/>
        <color rgb="FF000000"/>
        <rFont val="Calibri"/>
      </rPr>
      <t>Check for the location of the banner file being used with the following command:</t>
    </r>
    <r>
      <rPr>
        <sz val="11"/>
        <color rgb="FF000000"/>
        <rFont val="Calibri"/>
      </rPr>
      <t xml:space="preserve">
</t>
    </r>
    <r>
      <rPr>
        <sz val="11"/>
        <color rgb="FF000000"/>
        <rFont val="Calibri"/>
      </rPr>
      <t>$ sudo /usr/sbin/sshd -dd 2&gt;&amp;1 | awk '/filename/ {print $4}' | tr -d '\r' | tr '\n' ' ' | xargs sudo grep -iH '^\s*banner'</t>
    </r>
    <r>
      <rPr>
        <sz val="11"/>
        <color rgb="FF000000"/>
        <rFont val="Calibri"/>
      </rPr>
      <t xml:space="preserve">
</t>
    </r>
    <r>
      <rPr>
        <sz val="11"/>
        <color rgb="FF000000"/>
        <rFont val="Calibri"/>
      </rPr>
      <t>banner /etc/issue</t>
    </r>
    <r>
      <rPr>
        <sz val="11"/>
        <color rgb="FF000000"/>
        <rFont val="Calibri"/>
      </rPr>
      <t xml:space="preserve">
</t>
    </r>
    <r>
      <rPr>
        <sz val="11"/>
        <color rgb="FF000000"/>
        <rFont val="Calibri"/>
      </rPr>
      <t>This command will return the banner keyword and the name of the file that contains the SSH banner (in this case "/etc/issue").</t>
    </r>
    <r>
      <rPr>
        <sz val="11"/>
        <color rgb="FF000000"/>
        <rFont val="Calibri"/>
      </rPr>
      <t xml:space="preserve">
</t>
    </r>
    <r>
      <rPr>
        <sz val="11"/>
        <color rgb="FF000000"/>
        <rFont val="Calibri"/>
      </rPr>
      <t>If the line is commented out, this is a finding.</t>
    </r>
    <r>
      <rPr>
        <sz val="11"/>
        <color rgb="FF000000"/>
        <rFont val="Calibri"/>
      </rPr>
      <t xml:space="preserve">
</t>
    </r>
    <r>
      <rPr>
        <sz val="11"/>
        <color rgb="FF000000"/>
        <rFont val="Calibri"/>
      </rPr>
      <t>If conflicting results are returned, this is a finding.</t>
    </r>
    <r>
      <rPr>
        <sz val="11"/>
        <color rgb="FF000000"/>
        <rFont val="Calibri"/>
      </rPr>
      <t xml:space="preserve">
</t>
    </r>
    <r>
      <rPr>
        <sz val="11"/>
        <color rgb="FF000000"/>
        <rFont val="Calibri"/>
      </rPr>
      <t>View the file specified by the banner keyword to check that it matches the text of the Standard Mandatory DOD Notice and Consent Banner:</t>
    </r>
    <r>
      <rPr>
        <sz val="11"/>
        <color rgb="FF000000"/>
        <rFont val="Calibri"/>
      </rPr>
      <t xml:space="preserve">
</t>
    </r>
    <r>
      <rPr>
        <sz val="11"/>
        <color rgb="FF000000"/>
        <rFont val="Calibri"/>
      </rPr>
      <t>"You are accessing a U.S. Government (USG) Information System (IS) that is provided for USG-authorized use only. 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If the system does not display a graphical logon banner or the banner does not match the Standard Mandatory DOD Notice and Consent Banner, this is a finding.</t>
    </r>
    <r>
      <rPr>
        <sz val="11"/>
        <color rgb="FF000000"/>
        <rFont val="Calibri"/>
      </rPr>
      <t xml:space="preserve">
</t>
    </r>
    <r>
      <rPr>
        <sz val="11"/>
        <color rgb="FF000000"/>
        <rFont val="Calibri"/>
      </rPr>
      <t>If the text in the file does not match the Standard Mandatory DOD Notice and Consent Banner, this is a finding.</t>
    </r>
  </si>
  <si>
    <t>V-248527</t>
  </si>
  <si>
    <r>
      <rPr>
        <sz val="11"/>
        <rFont val="Calibri"/>
      </rPr>
      <t>OL 8 must display a banner before granting local or remote access to the system via a graphical user logon.</t>
    </r>
  </si>
  <si>
    <r>
      <rPr>
        <sz val="11"/>
        <color rgb="FF000000"/>
        <rFont val="Calibri"/>
      </rPr>
      <t>Configure the operating system to display a banner before granting access to the system.</t>
    </r>
    <r>
      <rPr>
        <sz val="11"/>
        <color rgb="FF000000"/>
        <rFont val="Calibri"/>
      </rPr>
      <t xml:space="preserve">
</t>
    </r>
    <r>
      <rPr>
        <sz val="11"/>
        <color rgb="FF000000"/>
        <rFont val="Calibri"/>
      </rPr>
      <t>Note: If the system does not have a graphical user interface installed, this requirement is Not Applicable.</t>
    </r>
    <r>
      <rPr>
        <sz val="11"/>
        <color rgb="FF000000"/>
        <rFont val="Calibri"/>
      </rPr>
      <t xml:space="preserve">
</t>
    </r>
    <r>
      <rPr>
        <sz val="11"/>
        <color rgb="FF000000"/>
        <rFont val="Calibri"/>
      </rPr>
      <t>Create a database to contain the system-wide graphical user logon settings (if it does not already exist) with the following command:</t>
    </r>
    <r>
      <rPr>
        <sz val="11"/>
        <color rgb="FF000000"/>
        <rFont val="Calibri"/>
      </rPr>
      <t xml:space="preserve">
</t>
    </r>
    <r>
      <rPr>
        <sz val="11"/>
        <color rgb="FF000000"/>
        <rFont val="Calibri"/>
      </rPr>
      <t>$ sudo touch /etc/dconf/db/local.d/01-banner-message</t>
    </r>
    <r>
      <rPr>
        <sz val="11"/>
        <color rgb="FF000000"/>
        <rFont val="Calibri"/>
      </rPr>
      <t xml:space="preserve">
</t>
    </r>
    <r>
      <rPr>
        <sz val="11"/>
        <color rgb="FF000000"/>
        <rFont val="Calibri"/>
      </rPr>
      <t>Add the following lines to the [org/gnome/login-screen] section of the "/etc/dconf/db/local.d/01-banner-message":</t>
    </r>
    <r>
      <rPr>
        <sz val="11"/>
        <color rgb="FF000000"/>
        <rFont val="Calibri"/>
      </rPr>
      <t xml:space="preserve">
</t>
    </r>
    <r>
      <rPr>
        <sz val="11"/>
        <color rgb="FF000000"/>
        <rFont val="Calibri"/>
      </rPr>
      <t>[org/gnome/login-screen]</t>
    </r>
    <r>
      <rPr>
        <sz val="11"/>
        <color rgb="FF000000"/>
        <rFont val="Calibri"/>
      </rPr>
      <t xml:space="preserve">
</t>
    </r>
    <r>
      <rPr>
        <sz val="11"/>
        <color rgb="FF000000"/>
        <rFont val="Calibri"/>
      </rPr>
      <t>banner-message-enable=true</t>
    </r>
    <r>
      <rPr>
        <sz val="11"/>
        <color rgb="FF000000"/>
        <rFont val="Calibri"/>
      </rPr>
      <t xml:space="preserve">
</t>
    </r>
    <r>
      <rPr>
        <sz val="11"/>
        <color rgb="FF000000"/>
        <rFont val="Calibri"/>
      </rPr>
      <t>Run the following command to update the database:</t>
    </r>
    <r>
      <rPr>
        <sz val="11"/>
        <color rgb="FF000000"/>
        <rFont val="Calibri"/>
      </rPr>
      <t xml:space="preserve">
</t>
    </r>
    <r>
      <rPr>
        <sz val="11"/>
        <color rgb="FF000000"/>
        <rFont val="Calibri"/>
      </rPr>
      <t>$ sudo dconf update</t>
    </r>
  </si>
  <si>
    <r>
      <rPr>
        <sz val="11"/>
        <color rgb="FF000000"/>
        <rFont val="Calibri"/>
      </rPr>
      <t>Display of a standardized and approved use notification before granting access to the operating system ensures privacy and security notification verbiage used is consistent with applicable federal laws, Executive Orders, directives, policies, regulations, standards, and guidance.</t>
    </r>
    <r>
      <rPr>
        <sz val="11"/>
        <color rgb="FF000000"/>
        <rFont val="Calibri"/>
      </rPr>
      <t xml:space="preserve">
</t>
    </r>
    <r>
      <rPr>
        <sz val="11"/>
        <color rgb="FF000000"/>
        <rFont val="Calibri"/>
      </rPr>
      <t>System use notifications are required only for access via logon interfaces with human users and are not required when such human interfaces do not exist.</t>
    </r>
    <r>
      <rPr>
        <sz val="11"/>
        <color rgb="FF000000"/>
        <rFont val="Calibri"/>
      </rPr>
      <t xml:space="preserve">
</t>
    </r>
    <r>
      <rPr>
        <sz val="11"/>
        <color rgb="FF000000"/>
        <rFont val="Calibri"/>
      </rPr>
      <t>Satisfies: SRG-OS-000023-GPOS-00006, SRG-OS-000228-GPOS-00088</t>
    </r>
  </si>
  <si>
    <r>
      <rPr>
        <sz val="11"/>
        <color rgb="FF000000"/>
        <rFont val="Calibri"/>
      </rPr>
      <t xml:space="preserve">Note: This requirement assumes the use of the OL 8 default graphical user interface, Gnome Shell. If the system does not have any graphical user interface installed, this requirement is Not Applicable. </t>
    </r>
    <r>
      <rPr>
        <sz val="11"/>
        <color rgb="FF000000"/>
        <rFont val="Calibri"/>
      </rPr>
      <t xml:space="preserve">
</t>
    </r>
    <r>
      <rPr>
        <sz val="11"/>
        <color rgb="FF000000"/>
        <rFont val="Calibri"/>
      </rPr>
      <t>Verify OL 8 displays a banner before granting access to the operating system via a graphical user logon.</t>
    </r>
    <r>
      <rPr>
        <sz val="11"/>
        <color rgb="FF000000"/>
        <rFont val="Calibri"/>
      </rPr>
      <t xml:space="preserve">
</t>
    </r>
    <r>
      <rPr>
        <sz val="11"/>
        <color rgb="FF000000"/>
        <rFont val="Calibri"/>
      </rPr>
      <t>Determine if the operating system displays a banner at the logon screen with the following command:</t>
    </r>
    <r>
      <rPr>
        <sz val="11"/>
        <color rgb="FF000000"/>
        <rFont val="Calibri"/>
      </rPr>
      <t xml:space="preserve">
</t>
    </r>
    <r>
      <rPr>
        <sz val="11"/>
        <color rgb="FF000000"/>
        <rFont val="Calibri"/>
      </rPr>
      <t>$ sudo grep banner-message-enable /etc/dconf/db/local.d/*</t>
    </r>
    <r>
      <rPr>
        <sz val="11"/>
        <color rgb="FF000000"/>
        <rFont val="Calibri"/>
      </rPr>
      <t xml:space="preserve">
</t>
    </r>
    <r>
      <rPr>
        <sz val="11"/>
        <color rgb="FF000000"/>
        <rFont val="Calibri"/>
      </rPr>
      <t>banner-message-enable=true</t>
    </r>
    <r>
      <rPr>
        <sz val="11"/>
        <color rgb="FF000000"/>
        <rFont val="Calibri"/>
      </rPr>
      <t xml:space="preserve">
</t>
    </r>
    <r>
      <rPr>
        <sz val="11"/>
        <color rgb="FF000000"/>
        <rFont val="Calibri"/>
      </rPr>
      <t>If "banner-message-enable" is set to "false" or is missing, this is a finding.</t>
    </r>
  </si>
  <si>
    <t>V-248528</t>
  </si>
  <si>
    <r>
      <rPr>
        <sz val="11"/>
        <rFont val="Calibri"/>
      </rPr>
      <t>OL 8 must display the Standard Mandatory DoD Notice and Consent Banner before granting local or remote access to the system via a graphical user logon.</t>
    </r>
  </si>
  <si>
    <r>
      <rPr>
        <sz val="11"/>
        <color rgb="FF000000"/>
        <rFont val="Calibri"/>
      </rPr>
      <t xml:space="preserve">Configure OL 8 to display the Standard Mandatory DoD Notice and Consent Banner before granting access to the system.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Note: If the system does not have a graphical user interface installed, this requirement is Not Applicable. </t>
    </r>
    <r>
      <rPr>
        <sz val="11"/>
        <color rgb="FF000000"/>
        <rFont val="Calibri"/>
      </rPr>
      <t xml:space="preserve">
</t>
    </r>
    <r>
      <rPr>
        <sz val="11"/>
        <color rgb="FF000000"/>
        <rFont val="Calibri"/>
      </rPr>
      <t>Add the following lines to the [org/gnome/login-screen] section of the "/etc/dconf/db/local.d/01-banner-message":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banner-message-text='You are accessing a U.S. Government (USG) Information System (IS) that is provided for USG-authorized use only.\nBy using this IS (which includes any device attached to this IS), you consent to the following conditions:\n-The USG routinely intercepts and monitors communications on this IS for purposes including, but not limited to, penetration testing, COMSEC monitoring, network operations and defense, personnel misconduct (PM), law enforcement (LE), and counterintelligence (CI) investigations.\n-At any time, the USG may inspect and seize data stored on this IS.\n-Communications using, or data stored on, this IS are not private, are subject to routine monitoring, interception, and search, and may be disclosed or used for any USG-authorized purpose.\n-This IS includes security measures (e.g., authentication and access controls) to protect USG interests--not for your personal benefit or privacy.\n-Notwithstanding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 '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Note: The "\n" characters are for formatting only. They will not be displayed on the graphical interface.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Run the following command to update the database: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dconf update</t>
    </r>
  </si>
  <si>
    <r>
      <rPr>
        <sz val="11"/>
        <color rgb="FF000000"/>
        <rFont val="Calibri"/>
      </rPr>
      <t xml:space="preserve">Display of a standardized and approved use notification before granting access to the operating system ensures privacy and security notification verbiage used is consistent with applicable federal laws, Executive Orders, directives, policies, regulations, standards, and guidance.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System use notifications are required only for access via logon interfaces with human users and are not required when such human interfaces do not exist.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The banner must be formatted in accordance with applicable DoD policy. Use the following verbiage for operating systems that can accommodate banners of 1300 characters: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"You are accessing a U.S. Government (USG) Information System (IS) that is provided for USG-authorized use only.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By using this IS (which includes any device attached to this IS), you consent to the following conditions: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-The USG routinely intercepts and monitors communications on this IS for purposes including, but not limited to, penetration testing, COMSEC monitoring, network operations and defense, personnel misconduct (PM), law enforcement (LE), and counterintelligence (CI) investigations.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-At any time, the USG may inspect and seize data stored on this IS.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-Communications using, or data stored on, this IS are not private, are subject to routine monitoring, interception, and search, and may be disclosed or used for any USG-authorized purpose.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-This IS includes security measures (e.g., authentication and access controls) to protect USG interests--not for your personal benefit or privacy.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Satisfies: SRG-OS-000023-GPOS-00006, SRG-OS-000228-GPOS-00088</t>
    </r>
  </si>
  <si>
    <r>
      <rPr>
        <sz val="11"/>
        <color rgb="FF000000"/>
        <rFont val="Calibri"/>
      </rPr>
      <t>Note: This requirement assumes the use of the OL 8 default graphical user interface, Gnome Shell. If the system does not have any graphical user interface installed, this requirement is Not Applicable.</t>
    </r>
    <r>
      <rPr>
        <sz val="11"/>
        <color rgb="FF000000"/>
        <rFont val="Calibri"/>
      </rPr>
      <t xml:space="preserve">
</t>
    </r>
    <r>
      <rPr>
        <sz val="11"/>
        <color rgb="FF000000"/>
        <rFont val="Calibri"/>
      </rPr>
      <t xml:space="preserve">Verify OL 8 displays the Standard Mandatory DoD Notice and Consent Banner before granting access to the operating system via a graphical user logon.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Check that the operating system displays the exact Standard Mandatory DoD Notice and Consent Banner text with the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grep banner-message-text /etc/dconf/db/local.d/*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banner-message-text= </t>
    </r>
    <r>
      <rPr>
        <sz val="11"/>
        <color rgb="FF000000"/>
        <rFont val="Calibri"/>
      </rPr>
      <t xml:space="preserve">
</t>
    </r>
    <r>
      <rPr>
        <sz val="11"/>
        <color rgb="FF000000"/>
        <rFont val="Calibri"/>
      </rPr>
      <t xml:space="preserve">'You are accessing a U.S. Government (USG) Information System (IS) that is provided for USG-authorized use only.\nBy using this IS (which includes any device attached to this IS), you consent to the following conditions:\n-The USG routinely intercepts and monitors communications on this IS for purposes including, but not limited to, penetration testing, COMSEC monitoring, network operations and defense, personnel misconduct (PM), law enforcement (LE), and counterintelligence (CI) investigations.\n-At any time, the USG may inspect and seize data stored on this IS.\n-Communications using, or data stored on, this IS are not private, are subject to routine monitoring, interception, and search, and may be disclosed or used for any USG-authorized purpose.\n-This IS includes security measures (e.g., authentication and access controls) to protect USG interests--not for your personal benefit or privacy.\n-Notwithstanding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 '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Note: The "\n" characters are for formatting only. They will not be displayed on the graphical interface.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banner does not match the Standard Mandatory DoD Notice and Consent Banner exactly, this is a finding.</t>
    </r>
  </si>
  <si>
    <t>V-248529</t>
  </si>
  <si>
    <r>
      <rPr>
        <sz val="11"/>
        <rFont val="Calibri"/>
      </rPr>
      <t>OL 8 must display the Standard Mandatory DoD Notice and Consent Banner before granting local or remote access to the system via a command line user logon.</t>
    </r>
  </si>
  <si>
    <r>
      <rPr>
        <sz val="11"/>
        <color rgb="FF000000"/>
        <rFont val="Calibri"/>
      </rPr>
      <t xml:space="preserve">Configure OL 8 to display the Standard Mandatory DoD Notice and Consent Banner before granting access to the system via command line logon.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Edit the "/etc/issue" file to replace the default text with the Standard Mandatory DoD Notice and Consent Banner. The DoD-required text is: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"You are accessing a U.S. Government (USG) Information System (IS) that is provided for USG-authorized use only.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By using this IS (which includes any device attached to this IS), you consent to the following conditions: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-The USG routinely intercepts and monitors communications on this IS for purposes including, but not limited to, penetration testing, COMSEC monitoring, network operations and defense, personnel misconduct (PM), law enforcement (LE), and counterintelligence (CI) investigations.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-At any time, the USG may inspect and seize data stored on this IS.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-Communications using, or data stored on, this IS are not private, are subject to routine monitoring, interception, and search, and may be disclosed or used for any USG-authorized purpose.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-This IS includes security measures (e.g., authentication and access controls) to protect USG interests -- not for your personal benefit or privacy.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</si>
  <si>
    <r>
      <rPr>
        <sz val="11"/>
        <color rgb="FF000000"/>
        <rFont val="Calibri"/>
      </rPr>
      <t xml:space="preserve">Verify OL 8 displays the Standard Mandatory DoD Notice and Consent Banner before granting access to the operating system via a command line user logon.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Check that OL 8 displays a banner at the command line login screen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cat /etc/issue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banner is set correctly, it will return the following text: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"You are accessing a U.S. Government (USG) Information System (IS) that is provided for USG-authorized use only.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By using this IS (which includes any device attached to this IS), you consent to the following conditions: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-The USG routinely intercepts and monitors communications on this IS for purposes including, but not limited to, penetration testing, COMSEC monitoring, network operations and defense, personnel misconduct (PM), law enforcement (LE), and counterintelligence (CI) investigations.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-At any time, the USG may inspect and seize data stored on this IS.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-Communications using, or data stored on, this IS are not private, are subject to routine monitoring, interception, and search, and may be disclosed or used for any USG-authorized purpose.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-This IS includes security measures (e.g., authentication and access controls) to protect USG interests--not for your personal benefit or privacy.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banner text does not match the Standard Mandatory DoD Notice and Consent Banner exactly, this is a finding.</t>
    </r>
  </si>
  <si>
    <t>V-248530</t>
  </si>
  <si>
    <r>
      <rPr>
        <sz val="11"/>
        <rFont val="Calibri"/>
      </rPr>
      <t>All OL 8 remote access methods must be monitored.</t>
    </r>
  </si>
  <si>
    <r>
      <rPr>
        <sz val="11"/>
        <color rgb="FF000000"/>
        <rFont val="Calibri"/>
      </rPr>
      <t xml:space="preserve">Configure OL 8 to monitor all remote access methods by installing rsyslog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yum install rsyslog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update the following lines to the "/etc/rsyslog.conf"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auth.*;authpriv.*;daemon.* /var/log/secure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The "rsyslog" service must be restarted for the changes to take effect. To restart the "rsyslog" service, run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systemctl restart rsyslog.service</t>
    </r>
  </si>
  <si>
    <r>
      <rPr>
        <sz val="11"/>
        <color rgb="FF000000"/>
        <rFont val="Calibri"/>
      </rPr>
      <t xml:space="preserve">Remote access services, such as those providing remote access to network devices and information systems, which lack automated monitoring capabilities increase risk and make remote user access management difficult at best.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Remote access is access to DOD nonpublic information systems by an authorized user (or an information system) communicating through an external, nonorganization-controlled network. Remote access methods include, for example, dial-up, broadband, and wireless.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Automated monitoring of remote access sessions allows organizations to detect cyberattacks and ensure ongoing compliance with remote access policies by auditing connection activities of remote access capabilities, such as Remote Desktop Protocol (RDP), on a variety of information system components (e.g., servers, workstations, notebook computers, smartphones, and tablets).</t>
    </r>
  </si>
  <si>
    <r>
      <rPr>
        <sz val="11"/>
        <color rgb="FF000000"/>
        <rFont val="Calibri"/>
      </rPr>
      <t>Verify that OL 8 monitors all remote access methods.</t>
    </r>
    <r>
      <rPr>
        <sz val="11"/>
        <color rgb="FF000000"/>
        <rFont val="Calibri"/>
      </rPr>
      <t xml:space="preserve">
</t>
    </r>
    <r>
      <rPr>
        <sz val="11"/>
        <color rgb="FF000000"/>
        <rFont val="Calibri"/>
      </rPr>
      <t>Check that remote access methods are being logged by running the following command:</t>
    </r>
    <r>
      <rPr>
        <sz val="11"/>
        <color rgb="FF000000"/>
        <rFont val="Calibri"/>
      </rPr>
      <t xml:space="preserve">
</t>
    </r>
    <r>
      <rPr>
        <sz val="11"/>
        <color rgb="FF000000"/>
        <rFont val="Calibri"/>
      </rPr>
      <t>$ sudo grep -E '(auth\.\*|authpriv\.\*|daemon\.\*)' /etc/rsyslog.conf /etc/rsyslog.d/*.conf</t>
    </r>
    <r>
      <rPr>
        <sz val="11"/>
        <color rgb="FF000000"/>
        <rFont val="Calibri"/>
      </rPr>
      <t xml:space="preserve">
</t>
    </r>
    <r>
      <rPr>
        <sz val="11"/>
        <color rgb="FF000000"/>
        <rFont val="Calibri"/>
      </rPr>
      <t>/etc/rsyslog.conf:auth.*;authpriv.*;daemon.* /var/log/secure</t>
    </r>
    <r>
      <rPr>
        <sz val="11"/>
        <color rgb="FF000000"/>
        <rFont val="Calibri"/>
      </rPr>
      <t xml:space="preserve">
</t>
    </r>
    <r>
      <rPr>
        <sz val="11"/>
        <color rgb="FF000000"/>
        <rFont val="Calibri"/>
      </rPr>
      <t>If "auth.*", "authpriv.*", or "daemon.*" are not configured to be logged, this is a finding.</t>
    </r>
  </si>
  <si>
    <t>V-248531</t>
  </si>
  <si>
    <r>
      <rPr>
        <sz val="11"/>
        <rFont val="Calibri"/>
      </rPr>
      <t>OL 8, for PKI-based authentication, must validate certificates by constructing a certification path (which includes status information) to an accepted trust anchor.</t>
    </r>
  </si>
  <si>
    <r>
      <rPr>
        <sz val="11"/>
        <color rgb="FF000000"/>
        <rFont val="Calibri"/>
      </rPr>
      <t xml:space="preserve">Configure OL 8, for PKI-based authentication, to validate certificates by constructing a certification path (which includes status information) to an accepted trust anchor.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Obtain a valid copy of the DOD root CA file from the PKI CA certificate bundle at cyber.mil and copy it into the following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/etc/sssd/pki/sssd_auth_ca_db.pem</t>
    </r>
  </si>
  <si>
    <r>
      <rPr>
        <sz val="11"/>
        <color rgb="FF000000"/>
        <rFont val="Calibri"/>
      </rPr>
      <t xml:space="preserve">Without path validation, the relying party cannot make an informed trust decision when presented with any certificate not already explicitly trusted.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trust anchor is an authoritative entity represented via a public key and associated data. It is used in the context of public key infrastructures, X.509 digital certificates, and DNSSEC.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When there is a chain of trust, usually the top entity to be trusted becomes the trust anchor; it can be, for example, a Certification Authority (CA). A certification path starts with the subject certificate and proceeds through a number of intermediate certificates up to a trusted root certificate, typically issued by a trusted CA.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This requirement verifies that a certification path to an accepted trust anchor is used for certificate validation and that the path includes status information. Path validation is necessary for a relying party to make an informed trust decision when presented with any certificate not already explicitly trusted. Status information for certification paths includes certificate revocation lists or online certificate status protocol responses. Validation of the certificate status information is out of scope for this requirement.</t>
    </r>
    <r>
      <rPr>
        <sz val="11"/>
        <color rgb="FF000000"/>
        <rFont val="Calibri"/>
      </rPr>
      <t xml:space="preserve">
</t>
    </r>
    <r>
      <rPr>
        <sz val="11"/>
        <color rgb="FF000000"/>
        <rFont val="Calibri"/>
      </rPr>
      <t>Satisfies: SRG-OS-000066-GPOS-00034, SRG-OS-000384-GPOS-00167</t>
    </r>
  </si>
  <si>
    <r>
      <rPr>
        <sz val="11"/>
        <color rgb="FF000000"/>
        <rFont val="Calibri"/>
      </rPr>
      <t>Verify OL 8, for PKI-based authentication, has valid certificates by constructing a certification path (which includes status information) to an accepted trust anchor.</t>
    </r>
    <r>
      <rPr>
        <sz val="11"/>
        <color rgb="FF000000"/>
        <rFont val="Calibri"/>
      </rPr>
      <t xml:space="preserve">
</t>
    </r>
    <r>
      <rPr>
        <sz val="11"/>
        <color rgb="FF000000"/>
        <rFont val="Calibri"/>
      </rPr>
      <t>Note: If the system administrator (SA) demonstrates the use of an approved alternate multifactor authentication method, this requirement is Not Applicable.</t>
    </r>
    <r>
      <rPr>
        <sz val="11"/>
        <color rgb="FF000000"/>
        <rFont val="Calibri"/>
      </rPr>
      <t xml:space="preserve">
</t>
    </r>
    <r>
      <rPr>
        <sz val="11"/>
        <color rgb="FF000000"/>
        <rFont val="Calibri"/>
      </rPr>
      <t>Check that the system has a valid DOD root CA installed with the following command:</t>
    </r>
    <r>
      <rPr>
        <sz val="11"/>
        <color rgb="FF000000"/>
        <rFont val="Calibri"/>
      </rPr>
      <t xml:space="preserve">
</t>
    </r>
    <r>
      <rPr>
        <sz val="11"/>
        <color rgb="FF000000"/>
        <rFont val="Calibri"/>
      </rPr>
      <t>$ sudo openssl x509 -text -in /etc/sssd/pki/sssd_auth_ca_db.pem</t>
    </r>
    <r>
      <rPr>
        <sz val="11"/>
        <color rgb="FF000000"/>
        <rFont val="Calibri"/>
      </rPr>
      <t xml:space="preserve">
</t>
    </r>
    <r>
      <rPr>
        <sz val="11"/>
        <color rgb="FF000000"/>
        <rFont val="Calibri"/>
      </rPr>
      <t>Certificate:</t>
    </r>
    <r>
      <rPr>
        <sz val="11"/>
        <color rgb="FF000000"/>
        <rFont val="Calibri"/>
      </rPr>
      <t xml:space="preserve">
</t>
    </r>
    <r>
      <rPr>
        <sz val="11"/>
        <color rgb="FF000000"/>
        <rFont val="Calibri"/>
      </rPr>
      <t>Data:</t>
    </r>
    <r>
      <rPr>
        <sz val="11"/>
        <color rgb="FF000000"/>
        <rFont val="Calibri"/>
      </rPr>
      <t xml:space="preserve">
</t>
    </r>
    <r>
      <rPr>
        <sz val="11"/>
        <color rgb="FF000000"/>
        <rFont val="Calibri"/>
      </rPr>
      <t>Version: 3 (0x2)</t>
    </r>
    <r>
      <rPr>
        <sz val="11"/>
        <color rgb="FF000000"/>
        <rFont val="Calibri"/>
      </rPr>
      <t xml:space="preserve">
</t>
    </r>
    <r>
      <rPr>
        <sz val="11"/>
        <color rgb="FF000000"/>
        <rFont val="Calibri"/>
      </rPr>
      <t>Serial Number: 1 (0x1)</t>
    </r>
    <r>
      <rPr>
        <sz val="11"/>
        <color rgb="FF000000"/>
        <rFont val="Calibri"/>
      </rPr>
      <t xml:space="preserve">
</t>
    </r>
    <r>
      <rPr>
        <sz val="11"/>
        <color rgb="FF000000"/>
        <rFont val="Calibri"/>
      </rPr>
      <t>Signature Algorithm: sha256WithRSAEncryption</t>
    </r>
    <r>
      <rPr>
        <sz val="11"/>
        <color rgb="FF000000"/>
        <rFont val="Calibri"/>
      </rPr>
      <t xml:space="preserve">
</t>
    </r>
    <r>
      <rPr>
        <sz val="11"/>
        <color rgb="FF000000"/>
        <rFont val="Calibri"/>
      </rPr>
      <t>Issuer: C = US, O = U.S. Government, OU = DoD, OU = PKI, CN = DoD Root CA 3</t>
    </r>
    <r>
      <rPr>
        <sz val="11"/>
        <color rgb="FF000000"/>
        <rFont val="Calibri"/>
      </rPr>
      <t xml:space="preserve">
</t>
    </r>
    <r>
      <rPr>
        <sz val="11"/>
        <color rgb="FF000000"/>
        <rFont val="Calibri"/>
      </rPr>
      <t>Validity</t>
    </r>
    <r>
      <rPr>
        <sz val="11"/>
        <color rgb="FF000000"/>
        <rFont val="Calibri"/>
      </rPr>
      <t xml:space="preserve">
</t>
    </r>
    <r>
      <rPr>
        <sz val="11"/>
        <color rgb="FF000000"/>
        <rFont val="Calibri"/>
      </rPr>
      <t>Not Before: Mar 20 18:46:41 2012 GMT</t>
    </r>
    <r>
      <rPr>
        <sz val="11"/>
        <color rgb="FF000000"/>
        <rFont val="Calibri"/>
      </rPr>
      <t xml:space="preserve">
</t>
    </r>
    <r>
      <rPr>
        <sz val="11"/>
        <color rgb="FF000000"/>
        <rFont val="Calibri"/>
      </rPr>
      <t>Not After : Dec 30 18:46:41 2029 GMT</t>
    </r>
    <r>
      <rPr>
        <sz val="11"/>
        <color rgb="FF000000"/>
        <rFont val="Calibri"/>
      </rPr>
      <t xml:space="preserve">
</t>
    </r>
    <r>
      <rPr>
        <sz val="11"/>
        <color rgb="FF000000"/>
        <rFont val="Calibri"/>
      </rPr>
      <t>Subject: C = US, O = U.S. Government, OU = DoD, OU = PKI, CN = DoD Root CA 3</t>
    </r>
    <r>
      <rPr>
        <sz val="11"/>
        <color rgb="FF000000"/>
        <rFont val="Calibri"/>
      </rPr>
      <t xml:space="preserve">
</t>
    </r>
    <r>
      <rPr>
        <sz val="11"/>
        <color rgb="FF000000"/>
        <rFont val="Calibri"/>
      </rPr>
      <t>Subject Public Key Info:</t>
    </r>
    <r>
      <rPr>
        <sz val="11"/>
        <color rgb="FF000000"/>
        <rFont val="Calibri"/>
      </rPr>
      <t xml:space="preserve">
</t>
    </r>
    <r>
      <rPr>
        <sz val="11"/>
        <color rgb="FF000000"/>
        <rFont val="Calibri"/>
      </rPr>
      <t>Public Key Algorithm: rsaEncryption</t>
    </r>
    <r>
      <rPr>
        <sz val="11"/>
        <color rgb="FF000000"/>
        <rFont val="Calibri"/>
      </rPr>
      <t xml:space="preserve">
</t>
    </r>
    <r>
      <rPr>
        <sz val="11"/>
        <color rgb="FF000000"/>
        <rFont val="Calibri"/>
      </rPr>
      <t>If the root ca file is not a DOD-issued certificate with a valid date installed in the "/etc/sssd/pki/sssd_auth_ca_db.pem" location, this is a finding.</t>
    </r>
  </si>
  <si>
    <t>V-248532</t>
  </si>
  <si>
    <r>
      <rPr>
        <sz val="11"/>
        <rFont val="Calibri"/>
      </rPr>
      <t>OL 8, for certificate-based authentication, must enforce authorized access to the corresponding private key.</t>
    </r>
  </si>
  <si>
    <r>
      <rPr>
        <sz val="11"/>
        <color rgb="FF000000"/>
        <rFont val="Calibri"/>
      </rPr>
      <t xml:space="preserve">Create a new private and public key pair that uses a passcode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ssh-keygen -n [passphrase]</t>
    </r>
  </si>
  <si>
    <r>
      <rPr>
        <sz val="11"/>
        <color rgb="FF000000"/>
        <rFont val="Calibri"/>
      </rPr>
      <t>If an unauthorized user obtains access to a private key without a passcode, that user would have unauthorized access to any system where the associated public key has been installed.</t>
    </r>
  </si>
  <si>
    <r>
      <rPr>
        <sz val="11"/>
        <color rgb="FF000000"/>
        <rFont val="Calibri"/>
      </rPr>
      <t xml:space="preserve">Verify the SSH private key files have a passcode.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For each private key stored on the system, use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ssh-keygen -y -f /path/to/file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contents of the key are displayed, this is a finding.</t>
    </r>
  </si>
  <si>
    <t>V-248533</t>
  </si>
  <si>
    <r>
      <rPr>
        <sz val="11"/>
        <rFont val="Calibri"/>
      </rPr>
      <t>OL 8 must encrypt all stored passwords with a FIPS 140-2 approved cryptographic hashing algorithm.</t>
    </r>
  </si>
  <si>
    <r>
      <rPr>
        <sz val="11"/>
        <color rgb="FF000000"/>
        <rFont val="Calibri"/>
      </rPr>
      <t>Configure OL 8 to encrypt all stored passwords.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Edit/modify the following line in the "/etc/login.defs" file and set "[ENCRYPT_METHOD]" to SHA512:</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ENCRYPT_METHOD SHA512</t>
    </r>
  </si>
  <si>
    <r>
      <rPr>
        <sz val="11"/>
        <color rgb="FF000000"/>
        <rFont val="Calibri"/>
      </rPr>
      <t xml:space="preserve">Passwords need to be protected at all times, and encryption is the standard method for protecting passwords. If passwords are not encrypted, they can be plainly read (i.e., clear text) and easily compromised.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Unapproved mechanisms that are used for authentication to the cryptographic module are not verified and therefore cannot be relied on to provide confidentiality or integrity, and DOD data may be compromised.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FIPS 140-2 is the current standard for validating that mechanisms used to access cryptographic modules use authentication that meets DOD requirements.</t>
    </r>
  </si>
  <si>
    <r>
      <rPr>
        <sz val="11"/>
        <color rgb="FF000000"/>
        <rFont val="Calibri"/>
      </rPr>
      <t xml:space="preserve">Verify that the shadow password suite configuration is set to encrypt passwords with a FIPS 140-2 approved cryptographic hashing algorithm.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Check the hashing algorithm that is being used to hash passwords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cat /etc/login.defs | grep -i crypt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ENCRYPT_METHOD SHA512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"ENCRYPT_METHOD" does not equal SHA512 or greater, this is a finding.</t>
    </r>
  </si>
  <si>
    <t>V-248534</t>
  </si>
  <si>
    <r>
      <rPr>
        <sz val="11"/>
        <rFont val="Calibri"/>
      </rPr>
      <t>OL 8 must employ FIPS 140-2 approved cryptographic hashing algorithms for all stored passwords.</t>
    </r>
  </si>
  <si>
    <r>
      <rPr>
        <sz val="11"/>
        <color rgb="FF000000"/>
        <rFont val="Calibri"/>
      </rPr>
      <t>Lock all interactive user accounts not using SHA-512 hashing until the passwords can be regenerated with SHA-512.</t>
    </r>
  </si>
  <si>
    <r>
      <rPr>
        <sz val="11"/>
        <color rgb="FF000000"/>
        <rFont val="Calibri"/>
      </rPr>
      <t xml:space="preserve">The system must use a strong hashing algorithm to store the password.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Passwords need to be protected at all times, and encryption is the standard method for protecting passwords. If passwords are not encrypted, they can be plainly read (i.e., clear text) and easily compromised.</t>
    </r>
  </si>
  <si>
    <r>
      <rPr>
        <sz val="11"/>
        <color rgb="FF000000"/>
        <rFont val="Calibri"/>
      </rPr>
      <t xml:space="preserve">Confirm that the interactive user account passwords are using a strong password hash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cut -d: -f2 /etc/shadow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$6$kcOnRq/5$NUEYPuyL.wghQwWssXRcLRFiiru7f5JPV6GaJhNC2aK5F3PZpE/BCCtwrxRc/AInKMNX3CdMw11m9STiql12f/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Password hashes "!" or "*" indicate inactive accounts not available for logon and are not evaluated.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any interactive user password hash does not begin with "$6$", this is a finding.</t>
    </r>
  </si>
  <si>
    <t>V-248535</t>
  </si>
  <si>
    <r>
      <rPr>
        <sz val="11"/>
        <rFont val="Calibri"/>
      </rPr>
      <t>The OL 8 shadow password suite must be configured to use a sufficient number of hashing rounds.</t>
    </r>
  </si>
  <si>
    <r>
      <rPr>
        <sz val="11"/>
        <color rgb="FF000000"/>
        <rFont val="Calibri"/>
      </rPr>
      <t xml:space="preserve">Configure OL 8 to encrypt all stored passwords with a strong cryptographic hash.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Edit/modify the following line in the "/etc/login.defs" file and set "SHA_CRYPT_MIN_ROUNDS" to a value no lower than "100000":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SHA_CRYPT_MIN_ROUNDS 100000</t>
    </r>
  </si>
  <si>
    <r>
      <rPr>
        <sz val="11"/>
        <color rgb="FF000000"/>
        <rFont val="Calibri"/>
      </rPr>
      <t xml:space="preserve">The system must use a strong hashing algorithm to store the password. The system must use a sufficient number of hashing rounds to ensure the required level of entropy.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Passwords need to be protected at all times, and encryption is the standard method for protecting passwords. If passwords are not encrypted, they can be plainly read (i.e., clear text) and easily compromised.</t>
    </r>
  </si>
  <si>
    <r>
      <rPr>
        <sz val="11"/>
        <color rgb="FF000000"/>
        <rFont val="Calibri"/>
      </rPr>
      <t>Check that a minimum number of hash rounds is configured by running the following command:</t>
    </r>
    <r>
      <rPr>
        <sz val="11"/>
        <color rgb="FF000000"/>
        <rFont val="Calibri"/>
      </rPr>
      <t xml:space="preserve">
</t>
    </r>
    <r>
      <rPr>
        <sz val="11"/>
        <color rgb="FF000000"/>
        <rFont val="Calibri"/>
      </rPr>
      <t xml:space="preserve">     $ sudo grep -E "^SHA_CRYPT_" /etc/login.defs</t>
    </r>
    <r>
      <rPr>
        <sz val="11"/>
        <color rgb="FF000000"/>
        <rFont val="Calibri"/>
      </rPr>
      <t xml:space="preserve">
</t>
    </r>
    <r>
      <rPr>
        <sz val="11"/>
        <color rgb="FF000000"/>
        <rFont val="Calibri"/>
      </rPr>
      <t>If only one of "SHA_CRYPT_MIN_ROUNDS" or "SHA_CRYPT_MAX_ROUNDS" is set, and this value is below "100000", this is a finding.</t>
    </r>
    <r>
      <rPr>
        <sz val="11"/>
        <color rgb="FF000000"/>
        <rFont val="Calibri"/>
      </rPr>
      <t xml:space="preserve">
</t>
    </r>
    <r>
      <rPr>
        <sz val="11"/>
        <color rgb="FF000000"/>
        <rFont val="Calibri"/>
      </rPr>
      <t>If both "SHA_CRYPT_MIN_ROUNDS" and "SHA_CRYPT_MAX_ROUNDS" are set, and the value for either is below "100000", this is a finding.</t>
    </r>
  </si>
  <si>
    <t>V-248537</t>
  </si>
  <si>
    <r>
      <rPr>
        <sz val="11"/>
        <rFont val="Calibri"/>
      </rPr>
      <t>OL 8 operating systems booted with United Extensible Firmware Interface (UEFI) must require authentication upon booting into single-user mode and maintenance.</t>
    </r>
  </si>
  <si>
    <r>
      <rPr>
        <sz val="11"/>
        <color rgb="FF000000"/>
        <rFont val="Calibri"/>
      </rPr>
      <t xml:space="preserve">Configure the system to require an encrypted grub bootloader password for the grub superusers account with the grub2-setpassword command, which creates/overwrites the "/boot/efi/EFI/redhat/user.cfg"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Generate an encrypted grub2 password for the grub superusers account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grub2-setpassword </t>
    </r>
    <r>
      <rPr>
        <sz val="11"/>
        <color rgb="FF000000"/>
        <rFont val="Calibri"/>
      </rPr>
      <t xml:space="preserve">
</t>
    </r>
    <r>
      <rPr>
        <sz val="11"/>
        <color rgb="FF000000"/>
        <rFont val="Calibri"/>
      </rPr>
      <t xml:space="preserve">Enter password: </t>
    </r>
    <r>
      <rPr>
        <sz val="11"/>
        <color rgb="FF000000"/>
        <rFont val="Calibri"/>
      </rPr>
      <t xml:space="preserve">
</t>
    </r>
    <r>
      <rPr>
        <sz val="11"/>
        <color rgb="FF000000"/>
        <rFont val="Calibri"/>
      </rPr>
      <t>Confirm password:</t>
    </r>
  </si>
  <si>
    <r>
      <rPr>
        <sz val="11"/>
        <color rgb="FF000000"/>
        <rFont val="Calibri"/>
      </rPr>
      <t>If the system does not require valid authentication before it boots into single-user or maintenance mode, anyone who invokes single-user or maintenance mode is granted privileged access to all files on the system. GRUB 2 is the default boot loader for OL 8 and is designed to require a password to boot into single-user mode or modify the boot menu.</t>
    </r>
  </si>
  <si>
    <r>
      <rPr>
        <sz val="11"/>
        <color rgb="FF000000"/>
        <rFont val="Calibri"/>
      </rPr>
      <t xml:space="preserve">For systems that use BIOS, this is not applicable.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Determine if an encrypted password is set for the grub superusers account. On systems that use UEFI, use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grep -iw grub2_password /boot/efi/EFI/redhat/user.cfg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GRUB2_PASSWORD=grub.pbkdf2.sha512.[password_hash]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grub superusers account password does not begin with "grub.pbkdf2.sha512", this is a finding.</t>
    </r>
  </si>
  <si>
    <t>V-248538</t>
  </si>
  <si>
    <r>
      <rPr>
        <sz val="11"/>
        <rFont val="Calibri"/>
      </rPr>
      <t>OL 8 operating systems booted with United Extensible Firmware Interface (UEFI) must have a unique name for the grub superusers account when booting into single-user mode and maintenance.</t>
    </r>
  </si>
  <si>
    <r>
      <rPr>
        <sz val="11"/>
        <color rgb="FF000000"/>
        <rFont val="Calibri"/>
      </rPr>
      <t>Configure the system to replace "root" with a unique name for the grub superusers account.</t>
    </r>
    <r>
      <rPr>
        <sz val="11"/>
        <color rgb="FF000000"/>
        <rFont val="Calibri"/>
      </rPr>
      <t xml:space="preserve">
</t>
    </r>
    <r>
      <rPr>
        <sz val="11"/>
        <color rgb="FF000000"/>
        <rFont val="Calibri"/>
      </rPr>
      <t>Edit the /etc/grub.d/01_users file and add or modify the following lines:</t>
    </r>
    <r>
      <rPr>
        <sz val="11"/>
        <color rgb="FF000000"/>
        <rFont val="Calibri"/>
      </rPr>
      <t xml:space="preserve">
</t>
    </r>
    <r>
      <rPr>
        <sz val="11"/>
        <color rgb="FF000000"/>
        <rFont val="Calibri"/>
      </rPr>
      <t>set superusers="[someuniqueUserNamehere]"</t>
    </r>
    <r>
      <rPr>
        <sz val="11"/>
        <color rgb="FF000000"/>
        <rFont val="Calibri"/>
      </rPr>
      <t xml:space="preserve">
</t>
    </r>
    <r>
      <rPr>
        <sz val="11"/>
        <color rgb="FF000000"/>
        <rFont val="Calibri"/>
      </rPr>
      <t>export superusers</t>
    </r>
    <r>
      <rPr>
        <sz val="11"/>
        <color rgb="FF000000"/>
        <rFont val="Calibri"/>
      </rPr>
      <t xml:space="preserve">
</t>
    </r>
    <r>
      <rPr>
        <sz val="11"/>
        <color rgb="FF000000"/>
        <rFont val="Calibri"/>
      </rPr>
      <t>password_pbkdf2 [someuniqueUserNamehere] ${GRUB2_PASSWORD}</t>
    </r>
    <r>
      <rPr>
        <sz val="11"/>
        <color rgb="FF000000"/>
        <rFont val="Calibri"/>
      </rPr>
      <t xml:space="preserve">
</t>
    </r>
    <r>
      <rPr>
        <sz val="11"/>
        <color rgb="FF000000"/>
        <rFont val="Calibri"/>
      </rPr>
      <t>Generate a new grub.cfg file with the following command:</t>
    </r>
    <r>
      <rPr>
        <sz val="11"/>
        <color rgb="FF000000"/>
        <rFont val="Calibri"/>
      </rPr>
      <t xml:space="preserve">
</t>
    </r>
    <r>
      <rPr>
        <sz val="11"/>
        <color rgb="FF000000"/>
        <rFont val="Calibri"/>
      </rPr>
      <t>$ sudo grub2-mkconfig -o /boot/efi/EFI/redhat/grub.cfg</t>
    </r>
  </si>
  <si>
    <r>
      <rPr>
        <sz val="11"/>
        <color rgb="FF000000"/>
        <rFont val="Calibri"/>
      </rPr>
      <t>If the system does not require valid authentication before it boots into single-user or maintenance mode, anyone who invokes single-user or maintenance mode is granted privileged access to all files on the system. GRUB 2 is the default boot loader for OL 8 and is designed to require a password to boot into single-user mode or modify the boot menu.</t>
    </r>
    <r>
      <rPr>
        <sz val="11"/>
        <color rgb="FF000000"/>
        <rFont val="Calibri"/>
      </rPr>
      <t xml:space="preserve">
</t>
    </r>
    <r>
      <rPr>
        <sz val="11"/>
        <color rgb="FF000000"/>
        <rFont val="Calibri"/>
      </rPr>
      <t>The GRUB 2 superuser account is an account of last resort. Establishing a unique username for this account hardens the boot loader against brute force attacks. Due to the nature of the superuser account database being distinct from the OS account database, this allows the use of a username that is not among those within the OS account database. Examples of non-unique superusers names are (root, superuser, unlock, etc.)</t>
    </r>
  </si>
  <si>
    <r>
      <rPr>
        <sz val="11"/>
        <color rgb="FF000000"/>
        <rFont val="Calibri"/>
      </rPr>
      <t>For systems that use BIOS, this is Not Applicable.</t>
    </r>
    <r>
      <rPr>
        <sz val="11"/>
        <color rgb="FF000000"/>
        <rFont val="Calibri"/>
      </rPr>
      <t xml:space="preserve">
</t>
    </r>
    <r>
      <rPr>
        <sz val="11"/>
        <color rgb="FF000000"/>
        <rFont val="Calibri"/>
      </rPr>
      <t>Verify that a unique name is set as the "superusers" account:</t>
    </r>
    <r>
      <rPr>
        <sz val="11"/>
        <color rgb="FF000000"/>
        <rFont val="Calibri"/>
      </rPr>
      <t xml:space="preserve">
</t>
    </r>
    <r>
      <rPr>
        <sz val="11"/>
        <color rgb="FF000000"/>
        <rFont val="Calibri"/>
      </rPr>
      <t>$ sudo grep -iw "superusers" /boot/efi/EFI/redhat/grub.cfg</t>
    </r>
    <r>
      <rPr>
        <sz val="11"/>
        <color rgb="FF000000"/>
        <rFont val="Calibri"/>
      </rPr>
      <t xml:space="preserve">
</t>
    </r>
    <r>
      <rPr>
        <sz val="11"/>
        <color rgb="FF000000"/>
        <rFont val="Calibri"/>
      </rPr>
      <t>set superusers="[someuniqueUserNamehere]"</t>
    </r>
    <r>
      <rPr>
        <sz val="11"/>
        <color rgb="FF000000"/>
        <rFont val="Calibri"/>
      </rPr>
      <t xml:space="preserve">
</t>
    </r>
    <r>
      <rPr>
        <sz val="11"/>
        <color rgb="FF000000"/>
        <rFont val="Calibri"/>
      </rPr>
      <t>export superusers</t>
    </r>
    <r>
      <rPr>
        <sz val="11"/>
        <color rgb="FF000000"/>
        <rFont val="Calibri"/>
      </rPr>
      <t xml:space="preserve">
</t>
    </r>
    <r>
      <rPr>
        <sz val="11"/>
        <color rgb="FF000000"/>
        <rFont val="Calibri"/>
      </rPr>
      <t>If "superusers" is identical to any OS account name or is missing a name, this is a finding.</t>
    </r>
  </si>
  <si>
    <t>V-248539</t>
  </si>
  <si>
    <r>
      <rPr>
        <sz val="11"/>
        <rFont val="Calibri"/>
      </rPr>
      <t>OL 8 operating systems booted with a BIOS must have a unique name for the grub superusers account when booting into single-user and maintenance modes.</t>
    </r>
  </si>
  <si>
    <r>
      <rPr>
        <sz val="11"/>
        <color rgb="FF000000"/>
        <rFont val="Calibri"/>
      </rPr>
      <t>Configure the system to replace "root" with a unique name for the grub superusers account.</t>
    </r>
    <r>
      <rPr>
        <sz val="11"/>
        <color rgb="FF000000"/>
        <rFont val="Calibri"/>
      </rPr>
      <t xml:space="preserve">
</t>
    </r>
    <r>
      <rPr>
        <sz val="11"/>
        <color rgb="FF000000"/>
        <rFont val="Calibri"/>
      </rPr>
      <t>Edit the /etc/grub.d/01_users file and add or modify the following lines:</t>
    </r>
    <r>
      <rPr>
        <sz val="11"/>
        <color rgb="FF000000"/>
        <rFont val="Calibri"/>
      </rPr>
      <t xml:space="preserve">
</t>
    </r>
    <r>
      <rPr>
        <sz val="11"/>
        <color rgb="FF000000"/>
        <rFont val="Calibri"/>
      </rPr>
      <t>set superusers="[someuniqueUserNamehere]"</t>
    </r>
    <r>
      <rPr>
        <sz val="11"/>
        <color rgb="FF000000"/>
        <rFont val="Calibri"/>
      </rPr>
      <t xml:space="preserve">
</t>
    </r>
    <r>
      <rPr>
        <sz val="11"/>
        <color rgb="FF000000"/>
        <rFont val="Calibri"/>
      </rPr>
      <t>export superusers</t>
    </r>
    <r>
      <rPr>
        <sz val="11"/>
        <color rgb="FF000000"/>
        <rFont val="Calibri"/>
      </rPr>
      <t xml:space="preserve">
</t>
    </r>
    <r>
      <rPr>
        <sz val="11"/>
        <color rgb="FF000000"/>
        <rFont val="Calibri"/>
      </rPr>
      <t>password_pbkdf2 [someuniqueUserNamehere] ${GRUB2_PASSWORD}</t>
    </r>
    <r>
      <rPr>
        <sz val="11"/>
        <color rgb="FF000000"/>
        <rFont val="Calibri"/>
      </rPr>
      <t xml:space="preserve">
</t>
    </r>
    <r>
      <rPr>
        <sz val="11"/>
        <color rgb="FF000000"/>
        <rFont val="Calibri"/>
      </rPr>
      <t>Generate a new grub.cfg file with the following command:</t>
    </r>
    <r>
      <rPr>
        <sz val="11"/>
        <color rgb="FF000000"/>
        <rFont val="Calibri"/>
      </rPr>
      <t xml:space="preserve">
</t>
    </r>
    <r>
      <rPr>
        <sz val="11"/>
        <color rgb="FF000000"/>
        <rFont val="Calibri"/>
      </rPr>
      <t>$ sudo grub2-mkconfig -o /boot/grub2/grub.cfg</t>
    </r>
  </si>
  <si>
    <r>
      <rPr>
        <sz val="11"/>
        <color rgb="FF000000"/>
        <rFont val="Calibri"/>
      </rPr>
      <t>If the system does not require valid authentication before it boots into single-user or maintenance mode, anyone who invokes single-user or maintenance mode is granted privileged access to all files on the system. GRUB 2 is the default boot loader for OL 8 and is designed to require a password to boot into single-user mode or modify the boot menu.</t>
    </r>
    <r>
      <rPr>
        <sz val="11"/>
        <color rgb="FF000000"/>
        <rFont val="Calibri"/>
      </rPr>
      <t xml:space="preserve">
</t>
    </r>
    <r>
      <rPr>
        <sz val="11"/>
        <color rgb="FF000000"/>
        <rFont val="Calibri"/>
      </rPr>
      <t>The GRUB 2 superuser account is an account of last resort.  Establishing a unique username for this account hardens the boot loader against brute force attacks. Due to the nature of the superuser account database being distinct from the OS account database, this allows the use of a username that is not among those within the OS account database. Examples of non-unique superusers names are (root, superuser, unlock, etc.)</t>
    </r>
  </si>
  <si>
    <r>
      <rPr>
        <sz val="11"/>
        <color rgb="FF000000"/>
        <rFont val="Calibri"/>
      </rPr>
      <t>For systems that use UEFI, this is Not Applicable.</t>
    </r>
    <r>
      <rPr>
        <sz val="11"/>
        <color rgb="FF000000"/>
        <rFont val="Calibri"/>
      </rPr>
      <t xml:space="preserve">
</t>
    </r>
    <r>
      <rPr>
        <sz val="11"/>
        <color rgb="FF000000"/>
        <rFont val="Calibri"/>
      </rPr>
      <t>Verify that a unique name is set as the "superusers" account:</t>
    </r>
    <r>
      <rPr>
        <sz val="11"/>
        <color rgb="FF000000"/>
        <rFont val="Calibri"/>
      </rPr>
      <t xml:space="preserve">
</t>
    </r>
    <r>
      <rPr>
        <sz val="11"/>
        <color rgb="FF000000"/>
        <rFont val="Calibri"/>
      </rPr>
      <t>$ sudo grep -iw "superusers" /boot/grub2/grub.cfg</t>
    </r>
    <r>
      <rPr>
        <sz val="11"/>
        <color rgb="FF000000"/>
        <rFont val="Calibri"/>
      </rPr>
      <t xml:space="preserve">
</t>
    </r>
    <r>
      <rPr>
        <sz val="11"/>
        <color rgb="FF000000"/>
        <rFont val="Calibri"/>
      </rPr>
      <t>set superusers="[someuniqueUserNamehere]"</t>
    </r>
    <r>
      <rPr>
        <sz val="11"/>
        <color rgb="FF000000"/>
        <rFont val="Calibri"/>
      </rPr>
      <t xml:space="preserve">
</t>
    </r>
    <r>
      <rPr>
        <sz val="11"/>
        <color rgb="FF000000"/>
        <rFont val="Calibri"/>
      </rPr>
      <t>export superusers</t>
    </r>
    <r>
      <rPr>
        <sz val="11"/>
        <color rgb="FF000000"/>
        <rFont val="Calibri"/>
      </rPr>
      <t xml:space="preserve">
</t>
    </r>
    <r>
      <rPr>
        <sz val="11"/>
        <color rgb="FF000000"/>
        <rFont val="Calibri"/>
      </rPr>
      <t>If "superusers" is identical to any OS account name or is missing a name, this is a finding.</t>
    </r>
  </si>
  <si>
    <t>V-248540</t>
  </si>
  <si>
    <r>
      <rPr>
        <sz val="11"/>
        <rFont val="Calibri"/>
      </rPr>
      <t>OL 8 operating systems booted with a BIOS must require authentication upon booting into single-user and maintenance modes.</t>
    </r>
  </si>
  <si>
    <r>
      <rPr>
        <sz val="11"/>
        <color rgb="FF000000"/>
        <rFont val="Calibri"/>
      </rPr>
      <t xml:space="preserve">Configure the system to require a grub bootloader password for the grub superusers account with the grub2-setpassword command, which creates/overwrites the "/boot/grub2/user.cfg"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Generate an encrypted grub2 password for the grub superusers account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grub2-setpassword </t>
    </r>
    <r>
      <rPr>
        <sz val="11"/>
        <color rgb="FF000000"/>
        <rFont val="Calibri"/>
      </rPr>
      <t xml:space="preserve">
</t>
    </r>
    <r>
      <rPr>
        <sz val="11"/>
        <color rgb="FF000000"/>
        <rFont val="Calibri"/>
      </rPr>
      <t xml:space="preserve">Enter password: </t>
    </r>
    <r>
      <rPr>
        <sz val="11"/>
        <color rgb="FF000000"/>
        <rFont val="Calibri"/>
      </rPr>
      <t xml:space="preserve">
</t>
    </r>
    <r>
      <rPr>
        <sz val="11"/>
        <color rgb="FF000000"/>
        <rFont val="Calibri"/>
      </rPr>
      <t>Confirm password:</t>
    </r>
  </si>
  <si>
    <r>
      <rPr>
        <sz val="11"/>
        <color rgb="FF000000"/>
        <rFont val="Calibri"/>
      </rPr>
      <t xml:space="preserve">For systems that use UEFI, this is not applicable.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Determine if an encrypted password is set for the grub superusers account. On systems that use a BIOS, use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grep -iw grub2_password /boot/grub2/user.cfg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GRUB2_PASSWORD=grub.pbkdf2.sha512.[password_hash]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grub superusers account password does not begin with "grub.pbkdf2.sha512", this is a finding.</t>
    </r>
  </si>
  <si>
    <t>V-248541</t>
  </si>
  <si>
    <r>
      <rPr>
        <sz val="11"/>
        <rFont val="Calibri"/>
      </rPr>
      <t>OL 8 operating systems must require authentication upon booting into rescue mode.</t>
    </r>
  </si>
  <si>
    <r>
      <rPr>
        <sz val="11"/>
        <color rgb="FF000000"/>
        <rFont val="Calibri"/>
      </rPr>
      <t xml:space="preserve">Configure the system to require authentication upon booting into rescue mode by adding the following line to the "/usr/lib/systemd/system/rescue.service"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ExecStart=-/usr/lib/systemd/systemd-sulogin-shell rescue</t>
    </r>
  </si>
  <si>
    <r>
      <rPr>
        <sz val="11"/>
        <color rgb="FF000000"/>
        <rFont val="Calibri"/>
      </rPr>
      <t>If the system does not require valid root authentication before it boots into emergency or rescue mode, anyone who invokes emergency or rescue mode is granted privileged access to all files on the system.</t>
    </r>
  </si>
  <si>
    <r>
      <rPr>
        <sz val="11"/>
        <color rgb="FF000000"/>
        <rFont val="Calibri"/>
      </rPr>
      <t xml:space="preserve">Determine if the system requires authentication for rescue mode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grep sulogin-shell /usr/lib/systemd/system/rescue.service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ExecStart=-/usr/lib/systemd/systemd-sulogin-shell rescue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"ExecStart" line is configured for anything other than "/usr/lib/systemd/systemd-sulogin-shell rescue" or is commented out or missing, this is a finding.</t>
    </r>
  </si>
  <si>
    <t>V-248542</t>
  </si>
  <si>
    <r>
      <rPr>
        <sz val="11"/>
        <rFont val="Calibri"/>
      </rPr>
      <t>OL 8 operating systems must require authentication upon booting into emergency mode.</t>
    </r>
  </si>
  <si>
    <r>
      <rPr>
        <sz val="11"/>
        <color rgb="FF000000"/>
        <rFont val="Calibri"/>
      </rPr>
      <t xml:space="preserve">Configure the system to require authentication upon booting into emergency mode by adding the following line to the "/usr/lib/systemd/system/emergency.service"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ExecStart=-/usr/lib/systemd/systemd-sulogin-shell emergency</t>
    </r>
  </si>
  <si>
    <r>
      <rPr>
        <sz val="11"/>
        <color rgb="FF000000"/>
        <rFont val="Calibri"/>
      </rPr>
      <t xml:space="preserve">Determine if the system requires authentication for emergency mode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grep sulogin-shell /usr/lib/systemd/system/emergency.service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ExecStart=-/usr/lib/systemd/systemd-sulogin-shell emergency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"ExecStart" line is configured for anything other than "/usr/lib/systemd/systemd-sulogin-shell emergency" or is commented out or missing, this is a finding.</t>
    </r>
  </si>
  <si>
    <t>V-248543</t>
  </si>
  <si>
    <r>
      <rPr>
        <sz val="11"/>
        <rFont val="Calibri"/>
      </rPr>
      <t xml:space="preserve">The OL 8 </t>
    </r>
    <r>
      <rPr>
        <sz val="11"/>
        <color rgb="FF000000"/>
        <rFont val="Calibri"/>
      </rPr>
      <t>"</t>
    </r>
    <r>
      <rPr>
        <b/>
        <sz val="11"/>
        <color rgb="FF000000"/>
        <rFont val="Calibri"/>
      </rPr>
      <t>pam_unix.so</t>
    </r>
    <r>
      <rPr>
        <sz val="11"/>
        <color rgb="FF000000"/>
        <rFont val="Calibri"/>
      </rPr>
      <t>"</t>
    </r>
    <r>
      <rPr>
        <sz val="11"/>
        <color rgb="FF000000"/>
        <rFont val="Calibri"/>
      </rPr>
      <t xml:space="preserve"> module must be configured in the system-auth file to use a FIPS 140-2 approved cryptographic hashing algorithm for system authentication.</t>
    </r>
  </si>
  <si>
    <r>
      <rPr>
        <sz val="11"/>
        <color rgb="FF000000"/>
        <rFont val="Calibri"/>
      </rPr>
      <t>Configure OL 8 to use a FIPS 140-2 approved cryptographic hashing algorithm for system authentication.</t>
    </r>
    <r>
      <rPr>
        <sz val="11"/>
        <color rgb="FF000000"/>
        <rFont val="Calibri"/>
      </rPr>
      <t xml:space="preserve">
</t>
    </r>
    <r>
      <rPr>
        <sz val="11"/>
        <color rgb="FF000000"/>
        <rFont val="Calibri"/>
      </rPr>
      <t>Edit/modify the following line in the "/etc/pam.d/system-auth" file to include the sha512 option for pam_unix.so:</t>
    </r>
    <r>
      <rPr>
        <sz val="11"/>
        <color rgb="FF000000"/>
        <rFont val="Calibri"/>
      </rPr>
      <t xml:space="preserve">
</t>
    </r>
    <r>
      <rPr>
        <sz val="11"/>
        <color rgb="FF000000"/>
        <rFont val="Calibri"/>
      </rPr>
      <t>password sufficient pam_unix.so sha512</t>
    </r>
  </si>
  <si>
    <r>
      <rPr>
        <sz val="11"/>
        <color rgb="FF000000"/>
        <rFont val="Calibri"/>
      </rPr>
      <t xml:space="preserve">Unapproved mechanisms that are used for authentication to the cryptographic module are not verified and therefore cannot be relied on to provide confidentiality or integrity, and DoD data may be compromised.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OL 8 systems using encryption are required to use FIPS-compliant mechanisms for authenticating to cryptographic modules.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FIPS 140-2 is the current standard for validating that mechanisms used to access cryptographic modules use authentication that meets DoD requirements. This allows for Security Levels 1, 2, 3, or 4 for use on a general-purpose computing system.</t>
    </r>
  </si>
  <si>
    <r>
      <rPr>
        <sz val="11"/>
        <color rgb="FF000000"/>
        <rFont val="Calibri"/>
      </rPr>
      <t>Verify that the "pam_unix.so" module is configured to use sha512.</t>
    </r>
    <r>
      <rPr>
        <sz val="11"/>
        <color rgb="FF000000"/>
        <rFont val="Calibri"/>
      </rPr>
      <t xml:space="preserve">
</t>
    </r>
    <r>
      <rPr>
        <sz val="11"/>
        <color rgb="FF000000"/>
        <rFont val="Calibri"/>
      </rPr>
      <t>Check that pam_unix.so module is configured to use sha512 in /etc/pam.d/system-auth with the following command:</t>
    </r>
    <r>
      <rPr>
        <sz val="11"/>
        <color rgb="FF000000"/>
        <rFont val="Calibri"/>
      </rPr>
      <t xml:space="preserve">
</t>
    </r>
    <r>
      <rPr>
        <sz val="11"/>
        <color rgb="FF000000"/>
        <rFont val="Calibri"/>
      </rPr>
      <t>$ sudo grep password /etc/pam.d/system-auth | grep pam_unix</t>
    </r>
    <r>
      <rPr>
        <sz val="11"/>
        <color rgb="FF000000"/>
        <rFont val="Calibri"/>
      </rPr>
      <t xml:space="preserve">
</t>
    </r>
    <r>
      <rPr>
        <sz val="11"/>
        <color rgb="FF000000"/>
        <rFont val="Calibri"/>
      </rPr>
      <t>password sufficient pam_unix.so sha512</t>
    </r>
    <r>
      <rPr>
        <sz val="11"/>
        <color rgb="FF000000"/>
        <rFont val="Calibri"/>
      </rPr>
      <t xml:space="preserve">
</t>
    </r>
    <r>
      <rPr>
        <sz val="11"/>
        <color rgb="FF000000"/>
        <rFont val="Calibri"/>
      </rPr>
      <t>If "sha512" is missing, or is commented out, this is a finding.</t>
    </r>
  </si>
  <si>
    <t>V-248544</t>
  </si>
  <si>
    <r>
      <rPr>
        <sz val="11"/>
        <rFont val="Calibri"/>
      </rPr>
      <t xml:space="preserve">The OL 8 </t>
    </r>
    <r>
      <rPr>
        <sz val="11"/>
        <color rgb="FF000000"/>
        <rFont val="Calibri"/>
      </rPr>
      <t>"</t>
    </r>
    <r>
      <rPr>
        <b/>
        <sz val="11"/>
        <color rgb="FF000000"/>
        <rFont val="Calibri"/>
      </rPr>
      <t>pam_unix.so</t>
    </r>
    <r>
      <rPr>
        <sz val="11"/>
        <color rgb="FF000000"/>
        <rFont val="Calibri"/>
      </rPr>
      <t>"</t>
    </r>
    <r>
      <rPr>
        <sz val="11"/>
        <color rgb="FF000000"/>
        <rFont val="Calibri"/>
      </rPr>
      <t xml:space="preserve"> module must be configured in the password-auth file to use a FIPS 140-2 approved cryptographic hashing algorithm for system authentication.</t>
    </r>
  </si>
  <si>
    <r>
      <rPr>
        <sz val="11"/>
        <color rgb="FF000000"/>
        <rFont val="Calibri"/>
      </rPr>
      <t>Configure OL 8 to use a FIPS 140-2 approved cryptographic hashing algorithm for system authentication.</t>
    </r>
    <r>
      <rPr>
        <sz val="11"/>
        <color rgb="FF000000"/>
        <rFont val="Calibri"/>
      </rPr>
      <t xml:space="preserve">
</t>
    </r>
    <r>
      <rPr>
        <sz val="11"/>
        <color rgb="FF000000"/>
        <rFont val="Calibri"/>
      </rPr>
      <t>Edit/modify the following line in the "/etc/pam.d/password-auth" file to include the sha512 option for pam_unix.so:</t>
    </r>
    <r>
      <rPr>
        <sz val="11"/>
        <color rgb="FF000000"/>
        <rFont val="Calibri"/>
      </rPr>
      <t xml:space="preserve">
</t>
    </r>
    <r>
      <rPr>
        <sz val="11"/>
        <color rgb="FF000000"/>
        <rFont val="Calibri"/>
      </rPr>
      <t>password sufficient pam_unix.so sha512</t>
    </r>
  </si>
  <si>
    <r>
      <rPr>
        <sz val="11"/>
        <color rgb="FF000000"/>
        <rFont val="Calibri"/>
      </rPr>
      <t>Verify that the "pam_unix.so" module is configured to use sha512 in  "/etc/pam.d/password-auth" with the following command:</t>
    </r>
    <r>
      <rPr>
        <sz val="11"/>
        <color rgb="FF000000"/>
        <rFont val="Calibri"/>
      </rPr>
      <t xml:space="preserve">
</t>
    </r>
    <r>
      <rPr>
        <sz val="11"/>
        <color rgb="FF000000"/>
        <rFont val="Calibri"/>
      </rPr>
      <t>$ sudo grep password /etc/pam.d/password-auth | grep pam_unix</t>
    </r>
    <r>
      <rPr>
        <sz val="11"/>
        <color rgb="FF000000"/>
        <rFont val="Calibri"/>
      </rPr>
      <t xml:space="preserve">
</t>
    </r>
    <r>
      <rPr>
        <sz val="11"/>
        <color rgb="FF000000"/>
        <rFont val="Calibri"/>
      </rPr>
      <t>password sufficient pam_unix.so sha512</t>
    </r>
    <r>
      <rPr>
        <sz val="11"/>
        <color rgb="FF000000"/>
        <rFont val="Calibri"/>
      </rPr>
      <t xml:space="preserve">
</t>
    </r>
    <r>
      <rPr>
        <sz val="11"/>
        <color rgb="FF000000"/>
        <rFont val="Calibri"/>
      </rPr>
      <t>If "sha512" is missing, or is commented out, this is a finding.</t>
    </r>
  </si>
  <si>
    <t>V-248545</t>
  </si>
  <si>
    <r>
      <rPr>
        <sz val="11"/>
        <rFont val="Calibri"/>
      </rPr>
      <t>OL 8 must prevent system daemons from using Kerberos for authentication.</t>
    </r>
  </si>
  <si>
    <r>
      <rPr>
        <sz val="11"/>
        <color rgb="FF000000"/>
        <rFont val="Calibri"/>
      </rPr>
      <t>Configure OL 8 to prevent system daemons from using Kerberos for authentication.</t>
    </r>
    <r>
      <rPr>
        <sz val="11"/>
        <color rgb="FF000000"/>
        <rFont val="Calibri"/>
      </rPr>
      <t xml:space="preserve">
</t>
    </r>
    <r>
      <rPr>
        <sz val="11"/>
        <color rgb="FF000000"/>
        <rFont val="Calibri"/>
      </rPr>
      <t>Remove any files with the .keytab extension from the operating system.</t>
    </r>
  </si>
  <si>
    <r>
      <rPr>
        <sz val="11"/>
        <color rgb="FF000000"/>
        <rFont val="Calibri"/>
      </rPr>
      <t>Unapproved mechanisms that are used for authentication to the cryptographic module are not verified and therefore cannot be relied on to provide confidentiality or integrity, and DoD data may be compromised.</t>
    </r>
    <r>
      <rPr>
        <sz val="11"/>
        <color rgb="FF000000"/>
        <rFont val="Calibri"/>
      </rPr>
      <t xml:space="preserve">
</t>
    </r>
    <r>
      <rPr>
        <sz val="11"/>
        <color rgb="FF000000"/>
        <rFont val="Calibri"/>
      </rPr>
      <t>OL 8 systems using encryption are required to use FIPS-compliant mechanisms for authenticating to cryptographic modules.</t>
    </r>
    <r>
      <rPr>
        <sz val="11"/>
        <color rgb="FF000000"/>
        <rFont val="Calibri"/>
      </rPr>
      <t xml:space="preserve">
</t>
    </r>
    <r>
      <rPr>
        <sz val="11"/>
        <color rgb="FF000000"/>
        <rFont val="Calibri"/>
      </rPr>
      <t>The key derivation function (KDF) in Kerberos is not FIPS compatible. Ensuring the system does not have any keytab files present prevents system daemons from using Kerberos for authentication. A keytab is a file containing pairs of Kerberos principals and encrypted keys.</t>
    </r>
    <r>
      <rPr>
        <sz val="11"/>
        <color rgb="FF000000"/>
        <rFont val="Calibri"/>
      </rPr>
      <t xml:space="preserve">
</t>
    </r>
    <r>
      <rPr>
        <sz val="11"/>
        <color rgb="FF000000"/>
        <rFont val="Calibri"/>
      </rPr>
      <t>FIPS 140-2 is the current standard for validating that mechanisms used to access cryptographic modules use authentication that meets DoD requirements. This allows for Security Levels 1, 2, 3, or 4 for use on a general-purpose computing system.</t>
    </r>
  </si>
  <si>
    <r>
      <rPr>
        <sz val="11"/>
        <color rgb="FF000000"/>
        <rFont val="Calibri"/>
      </rPr>
      <t>Verify that OL 8 prevents system daemons from using Kerberos for authentication.</t>
    </r>
    <r>
      <rPr>
        <sz val="11"/>
        <color rgb="FF000000"/>
        <rFont val="Calibri"/>
      </rPr>
      <t xml:space="preserve">
</t>
    </r>
    <r>
      <rPr>
        <sz val="11"/>
        <color rgb="FF000000"/>
        <rFont val="Calibri"/>
      </rPr>
      <t>If the system is a server using krb5-server-1.17-18.el8.x86_64 or newer, this requirement is not applicable.</t>
    </r>
    <r>
      <rPr>
        <sz val="11"/>
        <color rgb="FF000000"/>
        <rFont val="Calibri"/>
      </rPr>
      <t xml:space="preserve">
</t>
    </r>
    <r>
      <rPr>
        <sz val="11"/>
        <color rgb="FF000000"/>
        <rFont val="Calibri"/>
      </rPr>
      <t>If the system is a workstation using krb5-workstation-1.17-18.el8.x86_64 or newer, this requirement is not applicable.</t>
    </r>
    <r>
      <rPr>
        <sz val="11"/>
        <color rgb="FF000000"/>
        <rFont val="Calibri"/>
      </rPr>
      <t xml:space="preserve">
</t>
    </r>
    <r>
      <rPr>
        <sz val="11"/>
        <color rgb="FF000000"/>
        <rFont val="Calibri"/>
      </rPr>
      <t>Check if there are available keytabs with the following command:</t>
    </r>
    <r>
      <rPr>
        <sz val="11"/>
        <color rgb="FF000000"/>
        <rFont val="Calibri"/>
      </rPr>
      <t xml:space="preserve">
</t>
    </r>
    <r>
      <rPr>
        <sz val="11"/>
        <color rgb="FF000000"/>
        <rFont val="Calibri"/>
      </rPr>
      <t>$ sudo ls -al /etc/*.keytab</t>
    </r>
    <r>
      <rPr>
        <sz val="11"/>
        <color rgb="FF000000"/>
        <rFont val="Calibri"/>
      </rPr>
      <t xml:space="preserve">
</t>
    </r>
    <r>
      <rPr>
        <sz val="11"/>
        <color rgb="FF000000"/>
        <rFont val="Calibri"/>
      </rPr>
      <t>If this command produces any file(s), this is a finding.</t>
    </r>
  </si>
  <si>
    <t>V-248546</t>
  </si>
  <si>
    <r>
      <rPr>
        <sz val="11"/>
        <rFont val="Calibri"/>
      </rPr>
      <t>The krb5-workstation package must not be installed on OL 8.</t>
    </r>
  </si>
  <si>
    <r>
      <rPr>
        <sz val="11"/>
        <color rgb="FF000000"/>
        <rFont val="Calibri"/>
      </rPr>
      <t>Document the krb5-workstation package with the ISSO as an operational requirement or remove it from the system with the following command:</t>
    </r>
    <r>
      <rPr>
        <sz val="11"/>
        <color rgb="FF000000"/>
        <rFont val="Calibri"/>
      </rPr>
      <t xml:space="preserve">
</t>
    </r>
    <r>
      <rPr>
        <sz val="11"/>
        <color rgb="FF000000"/>
        <rFont val="Calibri"/>
      </rPr>
      <t>$ sudo yum remove krb5-workstation</t>
    </r>
  </si>
  <si>
    <r>
      <rPr>
        <sz val="11"/>
        <color rgb="FF000000"/>
        <rFont val="Calibri"/>
      </rPr>
      <t>Unapproved mechanisms that are used for authentication to the cryptographic module are not verified and therefore cannot be relied on to provide confidentiality or integrity, and DoD data may be compromised.</t>
    </r>
    <r>
      <rPr>
        <sz val="11"/>
        <color rgb="FF000000"/>
        <rFont val="Calibri"/>
      </rPr>
      <t xml:space="preserve">
</t>
    </r>
    <r>
      <rPr>
        <sz val="11"/>
        <color rgb="FF000000"/>
        <rFont val="Calibri"/>
      </rPr>
      <t>OL 8 systems using encryption are required to use FIPS-compliant mechanisms for authenticating to cryptographic modules.</t>
    </r>
    <r>
      <rPr>
        <sz val="11"/>
        <color rgb="FF000000"/>
        <rFont val="Calibri"/>
      </rPr>
      <t xml:space="preserve">
</t>
    </r>
    <r>
      <rPr>
        <sz val="11"/>
        <color rgb="FF000000"/>
        <rFont val="Calibri"/>
      </rPr>
      <t>Currently, Kerberos does not use FIPS 140-2 cryptography.</t>
    </r>
    <r>
      <rPr>
        <sz val="11"/>
        <color rgb="FF000000"/>
        <rFont val="Calibri"/>
      </rPr>
      <t xml:space="preserve">
</t>
    </r>
    <r>
      <rPr>
        <sz val="11"/>
        <color rgb="FF000000"/>
        <rFont val="Calibri"/>
      </rPr>
      <t>FIPS 140-2 is the current standard for validating that mechanisms used to access cryptographic modules use authentication that meets DoD requirements. This allows for Security Levels 1, 2, 3, or 4 for use on a general-purpose computing system.</t>
    </r>
  </si>
  <si>
    <r>
      <rPr>
        <sz val="11"/>
        <color rgb="FF000000"/>
        <rFont val="Calibri"/>
      </rPr>
      <t>Verify the krb5-workstation package has not been installed on the system with the following commands:</t>
    </r>
    <r>
      <rPr>
        <sz val="11"/>
        <color rgb="FF000000"/>
        <rFont val="Calibri"/>
      </rPr>
      <t xml:space="preserve">
</t>
    </r>
    <r>
      <rPr>
        <sz val="11"/>
        <color rgb="FF000000"/>
        <rFont val="Calibri"/>
      </rPr>
      <t>If the system is a server or is using krb5-workstation-1.17-18.el8.x86_64 or newer, this is Not Applicable.</t>
    </r>
    <r>
      <rPr>
        <sz val="11"/>
        <color rgb="FF000000"/>
        <rFont val="Calibri"/>
      </rPr>
      <t xml:space="preserve">
</t>
    </r>
    <r>
      <rPr>
        <sz val="11"/>
        <color rgb="FF000000"/>
        <rFont val="Calibri"/>
      </rPr>
      <t>$ sudo yum list installed krb5-workstation</t>
    </r>
    <r>
      <rPr>
        <sz val="11"/>
        <color rgb="FF000000"/>
        <rFont val="Calibri"/>
      </rPr>
      <t xml:space="preserve">
</t>
    </r>
    <r>
      <rPr>
        <sz val="11"/>
        <color rgb="FF000000"/>
        <rFont val="Calibri"/>
      </rPr>
      <t>krb5-workstation.x86_64 1.17-9.el8 repository</t>
    </r>
    <r>
      <rPr>
        <sz val="11"/>
        <color rgb="FF000000"/>
        <rFont val="Calibri"/>
      </rPr>
      <t xml:space="preserve">
</t>
    </r>
    <r>
      <rPr>
        <sz val="11"/>
        <color rgb="FF000000"/>
        <rFont val="Calibri"/>
      </rPr>
      <t>If the krb5-workstation package is installed and is not documented with the Information System Security Officer (ISSO) as an operational requirement, this is a finding.</t>
    </r>
  </si>
  <si>
    <t>V-248547</t>
  </si>
  <si>
    <r>
      <rPr>
        <sz val="11"/>
        <rFont val="Calibri"/>
      </rPr>
      <t>The krb5-server package must not be installed on OL 8.</t>
    </r>
  </si>
  <si>
    <r>
      <rPr>
        <sz val="11"/>
        <color rgb="FF000000"/>
        <rFont val="Calibri"/>
      </rPr>
      <t>Document the krb5-server package with the ISSO as an operational requirement or remove it from the system with the following command:</t>
    </r>
    <r>
      <rPr>
        <sz val="11"/>
        <color rgb="FF000000"/>
        <rFont val="Calibri"/>
      </rPr>
      <t xml:space="preserve">
</t>
    </r>
    <r>
      <rPr>
        <sz val="11"/>
        <color rgb="FF000000"/>
        <rFont val="Calibri"/>
      </rPr>
      <t>$ sudo yum remove krb5-server</t>
    </r>
  </si>
  <si>
    <r>
      <rPr>
        <sz val="11"/>
        <color rgb="FF000000"/>
        <rFont val="Calibri"/>
      </rPr>
      <t>Verify the krb5-server package has not been installed on the system with the following commands:</t>
    </r>
    <r>
      <rPr>
        <sz val="11"/>
        <color rgb="FF000000"/>
        <rFont val="Calibri"/>
      </rPr>
      <t xml:space="preserve">
</t>
    </r>
    <r>
      <rPr>
        <sz val="11"/>
        <color rgb="FF000000"/>
        <rFont val="Calibri"/>
      </rPr>
      <t>If the system is a workstation or is using krb5-server-1.17-18.el8.x86_64 or newer, this is Not Applicable</t>
    </r>
    <r>
      <rPr>
        <sz val="11"/>
        <color rgb="FF000000"/>
        <rFont val="Calibri"/>
      </rPr>
      <t xml:space="preserve">
</t>
    </r>
    <r>
      <rPr>
        <sz val="11"/>
        <color rgb="FF000000"/>
        <rFont val="Calibri"/>
      </rPr>
      <t>$ sudo yum list installed krb5-server</t>
    </r>
    <r>
      <rPr>
        <sz val="11"/>
        <color rgb="FF000000"/>
        <rFont val="Calibri"/>
      </rPr>
      <t xml:space="preserve">
</t>
    </r>
    <r>
      <rPr>
        <sz val="11"/>
        <color rgb="FF000000"/>
        <rFont val="Calibri"/>
      </rPr>
      <t>krb5-server.x86_64 1.17-9.el8 repository</t>
    </r>
    <r>
      <rPr>
        <sz val="11"/>
        <color rgb="FF000000"/>
        <rFont val="Calibri"/>
      </rPr>
      <t xml:space="preserve">
</t>
    </r>
    <r>
      <rPr>
        <sz val="11"/>
        <color rgb="FF000000"/>
        <rFont val="Calibri"/>
      </rPr>
      <t>If the krb5-server package is installed and is not documented with the Information System Security Officer (ISSO) as an operational requirement, this is a finding.</t>
    </r>
  </si>
  <si>
    <t>V-248548</t>
  </si>
  <si>
    <r>
      <rPr>
        <sz val="11"/>
        <rFont val="Calibri"/>
      </rPr>
      <t>OL 8 must use a Linux Security Module configured to enforce limits on system services.</t>
    </r>
  </si>
  <si>
    <r>
      <rPr>
        <sz val="11"/>
        <color rgb="FF000000"/>
        <rFont val="Calibri"/>
      </rPr>
      <t>Configure OL 8 to verify correct operation of all security functions.</t>
    </r>
    <r>
      <rPr>
        <sz val="11"/>
        <color rgb="FF000000"/>
        <rFont val="Calibri"/>
      </rPr>
      <t xml:space="preserve">
</t>
    </r>
    <r>
      <rPr>
        <sz val="11"/>
        <color rgb="FF000000"/>
        <rFont val="Calibri"/>
      </rPr>
      <t>Set "SELinux" to "Enforcing" mode by modifying the "/etc/selinux/config" file with the following line:</t>
    </r>
    <r>
      <rPr>
        <sz val="11"/>
        <color rgb="FF000000"/>
        <rFont val="Calibri"/>
      </rPr>
      <t xml:space="preserve">
</t>
    </r>
    <r>
      <rPr>
        <sz val="11"/>
        <color rgb="FF000000"/>
        <rFont val="Calibri"/>
      </rPr>
      <t>SELINUX=enforcing</t>
    </r>
    <r>
      <rPr>
        <sz val="11"/>
        <color rgb="FF000000"/>
        <rFont val="Calibri"/>
      </rPr>
      <t xml:space="preserve">
</t>
    </r>
    <r>
      <rPr>
        <sz val="11"/>
        <color rgb="FF000000"/>
        <rFont val="Calibri"/>
      </rPr>
      <t>A reboot is required for the changes to take effect.</t>
    </r>
  </si>
  <si>
    <r>
      <rPr>
        <sz val="11"/>
        <color rgb="FF000000"/>
        <rFont val="Calibri"/>
      </rPr>
      <t xml:space="preserve">Without verification of the security functions, security functions may not operate correctly and the failure may go unnoticed. Security function is defined as the hardware, software, and/or firmware of the information system responsible for enforcing the system security policy and supporting the isolation of code and data on which the protection is based.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Security functionality includes but is not limited to establishing system accounts, configuring access authorizations (i.e., permissions, privileges), setting events to be audited, and setting intrusion detection parameters.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This requirement applies to operating systems performing security function verification/testing and/or systems and environments that require this functionality.</t>
    </r>
  </si>
  <si>
    <r>
      <rPr>
        <sz val="11"/>
        <color rgb="FF000000"/>
        <rFont val="Calibri"/>
      </rPr>
      <t>Verify the operating system verifies correct operation of all security functions.</t>
    </r>
    <r>
      <rPr>
        <sz val="11"/>
        <color rgb="FF000000"/>
        <rFont val="Calibri"/>
      </rPr>
      <t xml:space="preserve">
</t>
    </r>
    <r>
      <rPr>
        <sz val="11"/>
        <color rgb="FF000000"/>
        <rFont val="Calibri"/>
      </rPr>
      <t>Check if "SELinux" is in "Enforcing" mode with the following command:</t>
    </r>
    <r>
      <rPr>
        <sz val="11"/>
        <color rgb="FF000000"/>
        <rFont val="Calibri"/>
      </rPr>
      <t xml:space="preserve">
</t>
    </r>
    <r>
      <rPr>
        <sz val="11"/>
        <color rgb="FF000000"/>
        <rFont val="Calibri"/>
      </rPr>
      <t>$ getenforce</t>
    </r>
    <r>
      <rPr>
        <sz val="11"/>
        <color rgb="FF000000"/>
        <rFont val="Calibri"/>
      </rPr>
      <t xml:space="preserve">
</t>
    </r>
    <r>
      <rPr>
        <sz val="11"/>
        <color rgb="FF000000"/>
        <rFont val="Calibri"/>
      </rPr>
      <t>Enforcing</t>
    </r>
    <r>
      <rPr>
        <sz val="11"/>
        <color rgb="FF000000"/>
        <rFont val="Calibri"/>
      </rPr>
      <t xml:space="preserve">
</t>
    </r>
    <r>
      <rPr>
        <sz val="11"/>
        <color rgb="FF000000"/>
        <rFont val="Calibri"/>
      </rPr>
      <t>If "SELinux" is not in "Enforcing" mode, this is a finding.</t>
    </r>
  </si>
  <si>
    <t>V-248549</t>
  </si>
  <si>
    <r>
      <rPr>
        <sz val="11"/>
        <rFont val="Calibri"/>
      </rPr>
      <t xml:space="preserve">OL 8 must have the </t>
    </r>
    <r>
      <rPr>
        <sz val="11"/>
        <color rgb="FF000000"/>
        <rFont val="Calibri"/>
      </rPr>
      <t>"</t>
    </r>
    <r>
      <rPr>
        <b/>
        <sz val="11"/>
        <color rgb="FF000000"/>
        <rFont val="Calibri"/>
      </rPr>
      <t>policycoreutils</t>
    </r>
    <r>
      <rPr>
        <sz val="11"/>
        <color rgb="FF000000"/>
        <rFont val="Calibri"/>
      </rPr>
      <t>"</t>
    </r>
    <r>
      <rPr>
        <sz val="11"/>
        <color rgb="FF000000"/>
        <rFont val="Calibri"/>
      </rPr>
      <t xml:space="preserve"> package installed.</t>
    </r>
  </si>
  <si>
    <t>CAT III (Low)</t>
  </si>
  <si>
    <r>
      <rPr>
        <sz val="11"/>
        <color rgb="FF000000"/>
        <rFont val="Calibri"/>
      </rPr>
      <t xml:space="preserve">Install the "policycoreutil" package, if it is not already installed, by running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yum install policycoreutils</t>
    </r>
  </si>
  <si>
    <r>
      <rPr>
        <sz val="11"/>
        <color rgb="FF000000"/>
        <rFont val="Calibri"/>
      </rPr>
      <t>Without verification of the security functions, security functions may not operate correctly and the failure may go unnoticed. Security function is defined as the hardware, software, and/or firmware of the information system responsible for enforcing the system security policy and supporting the isolation of code and data on which the protection is based. Security functionality includes but is not limited to establishing system accounts, configuring access authorizations (i.e., permissions, privileges), setting events to be audited, and setting intrusion detection parameters.</t>
    </r>
  </si>
  <si>
    <r>
      <rPr>
        <sz val="11"/>
        <color rgb="FF000000"/>
        <rFont val="Calibri"/>
      </rPr>
      <t xml:space="preserve">Verify the operating system has the "policycoreutils" package installed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yum list installed policycoreutils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policycoreutils.x86_64 2.9-3.el8 @anaconda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"policycoreutils" package is not installed, this is a finding.</t>
    </r>
  </si>
  <si>
    <t>V-248551</t>
  </si>
  <si>
    <r>
      <rPr>
        <sz val="11"/>
        <rFont val="Calibri"/>
      </rPr>
      <t>A sticky bit must be set on all OL 8 public directories to prevent unauthorized and unintended information transferred via shared system resources.</t>
    </r>
  </si>
  <si>
    <r>
      <rPr>
        <sz val="11"/>
        <color rgb="FF000000"/>
        <rFont val="Calibri"/>
      </rPr>
      <t>Configure all world-writable directories to have the sticky bit set to prevent unauthorized and unintended information transferred via shared system resources.</t>
    </r>
    <r>
      <rPr>
        <sz val="11"/>
        <color rgb="FF000000"/>
        <rFont val="Calibri"/>
      </rPr>
      <t xml:space="preserve">
</t>
    </r>
    <r>
      <rPr>
        <sz val="11"/>
        <color rgb="FF000000"/>
        <rFont val="Calibri"/>
      </rPr>
      <t>Set the sticky bit on all world-writable directories using the command, replace "[World-Writable Directory]" with any directory path missing the sticky bit:</t>
    </r>
    <r>
      <rPr>
        <sz val="11"/>
        <color rgb="FF000000"/>
        <rFont val="Calibri"/>
      </rPr>
      <t xml:space="preserve">
</t>
    </r>
    <r>
      <rPr>
        <sz val="11"/>
        <color rgb="FF000000"/>
        <rFont val="Calibri"/>
      </rPr>
      <t>$ sudo chmod 1777 [World-Writable Directory]</t>
    </r>
  </si>
  <si>
    <r>
      <rPr>
        <sz val="11"/>
        <color rgb="FF000000"/>
        <rFont val="Calibri"/>
      </rPr>
      <t xml:space="preserve">Preventing unauthorized information transfers mitigates the risk of information, including encrypted representations of information, produced by the actions of prior users/roles (or the actions of processes acting on behalf of prior users/roles) from being available to any current users/roles (or current processes) that obtain access to shared system resources (e.g., registers, main memory, hard disks) after those resources have been released back to information systems. The control of information in shared resources is also commonly referred to as object reuse and residual information protection.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This requirement generally applies to the design of an information technology product, but it can also apply to the configuration of particular information system components that are, or use, such products. This can be verified by acceptance/validation processes in DoD or other government agencies.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There may be shared resources with configurable protections (e.g., files in storage) that may be assessed on specific information system components.</t>
    </r>
  </si>
  <si>
    <r>
      <rPr>
        <sz val="11"/>
        <color rgb="FF000000"/>
        <rFont val="Calibri"/>
      </rPr>
      <t>Verify that all world-writable directories have the sticky bit set.</t>
    </r>
    <r>
      <rPr>
        <sz val="11"/>
        <color rgb="FF000000"/>
        <rFont val="Calibri"/>
      </rPr>
      <t xml:space="preserve">
</t>
    </r>
    <r>
      <rPr>
        <sz val="11"/>
        <color rgb="FF000000"/>
        <rFont val="Calibri"/>
      </rPr>
      <t>Verify that all world-writable directories have the sticky bit set by running the following command:</t>
    </r>
    <r>
      <rPr>
        <sz val="11"/>
        <color rgb="FF000000"/>
        <rFont val="Calibri"/>
      </rPr>
      <t xml:space="preserve">
</t>
    </r>
    <r>
      <rPr>
        <sz val="11"/>
        <color rgb="FF000000"/>
        <rFont val="Calibri"/>
      </rPr>
      <t>$ sudo find / -type d \( -perm -0002 -a ! -perm -1000 \) -print 2&gt;/dev/null</t>
    </r>
    <r>
      <rPr>
        <sz val="11"/>
        <color rgb="FF000000"/>
        <rFont val="Calibri"/>
      </rPr>
      <t xml:space="preserve">
</t>
    </r>
    <r>
      <rPr>
        <sz val="11"/>
        <color rgb="FF000000"/>
        <rFont val="Calibri"/>
      </rPr>
      <t>If any of the returned directories are world-writable and do not have the sticky bit set, this is a finding.</t>
    </r>
  </si>
  <si>
    <t>V-248552</t>
  </si>
  <si>
    <r>
      <rPr>
        <sz val="11"/>
        <rFont val="Calibri"/>
      </rPr>
      <t>OL 8 must be configured so that all network connections associated with SSH traffic terminate after becoming unresponsive.</t>
    </r>
  </si>
  <si>
    <r>
      <rPr>
        <sz val="11"/>
        <color rgb="FF000000"/>
        <rFont val="Calibri"/>
      </rPr>
      <t>Note: This setting must be applied in conjunction with OL08-00-010201 to function correctly.</t>
    </r>
    <r>
      <rPr>
        <sz val="11"/>
        <color rgb="FF000000"/>
        <rFont val="Calibri"/>
      </rPr>
      <t xml:space="preserve">
</t>
    </r>
    <r>
      <rPr>
        <sz val="11"/>
        <color rgb="FF000000"/>
        <rFont val="Calibri"/>
      </rPr>
      <t>Configure the SSH server to terminate a user session automatically after the SSH client has become unresponsive.</t>
    </r>
    <r>
      <rPr>
        <sz val="11"/>
        <color rgb="FF000000"/>
        <rFont val="Calibri"/>
      </rPr>
      <t xml:space="preserve">
</t>
    </r>
    <r>
      <rPr>
        <sz val="11"/>
        <color rgb="FF000000"/>
        <rFont val="Calibri"/>
      </rPr>
      <t>Modify or append the following line in the "/etc/ssh/sshd_config" file:</t>
    </r>
    <r>
      <rPr>
        <sz val="11"/>
        <color rgb="FF000000"/>
        <rFont val="Calibri"/>
      </rPr>
      <t xml:space="preserve">
</t>
    </r>
    <r>
      <rPr>
        <sz val="11"/>
        <color rgb="FF000000"/>
        <rFont val="Calibri"/>
      </rPr>
      <t xml:space="preserve">     ClientAliveCountMax 1</t>
    </r>
    <r>
      <rPr>
        <sz val="11"/>
        <color rgb="FF000000"/>
        <rFont val="Calibri"/>
      </rPr>
      <t xml:space="preserve">
</t>
    </r>
    <r>
      <rPr>
        <sz val="11"/>
        <color rgb="FF000000"/>
        <rFont val="Calibri"/>
      </rPr>
      <t>For the changes to take effect, the SSH daemon must be restarted.</t>
    </r>
    <r>
      <rPr>
        <sz val="11"/>
        <color rgb="FF000000"/>
        <rFont val="Calibri"/>
      </rPr>
      <t xml:space="preserve">
</t>
    </r>
    <r>
      <rPr>
        <sz val="11"/>
        <color rgb="FF000000"/>
        <rFont val="Calibri"/>
      </rPr>
      <t xml:space="preserve">     $ sudo systemctl restart sshd.service</t>
    </r>
  </si>
  <si>
    <r>
      <rPr>
        <sz val="11"/>
        <color rgb="FF000000"/>
        <rFont val="Calibri"/>
      </rPr>
      <t>Terminating an unresponsive SSH session within a short time period reduces the window of opportunity for unauthorized personnel to take control of a management session enabled on the console or console port that has been left unattended. In addition, quickly terminating an idle SSH session will also free up resources committed by the managed network element.</t>
    </r>
    <r>
      <rPr>
        <sz val="11"/>
        <color rgb="FF000000"/>
        <rFont val="Calibri"/>
      </rPr>
      <t xml:space="preserve">
</t>
    </r>
    <r>
      <rPr>
        <sz val="11"/>
        <color rgb="FF000000"/>
        <rFont val="Calibri"/>
      </rPr>
      <t xml:space="preserve">Terminating network connections associated with communications sessions includes, for example, de-allocating associated TCP/IP address/port pairs at the operating system level and de-allocating networking assignments at the application level if multiple application sessions are using a single operating system-level network connection. This does not mean that the operating system terminates all sessions or network access; it only ends the unresponsive session and releases the resources associated with that session.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OL 8 uses "/etc/ssh/sshd_config" for configurations of OpenSSH. Within the "sshd_config", the product of the values of "ClientAliveInterval" and "ClientAliveCountMax" is used to establish the inactivity threshold. The "ClientAliveInterval" is a timeout interval in seconds after which if no data has been received from the client, sshd will send a message through the encrypted channel to request a response from the client. The "ClientAliveCountMax" is the number of client alive messages that may be sent without sshd receiving any messages back from the client. If this threshold is met, sshd will disconnect the client. For more information on these settings and others, refer to the sshd_config man pages.</t>
    </r>
    <r>
      <rPr>
        <sz val="11"/>
        <color rgb="FF000000"/>
        <rFont val="Calibri"/>
      </rPr>
      <t xml:space="preserve">
</t>
    </r>
    <r>
      <rPr>
        <sz val="11"/>
        <color rgb="FF000000"/>
        <rFont val="Calibri"/>
      </rPr>
      <t>Satisfies: SRG-OS-000126-GPOS-00066, SRG-OS-000163-GPOS-00072, SRG-OS-000279-GPOS-00109</t>
    </r>
  </si>
  <si>
    <r>
      <rPr>
        <sz val="11"/>
        <color rgb="FF000000"/>
        <rFont val="Calibri"/>
      </rPr>
      <t>Verify the SSH server automatically terminates a user session after the SSH client has become unresponsive.</t>
    </r>
    <r>
      <rPr>
        <sz val="11"/>
        <color rgb="FF000000"/>
        <rFont val="Calibri"/>
      </rPr>
      <t xml:space="preserve">
</t>
    </r>
    <r>
      <rPr>
        <sz val="11"/>
        <color rgb="FF000000"/>
        <rFont val="Calibri"/>
      </rPr>
      <t>Check that the "ClientAliveCountMax" is set to "1" by running the following command:</t>
    </r>
    <r>
      <rPr>
        <sz val="11"/>
        <color rgb="FF000000"/>
        <rFont val="Calibri"/>
      </rPr>
      <t xml:space="preserve">
</t>
    </r>
    <r>
      <rPr>
        <sz val="11"/>
        <color rgb="FF000000"/>
        <rFont val="Calibri"/>
      </rPr>
      <t>$ sudo /usr/sbin/sshd -dd 2&gt;&amp;1 | awk '/filename/ {print $4}' | tr -d '\r' | tr '\n' ' ' | xargs sudo grep -iH '^\s*clientalivecountmax'</t>
    </r>
    <r>
      <rPr>
        <sz val="11"/>
        <color rgb="FF000000"/>
        <rFont val="Calibri"/>
      </rPr>
      <t xml:space="preserve">
</t>
    </r>
    <r>
      <rPr>
        <sz val="11"/>
        <color rgb="FF000000"/>
        <rFont val="Calibri"/>
      </rPr>
      <t>ClientAliveCountMax 1</t>
    </r>
    <r>
      <rPr>
        <sz val="11"/>
        <color rgb="FF000000"/>
        <rFont val="Calibri"/>
      </rPr>
      <t xml:space="preserve">
</t>
    </r>
    <r>
      <rPr>
        <sz val="11"/>
        <color rgb="FF000000"/>
        <rFont val="Calibri"/>
      </rPr>
      <t>If "ClientAliveCountMax" does not exist, does not have a product value of "1" in "/etc/ssh/sshd_config", or is commented out, this is a finding.</t>
    </r>
    <r>
      <rPr>
        <sz val="11"/>
        <color rgb="FF000000"/>
        <rFont val="Calibri"/>
      </rPr>
      <t xml:space="preserve">
</t>
    </r>
    <r>
      <rPr>
        <sz val="11"/>
        <color rgb="FF000000"/>
        <rFont val="Calibri"/>
      </rPr>
      <t>If conflicting results are returned, this is a finding.</t>
    </r>
  </si>
  <si>
    <t>V-248553</t>
  </si>
  <si>
    <r>
      <rPr>
        <sz val="11"/>
        <rFont val="Calibri"/>
      </rPr>
      <t>OL 8 must be configured so that all network connections associated with SSH traffic are terminated after 10 minutes of becoming unresponsive.</t>
    </r>
  </si>
  <si>
    <r>
      <rPr>
        <sz val="11"/>
        <color rgb="FF000000"/>
        <rFont val="Calibri"/>
      </rPr>
      <t>Note: This setting must be applied in conjunction with OL08-00-010200 to function correctly.</t>
    </r>
    <r>
      <rPr>
        <sz val="11"/>
        <color rgb="FF000000"/>
        <rFont val="Calibri"/>
      </rPr>
      <t xml:space="preserve">
</t>
    </r>
    <r>
      <rPr>
        <sz val="11"/>
        <color rgb="FF000000"/>
        <rFont val="Calibri"/>
      </rPr>
      <t>Configure the SSH server to terminate a user session automatically after the SSH client has been unresponsive for 10 minutes.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Modify or append the following lines in the "/etc/ssh/sshd_config" file to have a product value of "600" or less: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ClientAliveInterval 600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 SSH daemon must be restarted for changes to take effect.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systemctl restart sshd.service</t>
    </r>
  </si>
  <si>
    <r>
      <rPr>
        <sz val="11"/>
        <color rgb="FF000000"/>
        <rFont val="Calibri"/>
      </rPr>
      <t>Terminating an unresponsive SSH session within a short time period reduces the window of opportunity for unauthorized personnel to take control of a management session enabled on the console or console port that has been left unattended. In addition, quickly terminating an idle SSH session will also free up resources committed by the managed network element.</t>
    </r>
    <r>
      <rPr>
        <sz val="11"/>
        <color rgb="FF000000"/>
        <rFont val="Calibri"/>
      </rPr>
      <t xml:space="preserve">
</t>
    </r>
    <r>
      <rPr>
        <sz val="11"/>
        <color rgb="FF000000"/>
        <rFont val="Calibri"/>
      </rPr>
      <t>Terminating network connections associated with communications sessions includes, for example, deallocating associated TCP/IP address/port pairs at the operating system level and deallocating networking assignments at the application level if multiple application sessions are using a single operating system-level network connection. This does not mean that the operating system terminates all sessions or network access; it only ends the unresponsive session and releases the resources associated with that session.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OL 8 uses "/etc/ssh/sshd_config" for configurations of OpenSSH. Within the "sshd_config", the product of the values of "ClientAliveInterval" and "ClientAliveCountMax" is used to establish the inactivity threshold. The "ClientAliveInterval" is a timeout interval in seconds after which if no data has been received from the client, sshd will send a message through the encrypted channel to request a response from the client. The "ClientAliveCountMax" is the number of client alive messages that may be sent without sshd receiving any messages back from the client. If this threshold is met, sshd will disconnect the client. For more information on these settings and others, refer to the sshd_config man pages.</t>
    </r>
    <r>
      <rPr>
        <sz val="11"/>
        <color rgb="FF000000"/>
        <rFont val="Calibri"/>
      </rPr>
      <t xml:space="preserve">
</t>
    </r>
    <r>
      <rPr>
        <sz val="11"/>
        <color rgb="FF000000"/>
        <rFont val="Calibri"/>
      </rPr>
      <t>Satisfies: SRG-OS-000126-GPOS-00066, SRG-OS-000163-GPOS-00072, SRG-OS-000279-GPOS-00109</t>
    </r>
  </si>
  <si>
    <r>
      <rPr>
        <sz val="11"/>
        <color rgb="FF000000"/>
        <rFont val="Calibri"/>
      </rPr>
      <t>Verify the SSH server automatically terminates a user session after the SSH client has been unresponsive for 10 minutes.</t>
    </r>
    <r>
      <rPr>
        <sz val="11"/>
        <color rgb="FF000000"/>
        <rFont val="Calibri"/>
      </rPr>
      <t xml:space="preserve">
</t>
    </r>
    <r>
      <rPr>
        <sz val="11"/>
        <color rgb="FF000000"/>
        <rFont val="Calibri"/>
      </rPr>
      <t>Check that the "ClientAliveInterval" variable is set to a value of "600" or less by running the following command:</t>
    </r>
    <r>
      <rPr>
        <sz val="11"/>
        <color rgb="FF000000"/>
        <rFont val="Calibri"/>
      </rPr>
      <t xml:space="preserve">
</t>
    </r>
    <r>
      <rPr>
        <sz val="11"/>
        <color rgb="FF000000"/>
        <rFont val="Calibri"/>
      </rPr>
      <t>$ sudo /usr/sbin/sshd -dd 2&gt;&amp;1 | awk '/filename/ {print $4}' | tr -d '\r' | tr '\n' ' ' | xargs sudo grep -iH '^\s*clientaliveinterval'</t>
    </r>
    <r>
      <rPr>
        <sz val="11"/>
        <color rgb="FF000000"/>
        <rFont val="Calibri"/>
      </rPr>
      <t xml:space="preserve">
</t>
    </r>
    <r>
      <rPr>
        <sz val="11"/>
        <color rgb="FF000000"/>
        <rFont val="Calibri"/>
      </rPr>
      <t>ClientAliveInterval 600</t>
    </r>
    <r>
      <rPr>
        <sz val="11"/>
        <color rgb="FF000000"/>
        <rFont val="Calibri"/>
      </rPr>
      <t xml:space="preserve">
</t>
    </r>
    <r>
      <rPr>
        <sz val="11"/>
        <color rgb="FF000000"/>
        <rFont val="Calibri"/>
      </rPr>
      <t>If "ClientAliveInterval" does not exist, does not have a product value of "600" or less in "/etc/ssh/sshd_config", or is commented out, this is a finding.</t>
    </r>
    <r>
      <rPr>
        <sz val="11"/>
        <color rgb="FF000000"/>
        <rFont val="Calibri"/>
      </rPr>
      <t xml:space="preserve">
</t>
    </r>
    <r>
      <rPr>
        <sz val="11"/>
        <color rgb="FF000000"/>
        <rFont val="Calibri"/>
      </rPr>
      <t>If conflicting results are returned, this is a finding.</t>
    </r>
  </si>
  <si>
    <t>V-248554</t>
  </si>
  <si>
    <r>
      <rPr>
        <sz val="11"/>
        <rFont val="Calibri"/>
      </rPr>
      <t xml:space="preserve">The OL 8 </t>
    </r>
    <r>
      <rPr>
        <sz val="11"/>
        <color rgb="FF000000"/>
        <rFont val="Calibri"/>
      </rPr>
      <t>"</t>
    </r>
    <r>
      <rPr>
        <b/>
        <sz val="11"/>
        <color rgb="FF000000"/>
        <rFont val="Calibri"/>
      </rPr>
      <t>/var/log/messages</t>
    </r>
    <r>
      <rPr>
        <sz val="11"/>
        <color rgb="FF000000"/>
        <rFont val="Calibri"/>
      </rPr>
      <t>"</t>
    </r>
    <r>
      <rPr>
        <sz val="11"/>
        <color rgb="FF000000"/>
        <rFont val="Calibri"/>
      </rPr>
      <t xml:space="preserve"> file must have mode 0640 or less permissive.</t>
    </r>
  </si>
  <si>
    <r>
      <rPr>
        <sz val="11"/>
        <color rgb="FF000000"/>
        <rFont val="Calibri"/>
      </rPr>
      <t xml:space="preserve">Change the permissions of the file "/var/log/messages" to "0640" by running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chmod 0640 /var/log/messages</t>
    </r>
  </si>
  <si>
    <r>
      <rPr>
        <sz val="11"/>
        <color rgb="FF000000"/>
        <rFont val="Calibri"/>
      </rPr>
      <t xml:space="preserve">Only authorized personnel should be aware of errors and the details of the errors. Error messages are an indicator of an organization's operational state or can identify the OL 8 system or platform. Additionally, Personally Identifiable Information (PII) and operational information must not be revealed through error messages to unauthorized personnel or their designated representatives.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 structure and content of error messages must be carefully considered by the organization and development team. The extent to which the information system is able to identify and handle error conditions is guided by organizational policy and operational requirements.</t>
    </r>
  </si>
  <si>
    <r>
      <rPr>
        <sz val="11"/>
        <color rgb="FF000000"/>
        <rFont val="Calibri"/>
      </rPr>
      <t xml:space="preserve">Verify that the "/var/log/messages" file has mode "0640" or less permissive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stat -c "%a %n" /var/log/messages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640 /var/log/messages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 value of "0640" or less permissive is not returned, this is a finding.</t>
    </r>
  </si>
  <si>
    <t>V-248555</t>
  </si>
  <si>
    <r>
      <rPr>
        <sz val="11"/>
        <rFont val="Calibri"/>
      </rPr>
      <t xml:space="preserve">The OL 8 </t>
    </r>
    <r>
      <rPr>
        <sz val="11"/>
        <color rgb="FF000000"/>
        <rFont val="Calibri"/>
      </rPr>
      <t>"</t>
    </r>
    <r>
      <rPr>
        <b/>
        <sz val="11"/>
        <color rgb="FF000000"/>
        <rFont val="Calibri"/>
      </rPr>
      <t>/var/log/messages</t>
    </r>
    <r>
      <rPr>
        <sz val="11"/>
        <color rgb="FF000000"/>
        <rFont val="Calibri"/>
      </rPr>
      <t>"</t>
    </r>
    <r>
      <rPr>
        <sz val="11"/>
        <color rgb="FF000000"/>
        <rFont val="Calibri"/>
      </rPr>
      <t xml:space="preserve"> file must be owned by root.</t>
    </r>
  </si>
  <si>
    <r>
      <rPr>
        <sz val="11"/>
        <color rgb="FF000000"/>
        <rFont val="Calibri"/>
      </rPr>
      <t>Change the owner of the file /var/log/messages to root by running the following command:</t>
    </r>
    <r>
      <rPr>
        <sz val="11"/>
        <color rgb="FF000000"/>
        <rFont val="Calibri"/>
      </rPr>
      <t xml:space="preserve">
</t>
    </r>
    <r>
      <rPr>
        <sz val="11"/>
        <color rgb="FF000000"/>
        <rFont val="Calibri"/>
      </rPr>
      <t>$ sudo chown root /var/log/messages</t>
    </r>
  </si>
  <si>
    <r>
      <rPr>
        <sz val="11"/>
        <color rgb="FF000000"/>
        <rFont val="Calibri"/>
      </rPr>
      <t>Verify that the /var/log/messages file is owned by root with the following command:</t>
    </r>
    <r>
      <rPr>
        <sz val="11"/>
        <color rgb="FF000000"/>
        <rFont val="Calibri"/>
      </rPr>
      <t xml:space="preserve">
</t>
    </r>
    <r>
      <rPr>
        <sz val="11"/>
        <color rgb="FF000000"/>
        <rFont val="Calibri"/>
      </rPr>
      <t>$ sudo stat -c "%U" /var/log/messages</t>
    </r>
    <r>
      <rPr>
        <sz val="11"/>
        <color rgb="FF000000"/>
        <rFont val="Calibri"/>
      </rPr>
      <t xml:space="preserve">
</t>
    </r>
    <r>
      <rPr>
        <sz val="11"/>
        <color rgb="FF000000"/>
        <rFont val="Calibri"/>
      </rPr>
      <t>root</t>
    </r>
    <r>
      <rPr>
        <sz val="11"/>
        <color rgb="FF000000"/>
        <rFont val="Calibri"/>
      </rPr>
      <t xml:space="preserve">
</t>
    </r>
    <r>
      <rPr>
        <sz val="11"/>
        <color rgb="FF000000"/>
        <rFont val="Calibri"/>
      </rPr>
      <t>If "root" is not returned as a result, this is a finding.</t>
    </r>
  </si>
  <si>
    <t>V-248556</t>
  </si>
  <si>
    <r>
      <rPr>
        <sz val="11"/>
        <rFont val="Calibri"/>
      </rPr>
      <t xml:space="preserve">The OL 8 </t>
    </r>
    <r>
      <rPr>
        <sz val="11"/>
        <color rgb="FF000000"/>
        <rFont val="Calibri"/>
      </rPr>
      <t>"</t>
    </r>
    <r>
      <rPr>
        <b/>
        <sz val="11"/>
        <color rgb="FF000000"/>
        <rFont val="Calibri"/>
      </rPr>
      <t>/var/log/messages</t>
    </r>
    <r>
      <rPr>
        <sz val="11"/>
        <color rgb="FF000000"/>
        <rFont val="Calibri"/>
      </rPr>
      <t>"</t>
    </r>
    <r>
      <rPr>
        <sz val="11"/>
        <color rgb="FF000000"/>
        <rFont val="Calibri"/>
      </rPr>
      <t xml:space="preserve"> file must be group-owned by root.</t>
    </r>
  </si>
  <si>
    <r>
      <rPr>
        <sz val="11"/>
        <color rgb="FF000000"/>
        <rFont val="Calibri"/>
      </rPr>
      <t>Change the group of the file "/var/log/messages" to "root" by running the following command:</t>
    </r>
    <r>
      <rPr>
        <sz val="11"/>
        <color rgb="FF000000"/>
        <rFont val="Calibri"/>
      </rPr>
      <t xml:space="preserve">
</t>
    </r>
    <r>
      <rPr>
        <sz val="11"/>
        <color rgb="FF000000"/>
        <rFont val="Calibri"/>
      </rPr>
      <t>$ sudo chgrp root /var/log/messages</t>
    </r>
  </si>
  <si>
    <r>
      <rPr>
        <sz val="11"/>
        <color rgb="FF000000"/>
        <rFont val="Calibri"/>
      </rPr>
      <t>Verify the "/var/log/messages" file is group-owned by root with the following command:</t>
    </r>
    <r>
      <rPr>
        <sz val="11"/>
        <color rgb="FF000000"/>
        <rFont val="Calibri"/>
      </rPr>
      <t xml:space="preserve">
</t>
    </r>
    <r>
      <rPr>
        <sz val="11"/>
        <color rgb="FF000000"/>
        <rFont val="Calibri"/>
      </rPr>
      <t>$ sudo stat -c "%G" /var/log/messages</t>
    </r>
    <r>
      <rPr>
        <sz val="11"/>
        <color rgb="FF000000"/>
        <rFont val="Calibri"/>
      </rPr>
      <t xml:space="preserve">
</t>
    </r>
    <r>
      <rPr>
        <sz val="11"/>
        <color rgb="FF000000"/>
        <rFont val="Calibri"/>
      </rPr>
      <t>root</t>
    </r>
    <r>
      <rPr>
        <sz val="11"/>
        <color rgb="FF000000"/>
        <rFont val="Calibri"/>
      </rPr>
      <t xml:space="preserve">
</t>
    </r>
    <r>
      <rPr>
        <sz val="11"/>
        <color rgb="FF000000"/>
        <rFont val="Calibri"/>
      </rPr>
      <t>If "root" is not returned as a result, this is a finding.</t>
    </r>
  </si>
  <si>
    <t>V-248557</t>
  </si>
  <si>
    <r>
      <rPr>
        <sz val="11"/>
        <rFont val="Calibri"/>
      </rPr>
      <t xml:space="preserve">The OL 8 </t>
    </r>
    <r>
      <rPr>
        <sz val="11"/>
        <color rgb="FF000000"/>
        <rFont val="Calibri"/>
      </rPr>
      <t>"</t>
    </r>
    <r>
      <rPr>
        <b/>
        <sz val="11"/>
        <color rgb="FF000000"/>
        <rFont val="Calibri"/>
      </rPr>
      <t>/var/log</t>
    </r>
    <r>
      <rPr>
        <sz val="11"/>
        <color rgb="FF000000"/>
        <rFont val="Calibri"/>
      </rPr>
      <t>"</t>
    </r>
    <r>
      <rPr>
        <sz val="11"/>
        <color rgb="FF000000"/>
        <rFont val="Calibri"/>
      </rPr>
      <t xml:space="preserve"> directory must have mode 0755 or less permissive.</t>
    </r>
  </si>
  <si>
    <r>
      <rPr>
        <sz val="11"/>
        <color rgb="FF000000"/>
        <rFont val="Calibri"/>
      </rPr>
      <t>Change the permissions of the directory "/var/log" to "0755" by running the following command:</t>
    </r>
    <r>
      <rPr>
        <sz val="11"/>
        <color rgb="FF000000"/>
        <rFont val="Calibri"/>
      </rPr>
      <t xml:space="preserve">
</t>
    </r>
    <r>
      <rPr>
        <sz val="11"/>
        <color rgb="FF000000"/>
        <rFont val="Calibri"/>
      </rPr>
      <t>$ sudo chmod 0755 /var/log</t>
    </r>
  </si>
  <si>
    <r>
      <rPr>
        <sz val="11"/>
        <color rgb="FF000000"/>
        <rFont val="Calibri"/>
      </rPr>
      <t>Verify that the "/var/log" directory has a mode of "0755" or less with the following command:</t>
    </r>
    <r>
      <rPr>
        <sz val="11"/>
        <color rgb="FF000000"/>
        <rFont val="Calibri"/>
      </rPr>
      <t xml:space="preserve">
</t>
    </r>
    <r>
      <rPr>
        <sz val="11"/>
        <color rgb="FF000000"/>
        <rFont val="Calibri"/>
      </rPr>
      <t>$ sudo stat -c "%a %n" /var/log</t>
    </r>
    <r>
      <rPr>
        <sz val="11"/>
        <color rgb="FF000000"/>
        <rFont val="Calibri"/>
      </rPr>
      <t xml:space="preserve">
</t>
    </r>
    <r>
      <rPr>
        <sz val="11"/>
        <color rgb="FF000000"/>
        <rFont val="Calibri"/>
      </rPr>
      <t>755 /var/log</t>
    </r>
    <r>
      <rPr>
        <sz val="11"/>
        <color rgb="FF000000"/>
        <rFont val="Calibri"/>
      </rPr>
      <t xml:space="preserve">
</t>
    </r>
    <r>
      <rPr>
        <sz val="11"/>
        <color rgb="FF000000"/>
        <rFont val="Calibri"/>
      </rPr>
      <t>If a value of "0755" or less permissive is not returned, this is a finding.</t>
    </r>
  </si>
  <si>
    <t>V-248558</t>
  </si>
  <si>
    <r>
      <rPr>
        <sz val="11"/>
        <rFont val="Calibri"/>
      </rPr>
      <t xml:space="preserve">The OL 8 </t>
    </r>
    <r>
      <rPr>
        <sz val="11"/>
        <color rgb="FF000000"/>
        <rFont val="Calibri"/>
      </rPr>
      <t>"</t>
    </r>
    <r>
      <rPr>
        <b/>
        <sz val="11"/>
        <color rgb="FF000000"/>
        <rFont val="Calibri"/>
      </rPr>
      <t>/var/log</t>
    </r>
    <r>
      <rPr>
        <sz val="11"/>
        <color rgb="FF000000"/>
        <rFont val="Calibri"/>
      </rPr>
      <t>"</t>
    </r>
    <r>
      <rPr>
        <sz val="11"/>
        <color rgb="FF000000"/>
        <rFont val="Calibri"/>
      </rPr>
      <t xml:space="preserve"> directory must be owned by root.</t>
    </r>
  </si>
  <si>
    <r>
      <rPr>
        <sz val="11"/>
        <color rgb="FF000000"/>
        <rFont val="Calibri"/>
      </rPr>
      <t>Change the owner of the directory /var/log to root by running the following command:</t>
    </r>
    <r>
      <rPr>
        <sz val="11"/>
        <color rgb="FF000000"/>
        <rFont val="Calibri"/>
      </rPr>
      <t xml:space="preserve">
</t>
    </r>
    <r>
      <rPr>
        <sz val="11"/>
        <color rgb="FF000000"/>
        <rFont val="Calibri"/>
      </rPr>
      <t>$ sudo chown root /var/log</t>
    </r>
  </si>
  <si>
    <r>
      <rPr>
        <sz val="11"/>
        <color rgb="FF000000"/>
        <rFont val="Calibri"/>
      </rPr>
      <t>Verify the /var/log directory is owned by root with the following command:</t>
    </r>
    <r>
      <rPr>
        <sz val="11"/>
        <color rgb="FF000000"/>
        <rFont val="Calibri"/>
      </rPr>
      <t xml:space="preserve">
</t>
    </r>
    <r>
      <rPr>
        <sz val="11"/>
        <color rgb="FF000000"/>
        <rFont val="Calibri"/>
      </rPr>
      <t>$ sudo stat -c "%U" /var/log</t>
    </r>
    <r>
      <rPr>
        <sz val="11"/>
        <color rgb="FF000000"/>
        <rFont val="Calibri"/>
      </rPr>
      <t xml:space="preserve">
</t>
    </r>
    <r>
      <rPr>
        <sz val="11"/>
        <color rgb="FF000000"/>
        <rFont val="Calibri"/>
      </rPr>
      <t>root</t>
    </r>
    <r>
      <rPr>
        <sz val="11"/>
        <color rgb="FF000000"/>
        <rFont val="Calibri"/>
      </rPr>
      <t xml:space="preserve">
</t>
    </r>
    <r>
      <rPr>
        <sz val="11"/>
        <color rgb="FF000000"/>
        <rFont val="Calibri"/>
      </rPr>
      <t>If "root" is not returned as a result, this is a finding.</t>
    </r>
  </si>
  <si>
    <t>V-248559</t>
  </si>
  <si>
    <r>
      <rPr>
        <sz val="11"/>
        <rFont val="Calibri"/>
      </rPr>
      <t xml:space="preserve">The OL 8 </t>
    </r>
    <r>
      <rPr>
        <sz val="11"/>
        <color rgb="FF000000"/>
        <rFont val="Calibri"/>
      </rPr>
      <t>"</t>
    </r>
    <r>
      <rPr>
        <b/>
        <sz val="11"/>
        <color rgb="FF000000"/>
        <rFont val="Calibri"/>
      </rPr>
      <t>/var/log</t>
    </r>
    <r>
      <rPr>
        <sz val="11"/>
        <color rgb="FF000000"/>
        <rFont val="Calibri"/>
      </rPr>
      <t>"</t>
    </r>
    <r>
      <rPr>
        <sz val="11"/>
        <color rgb="FF000000"/>
        <rFont val="Calibri"/>
      </rPr>
      <t xml:space="preserve"> directory must be group-owned by root.</t>
    </r>
  </si>
  <si>
    <r>
      <rPr>
        <sz val="11"/>
        <color rgb="FF000000"/>
        <rFont val="Calibri"/>
      </rPr>
      <t>Change the group of the directory "/var/log" to "root" by running the following command:</t>
    </r>
    <r>
      <rPr>
        <sz val="11"/>
        <color rgb="FF000000"/>
        <rFont val="Calibri"/>
      </rPr>
      <t xml:space="preserve">
</t>
    </r>
    <r>
      <rPr>
        <sz val="11"/>
        <color rgb="FF000000"/>
        <rFont val="Calibri"/>
      </rPr>
      <t>$ sudo chgrp root /var/log</t>
    </r>
  </si>
  <si>
    <r>
      <rPr>
        <sz val="11"/>
        <color rgb="FF000000"/>
        <rFont val="Calibri"/>
      </rPr>
      <t>Verify the "/var/log" directory is group-owned by root with the following command:</t>
    </r>
    <r>
      <rPr>
        <sz val="11"/>
        <color rgb="FF000000"/>
        <rFont val="Calibri"/>
      </rPr>
      <t xml:space="preserve">
</t>
    </r>
    <r>
      <rPr>
        <sz val="11"/>
        <color rgb="FF000000"/>
        <rFont val="Calibri"/>
      </rPr>
      <t>$ sudo stat -c "%G" /var/log</t>
    </r>
    <r>
      <rPr>
        <sz val="11"/>
        <color rgb="FF000000"/>
        <rFont val="Calibri"/>
      </rPr>
      <t xml:space="preserve">
</t>
    </r>
    <r>
      <rPr>
        <sz val="11"/>
        <color rgb="FF000000"/>
        <rFont val="Calibri"/>
      </rPr>
      <t>root</t>
    </r>
    <r>
      <rPr>
        <sz val="11"/>
        <color rgb="FF000000"/>
        <rFont val="Calibri"/>
      </rPr>
      <t xml:space="preserve">
</t>
    </r>
    <r>
      <rPr>
        <sz val="11"/>
        <color rgb="FF000000"/>
        <rFont val="Calibri"/>
      </rPr>
      <t>If "root" is not returned as a result, this is a finding.</t>
    </r>
  </si>
  <si>
    <t>V-248563</t>
  </si>
  <si>
    <r>
      <rPr>
        <sz val="11"/>
        <rFont val="Calibri"/>
      </rPr>
      <t>The OL 8 SSH server must be configured to use strong entropy.</t>
    </r>
  </si>
  <si>
    <r>
      <rPr>
        <sz val="11"/>
        <color rgb="FF000000"/>
        <rFont val="Calibri"/>
      </rPr>
      <t xml:space="preserve">Configure the operating system SSH server to use strong entropy.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line in the "/etc/sysconfig/sshd"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SSH_USE_STRONG_RNG=32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 SSH service must be restarted for changes to take effect.</t>
    </r>
  </si>
  <si>
    <r>
      <rPr>
        <sz val="11"/>
        <color rgb="FF000000"/>
        <rFont val="Calibri"/>
      </rPr>
      <t xml:space="preserve">The most important characteristic of a random number generator is its randomness, namely its ability to deliver random numbers that are impossible to predict. Entropy in computer security is associated with the unpredictability of a source of randomness. The random source with high entropy tends to achieve a uniform distribution of random values. Random number generators are one of the most important building blocks of cryptosystems.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 SSH implementation in OL 8 uses the OPENSSL library, which does not use high-entropy sources by default. By using the SSH_USE_STRONG_RNG environment variable, the OPENSSL random generator is reseeded from "/dev/random". This setting is not recommended on computers without the hardware random generator because insufficient entropy causes the connection to be blocked until enough entropy is available.</t>
    </r>
  </si>
  <si>
    <r>
      <rPr>
        <sz val="11"/>
        <color rgb="FF000000"/>
        <rFont val="Calibri"/>
      </rPr>
      <t xml:space="preserve">Verify the operating system SSH server uses strong entropy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grep -i ssh_use_strong_rng /etc/sysconfig/sshd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SSH_USE_STRONG_RNG=32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"SSH_USE_STRONG_RNG" line does not equal "32" or is commented out or missing, this is a finding.</t>
    </r>
  </si>
  <si>
    <t>V-248567</t>
  </si>
  <si>
    <r>
      <rPr>
        <sz val="11"/>
        <rFont val="Calibri"/>
      </rPr>
      <t>OL 8 system commands must have mode 755 or less permissive.</t>
    </r>
  </si>
  <si>
    <r>
      <rPr>
        <sz val="11"/>
        <color rgb="FF000000"/>
        <rFont val="Calibri"/>
      </rPr>
      <t xml:space="preserve">Configure the system commands to be protected from unauthorized access.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Run the following command, replacing "[FILE]" with any system command with a mode more permissive than "755".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chmod 755 [FILE]</t>
    </r>
  </si>
  <si>
    <r>
      <rPr>
        <sz val="11"/>
        <color rgb="FF000000"/>
        <rFont val="Calibri"/>
      </rPr>
      <t xml:space="preserve">If OL 8 were to allow any user to make changes to software libraries, those changes might be implemented without undergoing the appropriate testing and approvals that are part of a robust change management process.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This requirement applies to OL 8 with software libraries that are accessible and configurable, as in the case of interpreted languages. Software libraries also include privileged programs that execute with escalated privileges. Only qualified and authorized individuals must be allowed to obtain access to information system components for purposes of initiating changes, including upgrades and modifications.</t>
    </r>
  </si>
  <si>
    <r>
      <rPr>
        <sz val="11"/>
        <color rgb="FF000000"/>
        <rFont val="Calibri"/>
      </rPr>
      <t xml:space="preserve">Verify the system commands contained in the following directories have mode "755" or less permissive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find -L /bin /sbin /usr/bin /usr/sbin /usr/local/bin /usr/local/sbin -perm /022 -exec ls -l {}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any system commands are found to be group-writable or world-writable, this is a finding.</t>
    </r>
  </si>
  <si>
    <t>V-248568</t>
  </si>
  <si>
    <r>
      <rPr>
        <sz val="11"/>
        <rFont val="Calibri"/>
      </rPr>
      <t>OL 8 system commands must be owned by root.</t>
    </r>
  </si>
  <si>
    <r>
      <rPr>
        <sz val="11"/>
        <color rgb="FF000000"/>
        <rFont val="Calibri"/>
      </rPr>
      <t xml:space="preserve">Configure the system commands to be protected from unauthorized access.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Run the following command, replacing "[FILE]" with any system command file not owned by "root".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chown root [FILE]</t>
    </r>
  </si>
  <si>
    <r>
      <rPr>
        <sz val="11"/>
        <color rgb="FF000000"/>
        <rFont val="Calibri"/>
      </rPr>
      <t xml:space="preserve">Verify the system commands contained in the following directories are owned by "root"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find -L /bin /sbin /usr/bin /usr/sbin /usr/local/bin /usr/local/sbin ! -user root -exec ls -l {} \;</t>
    </r>
    <r>
      <rPr>
        <sz val="11"/>
        <color rgb="FF000000"/>
        <rFont val="Calibri"/>
      </rPr>
      <t xml:space="preserve">
</t>
    </r>
    <r>
      <rPr>
        <sz val="11"/>
        <color rgb="FF000000"/>
        <rFont val="Calibri"/>
      </rPr>
      <t>If any system commands are returned, this is a finding.</t>
    </r>
  </si>
  <si>
    <t>V-248569</t>
  </si>
  <si>
    <r>
      <rPr>
        <sz val="11"/>
        <rFont val="Calibri"/>
      </rPr>
      <t>OL 8 system commands must be group-owned by root or a system account.</t>
    </r>
  </si>
  <si>
    <r>
      <rPr>
        <sz val="11"/>
        <color rgb="FF000000"/>
        <rFont val="Calibri"/>
      </rPr>
      <t>Configure the system commands to be protected from unauthorized access.</t>
    </r>
    <r>
      <rPr>
        <sz val="11"/>
        <color rgb="FF000000"/>
        <rFont val="Calibri"/>
      </rPr>
      <t xml:space="preserve">
</t>
    </r>
    <r>
      <rPr>
        <sz val="11"/>
        <color rgb="FF000000"/>
        <rFont val="Calibri"/>
      </rPr>
      <t>Run the following command, replacing "[FILE]" with any system command file not group-owned by "root" or a required system account.</t>
    </r>
    <r>
      <rPr>
        <sz val="11"/>
        <color rgb="FF000000"/>
        <rFont val="Calibri"/>
      </rPr>
      <t xml:space="preserve">
</t>
    </r>
    <r>
      <rPr>
        <sz val="11"/>
        <color rgb="FF000000"/>
        <rFont val="Calibri"/>
      </rPr>
      <t>$ sudo chgrp root [FILE]</t>
    </r>
  </si>
  <si>
    <r>
      <rPr>
        <sz val="11"/>
        <color rgb="FF000000"/>
        <rFont val="Calibri"/>
      </rPr>
      <t xml:space="preserve">Verify the system commands contained in the following directories are group-owned by "root" or a required system account,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find -L /bin /sbin /usr/bin /usr/sbin /usr/local/bin /usr/local/sbin ! -group root -exec ls -l {} \;</t>
    </r>
    <r>
      <rPr>
        <sz val="11"/>
        <color rgb="FF000000"/>
        <rFont val="Calibri"/>
      </rPr>
      <t xml:space="preserve">
</t>
    </r>
    <r>
      <rPr>
        <sz val="11"/>
        <color rgb="FF000000"/>
        <rFont val="Calibri"/>
      </rPr>
      <t>If any system commands are returned and is not group-owned by a required system account, this is a finding.</t>
    </r>
  </si>
  <si>
    <t>V-248570</t>
  </si>
  <si>
    <r>
      <rPr>
        <sz val="11"/>
        <rFont val="Calibri"/>
      </rPr>
      <t>OL 8 library files must have mode 755 or less permissive.</t>
    </r>
  </si>
  <si>
    <r>
      <rPr>
        <sz val="11"/>
        <color rgb="FF000000"/>
        <rFont val="Calibri"/>
      </rPr>
      <t>Configure the systemwide shared library files contained in the directories "/lib", "/lib64", "/usr/lib", and "/usr/lib64" have mode 0755 or less permissive with the following command.</t>
    </r>
    <r>
      <rPr>
        <sz val="11"/>
        <color rgb="FF000000"/>
        <rFont val="Calibri"/>
      </rPr>
      <t xml:space="preserve">
</t>
    </r>
    <r>
      <rPr>
        <sz val="11"/>
        <color rgb="FF000000"/>
        <rFont val="Calibri"/>
      </rPr>
      <t>$ sudo find /lib /lib64 /usr/lib /usr/lib64 -type f -name '*.so*' -perm /022 -exec chmod go-w {} +</t>
    </r>
  </si>
  <si>
    <r>
      <rPr>
        <sz val="11"/>
        <color rgb="FF000000"/>
        <rFont val="Calibri"/>
      </rPr>
      <t>Verify the systemwide shared library files contained in the directories "/lib", "/lib64", "/usr/lib", and "/usr/lib64" have mode 0755 or less permissive.</t>
    </r>
    <r>
      <rPr>
        <sz val="11"/>
        <color rgb="FF000000"/>
        <rFont val="Calibri"/>
      </rPr>
      <t xml:space="preserve">
</t>
    </r>
    <r>
      <rPr>
        <sz val="11"/>
        <color rgb="FF000000"/>
        <rFont val="Calibri"/>
      </rPr>
      <t>Check that the systemwide shared library files have mode 0755 or less permissive with the following command:</t>
    </r>
    <r>
      <rPr>
        <sz val="11"/>
        <color rgb="FF000000"/>
        <rFont val="Calibri"/>
      </rPr>
      <t xml:space="preserve">
</t>
    </r>
    <r>
      <rPr>
        <sz val="11"/>
        <color rgb="FF000000"/>
        <rFont val="Calibri"/>
      </rPr>
      <t>$ sudo find /lib /lib64 /usr/lib /usr/lib64 -type f -name '*.so*' -perm /022 -exec stat -c "%n %a" {} +</t>
    </r>
    <r>
      <rPr>
        <sz val="11"/>
        <color rgb="FF000000"/>
        <rFont val="Calibri"/>
      </rPr>
      <t xml:space="preserve">
</t>
    </r>
    <r>
      <rPr>
        <sz val="11"/>
        <color rgb="FF000000"/>
        <rFont val="Calibri"/>
      </rPr>
      <t>If any output is returned, this is a finding.</t>
    </r>
  </si>
  <si>
    <t>V-248571</t>
  </si>
  <si>
    <r>
      <rPr>
        <sz val="11"/>
        <rFont val="Calibri"/>
      </rPr>
      <t>OL 8 library files must be owned by root.</t>
    </r>
  </si>
  <si>
    <r>
      <rPr>
        <sz val="11"/>
        <color rgb="FF000000"/>
        <rFont val="Calibri"/>
      </rPr>
      <t>Configure the systemwide shared library files contained in the directories "/lib", "/lib64", "/usr/lib", and "/usr/lib64" to be owned by root with the following command:</t>
    </r>
    <r>
      <rPr>
        <sz val="11"/>
        <color rgb="FF000000"/>
        <rFont val="Calibri"/>
      </rPr>
      <t xml:space="preserve">
</t>
    </r>
    <r>
      <rPr>
        <sz val="11"/>
        <color rgb="FF000000"/>
        <rFont val="Calibri"/>
      </rPr>
      <t>$ sudo find /lib /lib64 /usr/lib /usr/lib64 -type f -name '*.so*' ! -user root -exec chown root {} +</t>
    </r>
  </si>
  <si>
    <r>
      <rPr>
        <sz val="11"/>
        <color rgb="FF000000"/>
        <rFont val="Calibri"/>
      </rPr>
      <t>Verify the systemwide shared library files contained in the directories "/lib", "/lib64", "/usr/lib", and "/usr/lib64" are owned by root with the following command:</t>
    </r>
    <r>
      <rPr>
        <sz val="11"/>
        <color rgb="FF000000"/>
        <rFont val="Calibri"/>
      </rPr>
      <t xml:space="preserve">
</t>
    </r>
    <r>
      <rPr>
        <sz val="11"/>
        <color rgb="FF000000"/>
        <rFont val="Calibri"/>
      </rPr>
      <t>$ sudo find /lib /lib64 /usr/lib /usr/lib64 -type f -name '*.so*' ! -user root -exec stat -c "%n %U" {} +</t>
    </r>
    <r>
      <rPr>
        <sz val="11"/>
        <color rgb="FF000000"/>
        <rFont val="Calibri"/>
      </rPr>
      <t xml:space="preserve">
</t>
    </r>
    <r>
      <rPr>
        <sz val="11"/>
        <color rgb="FF000000"/>
        <rFont val="Calibri"/>
      </rPr>
      <t>If any output is returned, this is a finding.</t>
    </r>
  </si>
  <si>
    <t>V-248572</t>
  </si>
  <si>
    <r>
      <rPr>
        <sz val="11"/>
        <rFont val="Calibri"/>
      </rPr>
      <t>OL 8 library files must be group-owned by root.</t>
    </r>
  </si>
  <si>
    <r>
      <rPr>
        <sz val="11"/>
        <color rgb="FF000000"/>
        <rFont val="Calibri"/>
      </rPr>
      <t>Configure the systemwide shared library files contained in the directories "/lib", "/lib64", "/usr/lib", and "/usr/lib64" are group owned by root with the following command:</t>
    </r>
    <r>
      <rPr>
        <sz val="11"/>
        <color rgb="FF000000"/>
        <rFont val="Calibri"/>
      </rPr>
      <t xml:space="preserve">
</t>
    </r>
    <r>
      <rPr>
        <sz val="11"/>
        <color rgb="FF000000"/>
        <rFont val="Calibri"/>
      </rPr>
      <t>$ sudo find /lib /lib64 /usr/lib /usr/lib64 -type f -name '*.so*' ! -group root -exec chown :root {} +</t>
    </r>
  </si>
  <si>
    <r>
      <rPr>
        <sz val="11"/>
        <color rgb="FF000000"/>
        <rFont val="Calibri"/>
      </rPr>
      <t>If OL 8 were to allow any user to make changes to software libraries, those changes might be implemented without undergoing the appropriate testing and approvals that are part of a robust change management process.</t>
    </r>
    <r>
      <rPr>
        <sz val="11"/>
        <color rgb="FF000000"/>
        <rFont val="Calibri"/>
      </rPr>
      <t xml:space="preserve">
</t>
    </r>
    <r>
      <rPr>
        <sz val="11"/>
        <color rgb="FF000000"/>
        <rFont val="Calibri"/>
      </rPr>
      <t>This requirement applies to OL 8 with software libraries that are accessible and configurable, as in the case of interpreted languages. Software libraries also include privileged programs that execute with escalated privileges. Only qualified and authorized individuals must be allowed to obtain access to information system components for purposes of initiating changes, including upgrades and modifications.</t>
    </r>
  </si>
  <si>
    <r>
      <rPr>
        <sz val="11"/>
        <color rgb="FF000000"/>
        <rFont val="Calibri"/>
      </rPr>
      <t>Verify the systemwide shared library files contained in the directories "/lib", "/lib64", "/usr/lib", and "/usr/lib64" are group owned by root with the following command:</t>
    </r>
    <r>
      <rPr>
        <sz val="11"/>
        <color rgb="FF000000"/>
        <rFont val="Calibri"/>
      </rPr>
      <t xml:space="preserve">
</t>
    </r>
    <r>
      <rPr>
        <sz val="11"/>
        <color rgb="FF000000"/>
        <rFont val="Calibri"/>
      </rPr>
      <t>$ sudo find /lib /lib64 /usr/lib /usr/lib64 -type f -name '*.so*' ! -group root -exec stat -c "%n %G" {} +</t>
    </r>
    <r>
      <rPr>
        <sz val="11"/>
        <color rgb="FF000000"/>
        <rFont val="Calibri"/>
      </rPr>
      <t xml:space="preserve">
</t>
    </r>
    <r>
      <rPr>
        <sz val="11"/>
        <color rgb="FF000000"/>
        <rFont val="Calibri"/>
      </rPr>
      <t>If any output is returned, this is a finding.</t>
    </r>
  </si>
  <si>
    <t>V-248573</t>
  </si>
  <si>
    <r>
      <rPr>
        <sz val="11"/>
        <rFont val="Calibri"/>
      </rPr>
      <t>The OL 8 file integrity tool must notify the system administrator (SA) when changes to the baseline configuration or anomalies in the operation of any security functions are discovered within an organizationally defined frequency.</t>
    </r>
  </si>
  <si>
    <r>
      <rPr>
        <sz val="11"/>
        <color rgb="FF000000"/>
        <rFont val="Calibri"/>
      </rPr>
      <t>Configure the file integrity tool to run automatically on the system at least weekly and to notify designated personnel if baseline configurations are changed in an unauthorized manner. The AIDE tool can be configured to email designated personnel with the use of the cron system.</t>
    </r>
    <r>
      <rPr>
        <sz val="11"/>
        <color rgb="FF000000"/>
        <rFont val="Calibri"/>
      </rPr>
      <t xml:space="preserve">
</t>
    </r>
    <r>
      <rPr>
        <sz val="11"/>
        <color rgb="FF000000"/>
        <rFont val="Calibri"/>
      </rPr>
      <t>The following example output is generic. It will set cron to run AIDE daily and to send an email at the completion of the analysis. The file path in the more command is exemplary. Common paths include /etc/cron.d/&lt;filename&gt;, /etc/cron.daily/&lt;filename&gt;, /etc/cron.hourly/&lt;filename&gt;, /etc/cron.weekly/&lt;filename&gt;, or /etc/cron.monthly/&lt;filename&gt;.</t>
    </r>
    <r>
      <rPr>
        <sz val="11"/>
        <color rgb="FF000000"/>
        <rFont val="Calibri"/>
      </rPr>
      <t xml:space="preserve">
</t>
    </r>
    <r>
      <rPr>
        <sz val="11"/>
        <color rgb="FF000000"/>
        <rFont val="Calibri"/>
      </rPr>
      <t>$ sudo more /etc/cron.daily/aide</t>
    </r>
    <r>
      <rPr>
        <sz val="11"/>
        <color rgb="FF000000"/>
        <rFont val="Calibri"/>
      </rPr>
      <t xml:space="preserve">
</t>
    </r>
    <r>
      <rPr>
        <sz val="11"/>
        <color rgb="FF000000"/>
        <rFont val="Calibri"/>
      </rPr>
      <t>#!/bin/bash</t>
    </r>
    <r>
      <rPr>
        <sz val="11"/>
        <color rgb="FF000000"/>
        <rFont val="Calibri"/>
      </rPr>
      <t xml:space="preserve">
</t>
    </r>
    <r>
      <rPr>
        <sz val="11"/>
        <color rgb="FF000000"/>
        <rFont val="Calibri"/>
      </rPr>
      <t>/usr/sbin/aide --check |/bin/mail -s "$HOSTNAME - Daily AIDE integrity check run" root@example_server_name.mil</t>
    </r>
    <r>
      <rPr>
        <sz val="11"/>
        <color rgb="FF000000"/>
        <rFont val="Calibri"/>
      </rPr>
      <t xml:space="preserve">
</t>
    </r>
    <r>
      <rPr>
        <sz val="11"/>
        <color rgb="FF000000"/>
        <rFont val="Calibri"/>
      </rPr>
      <t>Note: Per requirement OL08-00-010358, the "mailx" package must be installed on the system to enable email functionality.</t>
    </r>
  </si>
  <si>
    <r>
      <rPr>
        <sz val="11"/>
        <color rgb="FF000000"/>
        <rFont val="Calibri"/>
      </rPr>
      <t>Unauthorized changes to the baseline configuration could make the system vulnerable to various attacks or allow unauthorized access to the operating system. Changes to operating system configurations can have unintended side effects, some of which may be relevant to security.</t>
    </r>
    <r>
      <rPr>
        <sz val="11"/>
        <color rgb="FF000000"/>
        <rFont val="Calibri"/>
      </rPr>
      <t xml:space="preserve">
</t>
    </r>
    <r>
      <rPr>
        <sz val="11"/>
        <color rgb="FF000000"/>
        <rFont val="Calibri"/>
      </rPr>
      <t>Detecting such changes and providing an automated response can help avoid unintended, negative consequences that could ultimately affect the security state of the operating system. The operating system's information system security manager (ISSM)/information system security officer (ISSO) and SAs must be notified via email and/or monitoring system trap when there is an unauthorized modification of a configuration item.</t>
    </r>
    <r>
      <rPr>
        <sz val="11"/>
        <color rgb="FF000000"/>
        <rFont val="Calibri"/>
      </rPr>
      <t xml:space="preserve">
</t>
    </r>
    <r>
      <rPr>
        <sz val="11"/>
        <color rgb="FF000000"/>
        <rFont val="Calibri"/>
      </rPr>
      <t>Notifications provided by information systems include messages to local computer consoles and/or hardware indications, such as lights.</t>
    </r>
    <r>
      <rPr>
        <sz val="11"/>
        <color rgb="FF000000"/>
        <rFont val="Calibri"/>
      </rPr>
      <t xml:space="preserve">
</t>
    </r>
    <r>
      <rPr>
        <sz val="11"/>
        <color rgb="FF000000"/>
        <rFont val="Calibri"/>
      </rPr>
      <t>This capability must take into account operational requirements for availability for selecting an appropriate response. The organization may choose to shut down or restart the information system upon security function anomaly detection.</t>
    </r>
    <r>
      <rPr>
        <sz val="11"/>
        <color rgb="FF000000"/>
        <rFont val="Calibri"/>
      </rPr>
      <t xml:space="preserve">
</t>
    </r>
    <r>
      <rPr>
        <sz val="11"/>
        <color rgb="FF000000"/>
        <rFont val="Calibri"/>
      </rPr>
      <t>OL 8 comes with many optional software packages, including the file integrity tool Advanced Intrusion Detection Environment (AIDE). This requirement assumes the use of AIDE; however, a different tool may be used if the requirements are met. Note that AIDE does not have a configuration that will send a notification, so a cron job is recommended that uses the mail application on the system to email the results of the file integrity check.</t>
    </r>
    <r>
      <rPr>
        <sz val="11"/>
        <color rgb="FF000000"/>
        <rFont val="Calibri"/>
      </rPr>
      <t xml:space="preserve">
</t>
    </r>
    <r>
      <rPr>
        <sz val="11"/>
        <color rgb="FF000000"/>
        <rFont val="Calibri"/>
      </rPr>
      <t>Satisfies: SRG-OS-000363-GPOS-00150, SRG-OS-000446-GPOS-00200, SRG-OS-000447-GPOS-00201</t>
    </r>
  </si>
  <si>
    <r>
      <rPr>
        <sz val="11"/>
        <color rgb="FF000000"/>
        <rFont val="Calibri"/>
      </rPr>
      <t>Verify the operating system routinely checks the baseline configuration for unauthorized changes and notifies the SA when anomalies in the operation of any security functions are discovered.</t>
    </r>
    <r>
      <rPr>
        <sz val="11"/>
        <color rgb="FF000000"/>
        <rFont val="Calibri"/>
      </rPr>
      <t xml:space="preserve">
</t>
    </r>
    <r>
      <rPr>
        <sz val="11"/>
        <color rgb="FF000000"/>
        <rFont val="Calibri"/>
      </rPr>
      <t>Check that OL 8 routinely executes a file integrity scan for changes to the system baseline. The command used in the example will use a daily occurrence.</t>
    </r>
    <r>
      <rPr>
        <sz val="11"/>
        <color rgb="FF000000"/>
        <rFont val="Calibri"/>
      </rPr>
      <t xml:space="preserve">
</t>
    </r>
    <r>
      <rPr>
        <sz val="11"/>
        <color rgb="FF000000"/>
        <rFont val="Calibri"/>
      </rPr>
      <t>Check the cron directories for scripts controlling the execution and notification of results of the file integrity application. For example, if AIDE is installed on the system, use the following commands:</t>
    </r>
    <r>
      <rPr>
        <sz val="11"/>
        <color rgb="FF000000"/>
        <rFont val="Calibri"/>
      </rPr>
      <t xml:space="preserve">
</t>
    </r>
    <r>
      <rPr>
        <sz val="11"/>
        <color rgb="FF000000"/>
        <rFont val="Calibri"/>
      </rPr>
      <t>To search for an aide script:</t>
    </r>
    <r>
      <rPr>
        <sz val="11"/>
        <color rgb="FF000000"/>
        <rFont val="Calibri"/>
      </rPr>
      <t xml:space="preserve">
</t>
    </r>
    <r>
      <rPr>
        <sz val="11"/>
        <color rgb="FF000000"/>
        <rFont val="Calibri"/>
      </rPr>
      <t>$ sudo find /usr/local/bin /root /usr/sbin /usr/bin -type f -name aide</t>
    </r>
    <r>
      <rPr>
        <sz val="11"/>
        <color rgb="FF000000"/>
        <rFont val="Calibri"/>
      </rPr>
      <t xml:space="preserve">
</t>
    </r>
    <r>
      <rPr>
        <sz val="11"/>
        <color rgb="FF000000"/>
        <rFont val="Calibri"/>
      </rPr>
      <t>To search for scheduled cron jobs:</t>
    </r>
    <r>
      <rPr>
        <sz val="11"/>
        <color rgb="FF000000"/>
        <rFont val="Calibri"/>
      </rPr>
      <t xml:space="preserve">
</t>
    </r>
    <r>
      <rPr>
        <sz val="11"/>
        <color rgb="FF000000"/>
        <rFont val="Calibri"/>
      </rPr>
      <t>$ sudo grep -r aide /etc/cron* /var/spool/cron /etc/anacrontab 2&gt;/dev/null</t>
    </r>
    <r>
      <rPr>
        <sz val="11"/>
        <color rgb="FF000000"/>
        <rFont val="Calibri"/>
      </rPr>
      <t xml:space="preserve">
</t>
    </r>
    <r>
      <rPr>
        <sz val="11"/>
        <color rgb="FF000000"/>
        <rFont val="Calibri"/>
      </rPr>
      <t>/etc/cron.daily/aide: /usr/sbin/aide --check | /bin/mail -s "$HOSTNAME - Daily AIDE integrity check run" root@example_server_name.mil</t>
    </r>
    <r>
      <rPr>
        <sz val="11"/>
        <color rgb="FF000000"/>
        <rFont val="Calibri"/>
      </rPr>
      <t xml:space="preserve">
</t>
    </r>
    <r>
      <rPr>
        <sz val="11"/>
        <color rgb="FF000000"/>
        <rFont val="Calibri"/>
      </rPr>
      <t>Verify the contents of the scripts listed in the output and confirm that AIDE is configured to run automatically on at least a weekly basis.</t>
    </r>
    <r>
      <rPr>
        <sz val="11"/>
        <color rgb="FF000000"/>
        <rFont val="Calibri"/>
      </rPr>
      <t xml:space="preserve">
</t>
    </r>
    <r>
      <rPr>
        <sz val="11"/>
        <color rgb="FF000000"/>
        <rFont val="Calibri"/>
      </rPr>
      <t>If the file integrity application does not exist, a script file controlling the execution of the integrity application does not exist, or the file integrity application does not notify designated personnel of changes, this is a finding.</t>
    </r>
  </si>
  <si>
    <t>V-248574</t>
  </si>
  <si>
    <r>
      <rPr>
        <sz val="11"/>
        <rFont val="Calibri"/>
      </rPr>
      <t>YUM must be configured to prevent the installation of patches, service packs, device drivers, or OL 8 system components that have not been digitally signed using a certificate that is recognized and approved by the organization.</t>
    </r>
  </si>
  <si>
    <r>
      <rPr>
        <sz val="11"/>
        <color rgb="FF000000"/>
        <rFont val="Calibri"/>
      </rPr>
      <t>Configure OL 8 to verify the signature of packages from a repository prior to install by setting the following option in the "/etc/yum.repos.d/[your_repo_name].repo" file:</t>
    </r>
    <r>
      <rPr>
        <sz val="11"/>
        <color rgb="FF000000"/>
        <rFont val="Calibri"/>
      </rPr>
      <t xml:space="preserve">
</t>
    </r>
    <r>
      <rPr>
        <sz val="11"/>
        <color rgb="FF000000"/>
        <rFont val="Calibri"/>
      </rPr>
      <t>gpgcheck=1</t>
    </r>
  </si>
  <si>
    <r>
      <rPr>
        <sz val="11"/>
        <color rgb="FF000000"/>
        <rFont val="Calibri"/>
      </rPr>
      <t>Changes to any software components can have significant effects on the overall security of the operating system. This requirement ensures the software has not been tampered with and that it has been provided by a trusted vendor.</t>
    </r>
    <r>
      <rPr>
        <sz val="11"/>
        <color rgb="FF000000"/>
        <rFont val="Calibri"/>
      </rPr>
      <t xml:space="preserve">
</t>
    </r>
    <r>
      <rPr>
        <sz val="11"/>
        <color rgb="FF000000"/>
        <rFont val="Calibri"/>
      </rPr>
      <t>Accordingly, patches, service packs, device drivers, or operating system components must be signed with a certificate recognized and approved by the organization.</t>
    </r>
    <r>
      <rPr>
        <sz val="11"/>
        <color rgb="FF000000"/>
        <rFont val="Calibri"/>
      </rPr>
      <t xml:space="preserve">
</t>
    </r>
    <r>
      <rPr>
        <sz val="11"/>
        <color rgb="FF000000"/>
        <rFont val="Calibri"/>
      </rPr>
      <t>Verifying the authenticity of the software prior to installation validates the integrity of the patch or upgrade received from a vendor. This verifies the software has not been tampered with and that it has been provided by a trusted vendor. Self-signed certificates are disallowed by this requirement. The operating system should not have to verify the software again. This requirement does not mandate DOD certificates for this purpose; however, the certificate used to verify the software must be from an approved Certificate Authority (CA).</t>
    </r>
  </si>
  <si>
    <r>
      <rPr>
        <sz val="11"/>
        <color rgb="FF000000"/>
        <rFont val="Calibri"/>
      </rPr>
      <t>Check that YUM verifies the signature of packages from a repository prior to install with the following command:</t>
    </r>
    <r>
      <rPr>
        <sz val="11"/>
        <color rgb="FF000000"/>
        <rFont val="Calibri"/>
      </rPr>
      <t xml:space="preserve">
</t>
    </r>
    <r>
      <rPr>
        <sz val="11"/>
        <color rgb="FF000000"/>
        <rFont val="Calibri"/>
      </rPr>
      <t>$ sudo grep gpgcheck /etc/yum.repos.d/*.repo</t>
    </r>
    <r>
      <rPr>
        <sz val="11"/>
        <color rgb="FF000000"/>
        <rFont val="Calibri"/>
      </rPr>
      <t xml:space="preserve">
</t>
    </r>
    <r>
      <rPr>
        <sz val="11"/>
        <color rgb="FF000000"/>
        <rFont val="Calibri"/>
      </rPr>
      <t>gpgcheck=1</t>
    </r>
    <r>
      <rPr>
        <sz val="11"/>
        <color rgb="FF000000"/>
        <rFont val="Calibri"/>
      </rPr>
      <t xml:space="preserve">
</t>
    </r>
    <r>
      <rPr>
        <sz val="11"/>
        <color rgb="FF000000"/>
        <rFont val="Calibri"/>
      </rPr>
      <t>If "gpgcheck" is not set to "1", or if options are missing or commented out, ask the system administrator (SA) how the certificates for patches and other operating system components are verified.</t>
    </r>
    <r>
      <rPr>
        <sz val="11"/>
        <color rgb="FF000000"/>
        <rFont val="Calibri"/>
      </rPr>
      <t xml:space="preserve">
</t>
    </r>
    <r>
      <rPr>
        <sz val="11"/>
        <color rgb="FF000000"/>
        <rFont val="Calibri"/>
      </rPr>
      <t>If there is no process to validate certificates that is approved by the organization, this is a finding.</t>
    </r>
  </si>
  <si>
    <t>V-248575</t>
  </si>
  <si>
    <r>
      <rPr>
        <sz val="11"/>
        <rFont val="Calibri"/>
      </rPr>
      <t>OL 8 must prevent the installation of software, patches, service packs, device drivers, or operating system components of local packages without verification they have been digitally signed using a certificate that is issued by a Certificate Authority (CA) that is recognized and approved by the organization.</t>
    </r>
  </si>
  <si>
    <r>
      <rPr>
        <sz val="11"/>
        <color rgb="FF000000"/>
        <rFont val="Calibri"/>
      </rPr>
      <t>Configure the operating system to remove all software components after updated versions have been installed.</t>
    </r>
    <r>
      <rPr>
        <sz val="11"/>
        <color rgb="FF000000"/>
        <rFont val="Calibri"/>
      </rPr>
      <t xml:space="preserve">
</t>
    </r>
    <r>
      <rPr>
        <sz val="11"/>
        <color rgb="FF000000"/>
        <rFont val="Calibri"/>
      </rPr>
      <t>Set the "localpkg_gpgcheck" option to "True" in the "/etc/dnf/dnf.conf" file:</t>
    </r>
    <r>
      <rPr>
        <sz val="11"/>
        <color rgb="FF000000"/>
        <rFont val="Calibri"/>
      </rPr>
      <t xml:space="preserve">
</t>
    </r>
    <r>
      <rPr>
        <sz val="11"/>
        <color rgb="FF000000"/>
        <rFont val="Calibri"/>
      </rPr>
      <t>localpkg_gpgcheck=True</t>
    </r>
  </si>
  <si>
    <r>
      <rPr>
        <sz val="11"/>
        <color rgb="FF000000"/>
        <rFont val="Calibri"/>
      </rPr>
      <t>Verify the operating system prevents the installation of patches, service packs, device drivers, or operating system components from a repository without verification that they have been digitally signed using a certificate that is recognized and approved by the organization.</t>
    </r>
    <r>
      <rPr>
        <sz val="11"/>
        <color rgb="FF000000"/>
        <rFont val="Calibri"/>
      </rPr>
      <t xml:space="preserve">
</t>
    </r>
    <r>
      <rPr>
        <sz val="11"/>
        <color rgb="FF000000"/>
        <rFont val="Calibri"/>
      </rPr>
      <t>Check if YUM is configured to perform a signature check on local packages with the following command:</t>
    </r>
    <r>
      <rPr>
        <sz val="11"/>
        <color rgb="FF000000"/>
        <rFont val="Calibri"/>
      </rPr>
      <t xml:space="preserve">
</t>
    </r>
    <r>
      <rPr>
        <sz val="11"/>
        <color rgb="FF000000"/>
        <rFont val="Calibri"/>
      </rPr>
      <t>$ sudo grep -i localpkg_gpgcheck /etc/dnf/dnf.conf</t>
    </r>
    <r>
      <rPr>
        <sz val="11"/>
        <color rgb="FF000000"/>
        <rFont val="Calibri"/>
      </rPr>
      <t xml:space="preserve">
</t>
    </r>
    <r>
      <rPr>
        <sz val="11"/>
        <color rgb="FF000000"/>
        <rFont val="Calibri"/>
      </rPr>
      <t>localpkg_gpgcheck =True</t>
    </r>
    <r>
      <rPr>
        <sz val="11"/>
        <color rgb="FF000000"/>
        <rFont val="Calibri"/>
      </rPr>
      <t xml:space="preserve">
</t>
    </r>
    <r>
      <rPr>
        <sz val="11"/>
        <color rgb="FF000000"/>
        <rFont val="Calibri"/>
      </rPr>
      <t>If "localpkg_gpgcheck" is not set to either "1", "True", or "yes", commented out, or is missing from "/etc/dnf/dnf.conf", this is a finding.</t>
    </r>
  </si>
  <si>
    <t>V-248576</t>
  </si>
  <si>
    <r>
      <rPr>
        <sz val="11"/>
        <rFont val="Calibri"/>
      </rPr>
      <t>OL 8 must prevent the loading of a new kernel for later execution.</t>
    </r>
  </si>
  <si>
    <r>
      <rPr>
        <sz val="11"/>
        <color rgb="FF000000"/>
        <rFont val="Calibri"/>
      </rPr>
      <t>Configure OL 8 to prevent the loading of a new kernel for later execution.</t>
    </r>
    <r>
      <rPr>
        <sz val="11"/>
        <color rgb="FF000000"/>
        <rFont val="Calibri"/>
      </rPr>
      <t xml:space="preserve">
</t>
    </r>
    <r>
      <rPr>
        <sz val="11"/>
        <color rgb="FF000000"/>
        <rFont val="Calibri"/>
      </rPr>
      <t>Add or edit the following line in a system configuration file in the "/etc/sysctl.d/" directory:</t>
    </r>
    <r>
      <rPr>
        <sz val="11"/>
        <color rgb="FF000000"/>
        <rFont val="Calibri"/>
      </rPr>
      <t xml:space="preserve">
</t>
    </r>
    <r>
      <rPr>
        <sz val="11"/>
        <color rgb="FF000000"/>
        <rFont val="Calibri"/>
      </rPr>
      <t>kernel.kexec_load_disabled = 1</t>
    </r>
    <r>
      <rPr>
        <sz val="11"/>
        <color rgb="FF000000"/>
        <rFont val="Calibri"/>
      </rPr>
      <t xml:space="preserve">
</t>
    </r>
    <r>
      <rPr>
        <sz val="11"/>
        <color rgb="FF000000"/>
        <rFont val="Calibri"/>
      </rPr>
      <t>Load settings from all system configuration files with the following command:</t>
    </r>
    <r>
      <rPr>
        <sz val="11"/>
        <color rgb="FF000000"/>
        <rFont val="Calibri"/>
      </rPr>
      <t xml:space="preserve">
</t>
    </r>
    <r>
      <rPr>
        <sz val="11"/>
        <color rgb="FF000000"/>
        <rFont val="Calibri"/>
      </rPr>
      <t>$ sudo sysctl --system</t>
    </r>
  </si>
  <si>
    <r>
      <rPr>
        <sz val="11"/>
        <color rgb="FF000000"/>
        <rFont val="Calibri"/>
      </rPr>
      <t>Changes to any software components can have significant effects on the overall security of the operating system. This requirement ensures the software has not been tampered with and that it has been provided by a trusted vendor.</t>
    </r>
    <r>
      <rPr>
        <sz val="11"/>
        <color rgb="FF000000"/>
        <rFont val="Calibri"/>
      </rPr>
      <t xml:space="preserve">
</t>
    </r>
    <r>
      <rPr>
        <sz val="11"/>
        <color rgb="FF000000"/>
        <rFont val="Calibri"/>
      </rPr>
      <t>Disabling "kexec_load" prevents an unsigned kernel image (that could be a windows kernel or modified vulnerable kernel) from being loaded. Kexec can be used to subvert the entire secureboot process and should be avoided at all costs, especially since it can load unsigned kernel images.</t>
    </r>
    <r>
      <rPr>
        <sz val="11"/>
        <color rgb="FF000000"/>
        <rFont val="Calibri"/>
      </rPr>
      <t xml:space="preserve">
</t>
    </r>
    <r>
      <rPr>
        <sz val="11"/>
        <color rgb="FF000000"/>
        <rFont val="Calibri"/>
      </rPr>
      <t>The sysctl --system command will load settings from all system configuration files. All configuration files are sorted by their filename in lexicographical order, regardless of the directories in which they reside. If multiple files specify the same option, the entry in the file with the lexicographically latest name will take precedence. Files are read from directories in the following list from top to bottom. Once a file of a given filename is loaded, any file of the same name in subsequent directories is ignored.</t>
    </r>
    <r>
      <rPr>
        <sz val="11"/>
        <color rgb="FF000000"/>
        <rFont val="Calibri"/>
      </rPr>
      <t xml:space="preserve">
</t>
    </r>
    <r>
      <rPr>
        <sz val="11"/>
        <color rgb="FF000000"/>
        <rFont val="Calibri"/>
      </rPr>
      <t>/etc/sysctl.d/*.conf</t>
    </r>
    <r>
      <rPr>
        <sz val="11"/>
        <color rgb="FF000000"/>
        <rFont val="Calibri"/>
      </rPr>
      <t xml:space="preserve">
</t>
    </r>
    <r>
      <rPr>
        <sz val="11"/>
        <color rgb="FF000000"/>
        <rFont val="Calibri"/>
      </rPr>
      <t>/run/sysctl.d/*.conf</t>
    </r>
    <r>
      <rPr>
        <sz val="11"/>
        <color rgb="FF000000"/>
        <rFont val="Calibri"/>
      </rPr>
      <t xml:space="preserve">
</t>
    </r>
    <r>
      <rPr>
        <sz val="11"/>
        <color rgb="FF000000"/>
        <rFont val="Calibri"/>
      </rPr>
      <t>/usr/local/lib/sysctl.d/*.conf</t>
    </r>
    <r>
      <rPr>
        <sz val="11"/>
        <color rgb="FF000000"/>
        <rFont val="Calibri"/>
      </rPr>
      <t xml:space="preserve">
</t>
    </r>
    <r>
      <rPr>
        <sz val="11"/>
        <color rgb="FF000000"/>
        <rFont val="Calibri"/>
      </rPr>
      <t>/usr/lib/sysctl.d/*.conf</t>
    </r>
    <r>
      <rPr>
        <sz val="11"/>
        <color rgb="FF000000"/>
        <rFont val="Calibri"/>
      </rPr>
      <t xml:space="preserve">
</t>
    </r>
    <r>
      <rPr>
        <sz val="11"/>
        <color rgb="FF000000"/>
        <rFont val="Calibri"/>
      </rPr>
      <t>/lib/sysctl.d/*.conf</t>
    </r>
    <r>
      <rPr>
        <sz val="11"/>
        <color rgb="FF000000"/>
        <rFont val="Calibri"/>
      </rPr>
      <t xml:space="preserve">
</t>
    </r>
    <r>
      <rPr>
        <sz val="11"/>
        <color rgb="FF000000"/>
        <rFont val="Calibri"/>
      </rPr>
      <t>/etc/sysctl.conf</t>
    </r>
  </si>
  <si>
    <r>
      <rPr>
        <sz val="11"/>
        <color rgb="FF000000"/>
        <rFont val="Calibri"/>
      </rPr>
      <t>Note: For OL 8 systems using the Oracle Unbreakable Enterprise Kernel (UEK) Release 6 or above and with secureboot enabled, this requirement is Not Applicable.</t>
    </r>
    <r>
      <rPr>
        <sz val="11"/>
        <color rgb="FF000000"/>
        <rFont val="Calibri"/>
      </rPr>
      <t xml:space="preserve">
</t>
    </r>
    <r>
      <rPr>
        <sz val="11"/>
        <color rgb="FF000000"/>
        <rFont val="Calibri"/>
      </rPr>
      <t>Verify OL 8 is configured to disable kernel image loading.</t>
    </r>
    <r>
      <rPr>
        <sz val="11"/>
        <color rgb="FF000000"/>
        <rFont val="Calibri"/>
      </rPr>
      <t xml:space="preserve">
</t>
    </r>
    <r>
      <rPr>
        <sz val="11"/>
        <color rgb="FF000000"/>
        <rFont val="Calibri"/>
      </rPr>
      <t>Check the status of the kernel.kexec_load_disabled kernel parameter with the following command:</t>
    </r>
    <r>
      <rPr>
        <sz val="11"/>
        <color rgb="FF000000"/>
        <rFont val="Calibri"/>
      </rPr>
      <t xml:space="preserve">
</t>
    </r>
    <r>
      <rPr>
        <sz val="11"/>
        <color rgb="FF000000"/>
        <rFont val="Calibri"/>
      </rPr>
      <t>$ sysctl kernel.kexec_load_disabled</t>
    </r>
    <r>
      <rPr>
        <sz val="11"/>
        <color rgb="FF000000"/>
        <rFont val="Calibri"/>
      </rPr>
      <t xml:space="preserve">
</t>
    </r>
    <r>
      <rPr>
        <sz val="11"/>
        <color rgb="FF000000"/>
        <rFont val="Calibri"/>
      </rPr>
      <t>kernel.kexec_load_disabled = 1</t>
    </r>
    <r>
      <rPr>
        <sz val="11"/>
        <color rgb="FF000000"/>
        <rFont val="Calibri"/>
      </rPr>
      <t xml:space="preserve">
</t>
    </r>
    <r>
      <rPr>
        <sz val="11"/>
        <color rgb="FF000000"/>
        <rFont val="Calibri"/>
      </rPr>
      <t>If "kernel.kexec_load_disabled" is not set to "1" or is missing, this is a finding.</t>
    </r>
  </si>
  <si>
    <t>V-248577</t>
  </si>
  <si>
    <r>
      <rPr>
        <sz val="11"/>
        <rFont val="Calibri"/>
      </rPr>
      <t>OL 8 must enable kernel parameters to enforce Discretionary Access Control (DAC) on symlinks.</t>
    </r>
  </si>
  <si>
    <r>
      <rPr>
        <sz val="11"/>
        <color rgb="FF000000"/>
        <rFont val="Calibri"/>
      </rPr>
      <t>Configure OL 8 to enable DAC on symlinks with the following:</t>
    </r>
    <r>
      <rPr>
        <sz val="11"/>
        <color rgb="FF000000"/>
        <rFont val="Calibri"/>
      </rPr>
      <t xml:space="preserve">
</t>
    </r>
    <r>
      <rPr>
        <sz val="11"/>
        <color rgb="FF000000"/>
        <rFont val="Calibri"/>
      </rPr>
      <t>Add or edit the following line in a system configuration file in the "/etc/sysctl.d/" directory:</t>
    </r>
    <r>
      <rPr>
        <sz val="11"/>
        <color rgb="FF000000"/>
        <rFont val="Calibri"/>
      </rPr>
      <t xml:space="preserve">
</t>
    </r>
    <r>
      <rPr>
        <sz val="11"/>
        <color rgb="FF000000"/>
        <rFont val="Calibri"/>
      </rPr>
      <t>fs.protected_symlinks = 1</t>
    </r>
    <r>
      <rPr>
        <sz val="11"/>
        <color rgb="FF000000"/>
        <rFont val="Calibri"/>
      </rPr>
      <t xml:space="preserve">
</t>
    </r>
    <r>
      <rPr>
        <sz val="11"/>
        <color rgb="FF000000"/>
        <rFont val="Calibri"/>
      </rPr>
      <t>Load settings from all system configuration files with the following command:</t>
    </r>
    <r>
      <rPr>
        <sz val="11"/>
        <color rgb="FF000000"/>
        <rFont val="Calibri"/>
      </rPr>
      <t xml:space="preserve">
</t>
    </r>
    <r>
      <rPr>
        <sz val="11"/>
        <color rgb="FF000000"/>
        <rFont val="Calibri"/>
      </rPr>
      <t>$ sudo sysctl --system</t>
    </r>
  </si>
  <si>
    <r>
      <rPr>
        <sz val="11"/>
        <color rgb="FF000000"/>
        <rFont val="Calibri"/>
      </rPr>
      <t>DAC is based on the notion that individual users are "owners" of objects and therefore have discretion over who should be authorized to access the object and in which mode (e.g., read or write). Ownership is usually acquired as a consequence of creating the object or via specified ownership assignment. DAC allows the owner to determine who will have access to objects they control. An example of DAC includes user-controlled file permissions.</t>
    </r>
    <r>
      <rPr>
        <sz val="11"/>
        <color rgb="FF000000"/>
        <rFont val="Calibri"/>
      </rPr>
      <t xml:space="preserve">
</t>
    </r>
    <r>
      <rPr>
        <sz val="11"/>
        <color rgb="FF000000"/>
        <rFont val="Calibri"/>
      </rPr>
      <t>When DAC policies are implemented, subjects are not constrained as to what actions they can take with information for which they have already been granted access. Thus, subjects that have been granted access to information are not prevented from passing (i.e., the subjects have the discretion to pass) the information to other subjects or objects. A subject that is constrained in its operation by Mandatory Access Control (MAC) policies is still able to operate under the less rigorous constraints of this requirement. Therefore, while MAC imposes constraints preventing a subject from passing information to another subject operating at a different sensitivity level, this requirement permits the subject to pass the information to any subject at the same sensitivity level. The policy is bounded by the information system boundary. Once the information is passed outside the control of the information system, additional means may be required to ensure the constraints remain in effect. While the older, more traditional definitions of DAC require identity-based access control, that limitation is not required for this use of DAC.</t>
    </r>
    <r>
      <rPr>
        <sz val="11"/>
        <color rgb="FF000000"/>
        <rFont val="Calibri"/>
      </rPr>
      <t xml:space="preserve">
</t>
    </r>
    <r>
      <rPr>
        <sz val="11"/>
        <color rgb="FF000000"/>
        <rFont val="Calibri"/>
      </rPr>
      <t>By enabling the "fs.protected_symlinks" kernel parameter, symbolic links are permitted to be followed only when outside a sticky world-writable directory, or when the UID of the link and follower match, or when the directory owner matches the symlink's owner. Disallowing such symlinks helps mitigate vulnerabilities based on insecure file system accessed by privileged programs, avoiding an exploitation vector exploiting unsafe use of open() or creat().</t>
    </r>
    <r>
      <rPr>
        <sz val="11"/>
        <color rgb="FF000000"/>
        <rFont val="Calibri"/>
      </rPr>
      <t xml:space="preserve">
</t>
    </r>
    <r>
      <rPr>
        <sz val="11"/>
        <color rgb="FF000000"/>
        <rFont val="Calibri"/>
      </rPr>
      <t>The sysctl --system command will load settings from all system configuration files. All configuration files are sorted by their filename in lexicographical order, regardless of the directories in which they reside. If multiple files specify the same option, the entry in the file with the lexicographically latest name will take precedence. Files are read from directories in the following list from top to bottom. Once a file of a given filename is loaded, any file of the same name in subsequent directories is ignored.</t>
    </r>
    <r>
      <rPr>
        <sz val="11"/>
        <color rgb="FF000000"/>
        <rFont val="Calibri"/>
      </rPr>
      <t xml:space="preserve">
</t>
    </r>
    <r>
      <rPr>
        <sz val="11"/>
        <color rgb="FF000000"/>
        <rFont val="Calibri"/>
      </rPr>
      <t>/etc/sysctl.d/*.conf</t>
    </r>
    <r>
      <rPr>
        <sz val="11"/>
        <color rgb="FF000000"/>
        <rFont val="Calibri"/>
      </rPr>
      <t xml:space="preserve">
</t>
    </r>
    <r>
      <rPr>
        <sz val="11"/>
        <color rgb="FF000000"/>
        <rFont val="Calibri"/>
      </rPr>
      <t>/run/sysctl.d/*.conf</t>
    </r>
    <r>
      <rPr>
        <sz val="11"/>
        <color rgb="FF000000"/>
        <rFont val="Calibri"/>
      </rPr>
      <t xml:space="preserve">
</t>
    </r>
    <r>
      <rPr>
        <sz val="11"/>
        <color rgb="FF000000"/>
        <rFont val="Calibri"/>
      </rPr>
      <t>/usr/local/lib/sysctl.d/*.conf</t>
    </r>
    <r>
      <rPr>
        <sz val="11"/>
        <color rgb="FF000000"/>
        <rFont val="Calibri"/>
      </rPr>
      <t xml:space="preserve">
</t>
    </r>
    <r>
      <rPr>
        <sz val="11"/>
        <color rgb="FF000000"/>
        <rFont val="Calibri"/>
      </rPr>
      <t>/usr/lib/sysctl.d/*.conf</t>
    </r>
    <r>
      <rPr>
        <sz val="11"/>
        <color rgb="FF000000"/>
        <rFont val="Calibri"/>
      </rPr>
      <t xml:space="preserve">
</t>
    </r>
    <r>
      <rPr>
        <sz val="11"/>
        <color rgb="FF000000"/>
        <rFont val="Calibri"/>
      </rPr>
      <t>/lib/sysctl.d/*.conf</t>
    </r>
    <r>
      <rPr>
        <sz val="11"/>
        <color rgb="FF000000"/>
        <rFont val="Calibri"/>
      </rPr>
      <t xml:space="preserve">
</t>
    </r>
    <r>
      <rPr>
        <sz val="11"/>
        <color rgb="FF000000"/>
        <rFont val="Calibri"/>
      </rPr>
      <t>/etc/sysctl.conf</t>
    </r>
  </si>
  <si>
    <r>
      <rPr>
        <sz val="11"/>
        <color rgb="FF000000"/>
        <rFont val="Calibri"/>
      </rPr>
      <t>Verify OL 8 is configured to enable DAC on symlinks.</t>
    </r>
    <r>
      <rPr>
        <sz val="11"/>
        <color rgb="FF000000"/>
        <rFont val="Calibri"/>
      </rPr>
      <t xml:space="preserve">
</t>
    </r>
    <r>
      <rPr>
        <sz val="11"/>
        <color rgb="FF000000"/>
        <rFont val="Calibri"/>
      </rPr>
      <t>Check the status of the fs.protected_symlinks kernel parameter with the following command:</t>
    </r>
    <r>
      <rPr>
        <sz val="11"/>
        <color rgb="FF000000"/>
        <rFont val="Calibri"/>
      </rPr>
      <t xml:space="preserve">
</t>
    </r>
    <r>
      <rPr>
        <sz val="11"/>
        <color rgb="FF000000"/>
        <rFont val="Calibri"/>
      </rPr>
      <t>$ sudo sysctl fs.protected_symlinks</t>
    </r>
    <r>
      <rPr>
        <sz val="11"/>
        <color rgb="FF000000"/>
        <rFont val="Calibri"/>
      </rPr>
      <t xml:space="preserve">
</t>
    </r>
    <r>
      <rPr>
        <sz val="11"/>
        <color rgb="FF000000"/>
        <rFont val="Calibri"/>
      </rPr>
      <t>fs.protected_symlinks = 1</t>
    </r>
    <r>
      <rPr>
        <sz val="11"/>
        <color rgb="FF000000"/>
        <rFont val="Calibri"/>
      </rPr>
      <t xml:space="preserve">
</t>
    </r>
    <r>
      <rPr>
        <sz val="11"/>
        <color rgb="FF000000"/>
        <rFont val="Calibri"/>
      </rPr>
      <t>If "fs.protected_symlinks " is not set to "1" or is missing, this is a finding.</t>
    </r>
  </si>
  <si>
    <t>V-248578</t>
  </si>
  <si>
    <r>
      <rPr>
        <sz val="11"/>
        <rFont val="Calibri"/>
      </rPr>
      <t>OL 8 must enable kernel parameters to enforce Discretionary Access Control (DAC) on hardlinks.</t>
    </r>
  </si>
  <si>
    <r>
      <rPr>
        <sz val="11"/>
        <color rgb="FF000000"/>
        <rFont val="Calibri"/>
      </rPr>
      <t>Configure OL 8 to enable DAC on hardlinks with the following:</t>
    </r>
    <r>
      <rPr>
        <sz val="11"/>
        <color rgb="FF000000"/>
        <rFont val="Calibri"/>
      </rPr>
      <t xml:space="preserve">
</t>
    </r>
    <r>
      <rPr>
        <sz val="11"/>
        <color rgb="FF000000"/>
        <rFont val="Calibri"/>
      </rPr>
      <t>Add or edit the following line in a system configuration file in the "/etc/sysctl.d/" directory:</t>
    </r>
    <r>
      <rPr>
        <sz val="11"/>
        <color rgb="FF000000"/>
        <rFont val="Calibri"/>
      </rPr>
      <t xml:space="preserve">
</t>
    </r>
    <r>
      <rPr>
        <sz val="11"/>
        <color rgb="FF000000"/>
        <rFont val="Calibri"/>
      </rPr>
      <t>fs.protected_hardlinks = 1</t>
    </r>
    <r>
      <rPr>
        <sz val="11"/>
        <color rgb="FF000000"/>
        <rFont val="Calibri"/>
      </rPr>
      <t xml:space="preserve">
</t>
    </r>
    <r>
      <rPr>
        <sz val="11"/>
        <color rgb="FF000000"/>
        <rFont val="Calibri"/>
      </rPr>
      <t>Load settings from all system configuration files with the following command:</t>
    </r>
    <r>
      <rPr>
        <sz val="11"/>
        <color rgb="FF000000"/>
        <rFont val="Calibri"/>
      </rPr>
      <t xml:space="preserve">
</t>
    </r>
    <r>
      <rPr>
        <sz val="11"/>
        <color rgb="FF000000"/>
        <rFont val="Calibri"/>
      </rPr>
      <t>$ sudo sysctl --system</t>
    </r>
  </si>
  <si>
    <r>
      <rPr>
        <sz val="11"/>
        <color rgb="FF000000"/>
        <rFont val="Calibri"/>
      </rPr>
      <t>DAC is based on the notion that individual users are "owners" of objects and therefore have discretion over who should be authorized to access the object and in which mode (e.g., read or write). Ownership is usually acquired as a consequence of creating the object or via specified ownership assignment. DAC allows the owner to determine who will have access to objects they control. An example of DAC includes user-controlled file permissions.</t>
    </r>
    <r>
      <rPr>
        <sz val="11"/>
        <color rgb="FF000000"/>
        <rFont val="Calibri"/>
      </rPr>
      <t xml:space="preserve">
</t>
    </r>
    <r>
      <rPr>
        <sz val="11"/>
        <color rgb="FF000000"/>
        <rFont val="Calibri"/>
      </rPr>
      <t>When DAC policies are implemented, subjects are not constrained as to what actions they can take with information for which they have already been granted access. Thus, subjects that have been granted access to information are not prevented from passing (i.e., the subjects have the discretion to pass) the information to other subjects or objects. A subject that is constrained in its operation by Mandatory Access Control (MAC) policies is still able to operate under the less rigorous constraints of this requirement. Therefore, while MAC imposes constraints preventing a subject from passing information to another subject operating at a different sensitivity level, this requirement permits the subject to pass the information to any subject at the same sensitivity level. The policy is bounded by the information system boundary. Once the information is passed outside the control of the information system, additional means may be required to ensure the constraints remain in effect. While the older, more traditional definitions of DAC require identity-based access control, that limitation is not required for this use of DAC.</t>
    </r>
    <r>
      <rPr>
        <sz val="11"/>
        <color rgb="FF000000"/>
        <rFont val="Calibri"/>
      </rPr>
      <t xml:space="preserve">
</t>
    </r>
    <r>
      <rPr>
        <sz val="11"/>
        <color rgb="FF000000"/>
        <rFont val="Calibri"/>
      </rPr>
      <t>By enabling the "fs.protected_hardlinks" kernel parameter, users can no longer create soft or hard links to files they do not own. Disallowing such hardlinks mitigate vulnerabilities based on insecure file system accessed by privileged programs, avoiding an exploitation vector exploiting unsafe use of open() or creat().</t>
    </r>
    <r>
      <rPr>
        <sz val="11"/>
        <color rgb="FF000000"/>
        <rFont val="Calibri"/>
      </rPr>
      <t xml:space="preserve">
</t>
    </r>
    <r>
      <rPr>
        <sz val="11"/>
        <color rgb="FF000000"/>
        <rFont val="Calibri"/>
      </rPr>
      <t>The sysctl --system command will load settings from all system configuration files. All configuration files are sorted by their filename in lexicographical order, regardless of the directories in which they reside. If multiple files specify the same option, the entry in the file with the lexicographically latest name will take precedence. Files are read from directories in the following list from top to bottom. Once a file of a given filename is loaded, any file of the same name in subsequent directories is ignored.</t>
    </r>
    <r>
      <rPr>
        <sz val="11"/>
        <color rgb="FF000000"/>
        <rFont val="Calibri"/>
      </rPr>
      <t xml:space="preserve">
</t>
    </r>
    <r>
      <rPr>
        <sz val="11"/>
        <color rgb="FF000000"/>
        <rFont val="Calibri"/>
      </rPr>
      <t>/etc/sysctl.d/*.conf</t>
    </r>
    <r>
      <rPr>
        <sz val="11"/>
        <color rgb="FF000000"/>
        <rFont val="Calibri"/>
      </rPr>
      <t xml:space="preserve">
</t>
    </r>
    <r>
      <rPr>
        <sz val="11"/>
        <color rgb="FF000000"/>
        <rFont val="Calibri"/>
      </rPr>
      <t>/run/sysctl.d/*.conf</t>
    </r>
    <r>
      <rPr>
        <sz val="11"/>
        <color rgb="FF000000"/>
        <rFont val="Calibri"/>
      </rPr>
      <t xml:space="preserve">
</t>
    </r>
    <r>
      <rPr>
        <sz val="11"/>
        <color rgb="FF000000"/>
        <rFont val="Calibri"/>
      </rPr>
      <t>/usr/local/lib/sysctl.d/*.conf</t>
    </r>
    <r>
      <rPr>
        <sz val="11"/>
        <color rgb="FF000000"/>
        <rFont val="Calibri"/>
      </rPr>
      <t xml:space="preserve">
</t>
    </r>
    <r>
      <rPr>
        <sz val="11"/>
        <color rgb="FF000000"/>
        <rFont val="Calibri"/>
      </rPr>
      <t>/usr/lib/sysctl.d/*.conf</t>
    </r>
    <r>
      <rPr>
        <sz val="11"/>
        <color rgb="FF000000"/>
        <rFont val="Calibri"/>
      </rPr>
      <t xml:space="preserve">
</t>
    </r>
    <r>
      <rPr>
        <sz val="11"/>
        <color rgb="FF000000"/>
        <rFont val="Calibri"/>
      </rPr>
      <t>/lib/sysctl.d/*.conf</t>
    </r>
    <r>
      <rPr>
        <sz val="11"/>
        <color rgb="FF000000"/>
        <rFont val="Calibri"/>
      </rPr>
      <t xml:space="preserve">
</t>
    </r>
    <r>
      <rPr>
        <sz val="11"/>
        <color rgb="FF000000"/>
        <rFont val="Calibri"/>
      </rPr>
      <t>/etc/sysctl.conf</t>
    </r>
  </si>
  <si>
    <r>
      <rPr>
        <sz val="11"/>
        <color rgb="FF000000"/>
        <rFont val="Calibri"/>
      </rPr>
      <t>Verify OL 8 is configured to enable DAC on hardlinks.</t>
    </r>
    <r>
      <rPr>
        <sz val="11"/>
        <color rgb="FF000000"/>
        <rFont val="Calibri"/>
      </rPr>
      <t xml:space="preserve">
</t>
    </r>
    <r>
      <rPr>
        <sz val="11"/>
        <color rgb="FF000000"/>
        <rFont val="Calibri"/>
      </rPr>
      <t>Check the status of the fs.protected_hardlinks kernel parameter with the following command:</t>
    </r>
    <r>
      <rPr>
        <sz val="11"/>
        <color rgb="FF000000"/>
        <rFont val="Calibri"/>
      </rPr>
      <t xml:space="preserve">
</t>
    </r>
    <r>
      <rPr>
        <sz val="11"/>
        <color rgb="FF000000"/>
        <rFont val="Calibri"/>
      </rPr>
      <t>$ sudo sysctl fs.protected_hardlinks</t>
    </r>
    <r>
      <rPr>
        <sz val="11"/>
        <color rgb="FF000000"/>
        <rFont val="Calibri"/>
      </rPr>
      <t xml:space="preserve">
</t>
    </r>
    <r>
      <rPr>
        <sz val="11"/>
        <color rgb="FF000000"/>
        <rFont val="Calibri"/>
      </rPr>
      <t>fs.protected_hardlinks = 1</t>
    </r>
    <r>
      <rPr>
        <sz val="11"/>
        <color rgb="FF000000"/>
        <rFont val="Calibri"/>
      </rPr>
      <t xml:space="preserve">
</t>
    </r>
    <r>
      <rPr>
        <sz val="11"/>
        <color rgb="FF000000"/>
        <rFont val="Calibri"/>
      </rPr>
      <t>If "fs.protected_hardlinks" is not set to "1" or is missing, this is a finding.</t>
    </r>
  </si>
  <si>
    <t>V-248579</t>
  </si>
  <si>
    <r>
      <rPr>
        <sz val="11"/>
        <rFont val="Calibri"/>
      </rPr>
      <t>OL 8 must restrict access to the kernel message buffer.</t>
    </r>
  </si>
  <si>
    <r>
      <rPr>
        <sz val="11"/>
        <color rgb="FF000000"/>
        <rFont val="Calibri"/>
      </rPr>
      <t>Configure OL 8 to restrict access to the kernel message buffer.</t>
    </r>
    <r>
      <rPr>
        <sz val="11"/>
        <color rgb="FF000000"/>
        <rFont val="Calibri"/>
      </rPr>
      <t xml:space="preserve">
</t>
    </r>
    <r>
      <rPr>
        <sz val="11"/>
        <color rgb="FF000000"/>
        <rFont val="Calibri"/>
      </rPr>
      <t>Add or edit the following line in /etc/sysctl.d/99-sysctl.conf system configuration file:</t>
    </r>
    <r>
      <rPr>
        <sz val="11"/>
        <color rgb="FF000000"/>
        <rFont val="Calibri"/>
      </rPr>
      <t xml:space="preserve">
</t>
    </r>
    <r>
      <rPr>
        <sz val="11"/>
        <color rgb="FF000000"/>
        <rFont val="Calibri"/>
      </rPr>
      <t>kernel.dmesg_restrict = 1</t>
    </r>
    <r>
      <rPr>
        <sz val="11"/>
        <color rgb="FF000000"/>
        <rFont val="Calibri"/>
      </rPr>
      <t xml:space="preserve">
</t>
    </r>
    <r>
      <rPr>
        <sz val="11"/>
        <color rgb="FF000000"/>
        <rFont val="Calibri"/>
      </rPr>
      <t>Load settings from all system configuration files with the following command:</t>
    </r>
    <r>
      <rPr>
        <sz val="11"/>
        <color rgb="FF000000"/>
        <rFont val="Calibri"/>
      </rPr>
      <t xml:space="preserve">
</t>
    </r>
    <r>
      <rPr>
        <sz val="11"/>
        <color rgb="FF000000"/>
        <rFont val="Calibri"/>
      </rPr>
      <t>$ sudo sysctl --system</t>
    </r>
  </si>
  <si>
    <r>
      <rPr>
        <sz val="11"/>
        <color rgb="FF000000"/>
        <rFont val="Calibri"/>
      </rPr>
      <t>Preventing unauthorized information transfers mitigates the risk of information, including encrypted representations of information, produced by the actions of prior users/roles (or the actions of processes acting on behalf of prior users/roles) from being available to any current users/roles (or current processes) that obtain access to shared system resources (e.g., registers, main memory, hard disks) after those resources have been released back to information systems. The control of information in shared resources is also commonly referred to as object reuse and residual information protection.</t>
    </r>
    <r>
      <rPr>
        <sz val="11"/>
        <color rgb="FF000000"/>
        <rFont val="Calibri"/>
      </rPr>
      <t xml:space="preserve">
</t>
    </r>
    <r>
      <rPr>
        <sz val="11"/>
        <color rgb="FF000000"/>
        <rFont val="Calibri"/>
      </rPr>
      <t>This requirement generally applies to the design of an information technology product, but it can also apply to the configuration of particular information system components that are, or use, such products. This can be verified by acceptance/validation processes in DOD or other government agencies.</t>
    </r>
    <r>
      <rPr>
        <sz val="11"/>
        <color rgb="FF000000"/>
        <rFont val="Calibri"/>
      </rPr>
      <t xml:space="preserve">
</t>
    </r>
    <r>
      <rPr>
        <sz val="11"/>
        <color rgb="FF000000"/>
        <rFont val="Calibri"/>
      </rPr>
      <t>There may be shared resources with configurable protections (e.g., files in storage) that may be assessed on specific information system components.</t>
    </r>
    <r>
      <rPr>
        <sz val="11"/>
        <color rgb="FF000000"/>
        <rFont val="Calibri"/>
      </rPr>
      <t xml:space="preserve">
</t>
    </r>
    <r>
      <rPr>
        <sz val="11"/>
        <color rgb="FF000000"/>
        <rFont val="Calibri"/>
      </rPr>
      <t>Restricting access to the kernel message buffer limits access to only root. This prevents attackers from gaining additional system information as a nonprivileged user.</t>
    </r>
    <r>
      <rPr>
        <sz val="11"/>
        <color rgb="FF000000"/>
        <rFont val="Calibri"/>
      </rPr>
      <t xml:space="preserve">
</t>
    </r>
    <r>
      <rPr>
        <sz val="11"/>
        <color rgb="FF000000"/>
        <rFont val="Calibri"/>
      </rPr>
      <t>The sysctl --system command will load settings from all system configuration files. All configuration files are sorted by their filename in lexicographical order, regardless of the directories in which they reside. If multiple files specify the same option, the entry in the file with the lexicographically latest name will take precedence. Files are read from directories in the following list from top to bottom. Once a file of a given filename is loaded, any file of the same name in subsequent directories is ignored.</t>
    </r>
    <r>
      <rPr>
        <sz val="11"/>
        <color rgb="FF000000"/>
        <rFont val="Calibri"/>
      </rPr>
      <t xml:space="preserve">
</t>
    </r>
    <r>
      <rPr>
        <sz val="11"/>
        <color rgb="FF000000"/>
        <rFont val="Calibri"/>
      </rPr>
      <t>/etc/sysctl.d/*.conf</t>
    </r>
    <r>
      <rPr>
        <sz val="11"/>
        <color rgb="FF000000"/>
        <rFont val="Calibri"/>
      </rPr>
      <t xml:space="preserve">
</t>
    </r>
    <r>
      <rPr>
        <sz val="11"/>
        <color rgb="FF000000"/>
        <rFont val="Calibri"/>
      </rPr>
      <t>/run/sysctl.d/*.conf</t>
    </r>
    <r>
      <rPr>
        <sz val="11"/>
        <color rgb="FF000000"/>
        <rFont val="Calibri"/>
      </rPr>
      <t xml:space="preserve">
</t>
    </r>
    <r>
      <rPr>
        <sz val="11"/>
        <color rgb="FF000000"/>
        <rFont val="Calibri"/>
      </rPr>
      <t>/usr/local/lib/sysctl.d/*.conf</t>
    </r>
    <r>
      <rPr>
        <sz val="11"/>
        <color rgb="FF000000"/>
        <rFont val="Calibri"/>
      </rPr>
      <t xml:space="preserve">
</t>
    </r>
    <r>
      <rPr>
        <sz val="11"/>
        <color rgb="FF000000"/>
        <rFont val="Calibri"/>
      </rPr>
      <t>/usr/lib/sysctl.d/*.conf</t>
    </r>
    <r>
      <rPr>
        <sz val="11"/>
        <color rgb="FF000000"/>
        <rFont val="Calibri"/>
      </rPr>
      <t xml:space="preserve">
</t>
    </r>
    <r>
      <rPr>
        <sz val="11"/>
        <color rgb="FF000000"/>
        <rFont val="Calibri"/>
      </rPr>
      <t>/lib/sysctl.d/*.conf</t>
    </r>
    <r>
      <rPr>
        <sz val="11"/>
        <color rgb="FF000000"/>
        <rFont val="Calibri"/>
      </rPr>
      <t xml:space="preserve">
</t>
    </r>
    <r>
      <rPr>
        <sz val="11"/>
        <color rgb="FF000000"/>
        <rFont val="Calibri"/>
      </rPr>
      <t>/etc/sysctl.conf</t>
    </r>
  </si>
  <si>
    <r>
      <rPr>
        <sz val="11"/>
        <color rgb="FF000000"/>
        <rFont val="Calibri"/>
      </rPr>
      <t>Verify OL 8 is configured to restrict access to the kernel message buffer with the following commands:</t>
    </r>
    <r>
      <rPr>
        <sz val="11"/>
        <color rgb="FF000000"/>
        <rFont val="Calibri"/>
      </rPr>
      <t xml:space="preserve">
</t>
    </r>
    <r>
      <rPr>
        <sz val="11"/>
        <color rgb="FF000000"/>
        <rFont val="Calibri"/>
      </rPr>
      <t>Check the status of the kernel.dmesg_restrict kernel parameter.</t>
    </r>
    <r>
      <rPr>
        <sz val="11"/>
        <color rgb="FF000000"/>
        <rFont val="Calibri"/>
      </rPr>
      <t xml:space="preserve">
</t>
    </r>
    <r>
      <rPr>
        <sz val="11"/>
        <color rgb="FF000000"/>
        <rFont val="Calibri"/>
      </rPr>
      <t>$ sudo sysctl kernel.dmesg_restrict</t>
    </r>
    <r>
      <rPr>
        <sz val="11"/>
        <color rgb="FF000000"/>
        <rFont val="Calibri"/>
      </rPr>
      <t xml:space="preserve">
</t>
    </r>
    <r>
      <rPr>
        <sz val="11"/>
        <color rgb="FF000000"/>
        <rFont val="Calibri"/>
      </rPr>
      <t>kernel.dmesg_restrict = 1</t>
    </r>
    <r>
      <rPr>
        <sz val="11"/>
        <color rgb="FF000000"/>
        <rFont val="Calibri"/>
      </rPr>
      <t xml:space="preserve">
</t>
    </r>
    <r>
      <rPr>
        <sz val="11"/>
        <color rgb="FF000000"/>
        <rFont val="Calibri"/>
      </rPr>
      <t>If "kernel.dmesg_restrict" is not set to "1" or is missing, this is a finding.</t>
    </r>
  </si>
  <si>
    <t>V-248580</t>
  </si>
  <si>
    <r>
      <rPr>
        <sz val="11"/>
        <rFont val="Calibri"/>
      </rPr>
      <t>OL 8 must prevent kernel profiling by nonprivileged users.</t>
    </r>
  </si>
  <si>
    <r>
      <rPr>
        <sz val="11"/>
        <color rgb="FF000000"/>
        <rFont val="Calibri"/>
      </rPr>
      <t>Configure OL 8 to prevent kernel profiling by nonprivileged users.</t>
    </r>
    <r>
      <rPr>
        <sz val="11"/>
        <color rgb="FF000000"/>
        <rFont val="Calibri"/>
      </rPr>
      <t xml:space="preserve">
</t>
    </r>
    <r>
      <rPr>
        <sz val="11"/>
        <color rgb="FF000000"/>
        <rFont val="Calibri"/>
      </rPr>
      <t>Add or edit the following line in /etc/sysctl.d/99-sysctl.conf system configuration file:</t>
    </r>
    <r>
      <rPr>
        <sz val="11"/>
        <color rgb="FF000000"/>
        <rFont val="Calibri"/>
      </rPr>
      <t xml:space="preserve">
</t>
    </r>
    <r>
      <rPr>
        <sz val="11"/>
        <color rgb="FF000000"/>
        <rFont val="Calibri"/>
      </rPr>
      <t>kernel.perf_event_paranoid = 2</t>
    </r>
    <r>
      <rPr>
        <sz val="11"/>
        <color rgb="FF000000"/>
        <rFont val="Calibri"/>
      </rPr>
      <t xml:space="preserve">
</t>
    </r>
    <r>
      <rPr>
        <sz val="11"/>
        <color rgb="FF000000"/>
        <rFont val="Calibri"/>
      </rPr>
      <t>Load settings from all system configuration files with the following command:</t>
    </r>
    <r>
      <rPr>
        <sz val="11"/>
        <color rgb="FF000000"/>
        <rFont val="Calibri"/>
      </rPr>
      <t xml:space="preserve">
</t>
    </r>
    <r>
      <rPr>
        <sz val="11"/>
        <color rgb="FF000000"/>
        <rFont val="Calibri"/>
      </rPr>
      <t>$ sudo sysctl --system</t>
    </r>
  </si>
  <si>
    <r>
      <rPr>
        <sz val="11"/>
        <color rgb="FF000000"/>
        <rFont val="Calibri"/>
      </rPr>
      <t xml:space="preserve">Preventing unauthorized information transfers mitigates the risk of information, including encrypted representations of information, produced by the actions of prior users/roles (or the actions of processes acting on behalf of prior users/roles) from being available to any current users/roles (or current processes) that obtain access to shared system resources (e.g., registers, main memory, hard disks) after those resources have been released back to information systems. The control of information in shared resources is also commonly referred to as object reuse and residual information protection.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This requirement generally applies to the design of an information technology product, but it can also apply to the configuration of particular information system components that are, or use, such products. This can be verified by acceptance/validation processes in DOD or other government agencies.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There may be shared resources with configurable protections (e.g., files in storage) that may be assessed on specific information system components.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Setting the "kernel.perf_event_paranoid" kernel parameter to "2" prevents attackers from gaining additional system information as a nonprivileged user.</t>
    </r>
    <r>
      <rPr>
        <sz val="11"/>
        <color rgb="FF000000"/>
        <rFont val="Calibri"/>
      </rPr>
      <t xml:space="preserve">
</t>
    </r>
    <r>
      <rPr>
        <sz val="11"/>
        <color rgb="FF000000"/>
        <rFont val="Calibri"/>
      </rPr>
      <t>The sysctl --system command will load settings from all system configuration files. All configuration files are sorted by their filename in lexicographical order, regardless of the directories in which they reside. If multiple files specify the same option, the entry in the file with the lexicographically latest name will take precedence. Files are read from directories in the following list from top to bottom. Once a file of a given filename is loaded, any file of the same name in subsequent directories is ignored.</t>
    </r>
    <r>
      <rPr>
        <sz val="11"/>
        <color rgb="FF000000"/>
        <rFont val="Calibri"/>
      </rPr>
      <t xml:space="preserve">
</t>
    </r>
    <r>
      <rPr>
        <sz val="11"/>
        <color rgb="FF000000"/>
        <rFont val="Calibri"/>
      </rPr>
      <t>/etc/sysctl.d/*.conf</t>
    </r>
    <r>
      <rPr>
        <sz val="11"/>
        <color rgb="FF000000"/>
        <rFont val="Calibri"/>
      </rPr>
      <t xml:space="preserve">
</t>
    </r>
    <r>
      <rPr>
        <sz val="11"/>
        <color rgb="FF000000"/>
        <rFont val="Calibri"/>
      </rPr>
      <t>/run/sysctl.d/*.conf</t>
    </r>
    <r>
      <rPr>
        <sz val="11"/>
        <color rgb="FF000000"/>
        <rFont val="Calibri"/>
      </rPr>
      <t xml:space="preserve">
</t>
    </r>
    <r>
      <rPr>
        <sz val="11"/>
        <color rgb="FF000000"/>
        <rFont val="Calibri"/>
      </rPr>
      <t>/usr/local/lib/sysctl.d/*.conf</t>
    </r>
    <r>
      <rPr>
        <sz val="11"/>
        <color rgb="FF000000"/>
        <rFont val="Calibri"/>
      </rPr>
      <t xml:space="preserve">
</t>
    </r>
    <r>
      <rPr>
        <sz val="11"/>
        <color rgb="FF000000"/>
        <rFont val="Calibri"/>
      </rPr>
      <t>/usr/lib/sysctl.d/*.conf</t>
    </r>
    <r>
      <rPr>
        <sz val="11"/>
        <color rgb="FF000000"/>
        <rFont val="Calibri"/>
      </rPr>
      <t xml:space="preserve">
</t>
    </r>
    <r>
      <rPr>
        <sz val="11"/>
        <color rgb="FF000000"/>
        <rFont val="Calibri"/>
      </rPr>
      <t>/lib/sysctl.d/*.conf</t>
    </r>
    <r>
      <rPr>
        <sz val="11"/>
        <color rgb="FF000000"/>
        <rFont val="Calibri"/>
      </rPr>
      <t xml:space="preserve">
</t>
    </r>
    <r>
      <rPr>
        <sz val="11"/>
        <color rgb="FF000000"/>
        <rFont val="Calibri"/>
      </rPr>
      <t>/etc/sysctl.conf</t>
    </r>
  </si>
  <si>
    <r>
      <rPr>
        <sz val="11"/>
        <color rgb="FF000000"/>
        <rFont val="Calibri"/>
      </rPr>
      <t>Verify OL 8 is configured to prevent kernel profiling by nonprivileged users with the following commands:</t>
    </r>
    <r>
      <rPr>
        <sz val="11"/>
        <color rgb="FF000000"/>
        <rFont val="Calibri"/>
      </rPr>
      <t xml:space="preserve">
</t>
    </r>
    <r>
      <rPr>
        <sz val="11"/>
        <color rgb="FF000000"/>
        <rFont val="Calibri"/>
      </rPr>
      <t>Check the status of the kernel.perf_event_paranoid kernel parameter.</t>
    </r>
    <r>
      <rPr>
        <sz val="11"/>
        <color rgb="FF000000"/>
        <rFont val="Calibri"/>
      </rPr>
      <t xml:space="preserve">
</t>
    </r>
    <r>
      <rPr>
        <sz val="11"/>
        <color rgb="FF000000"/>
        <rFont val="Calibri"/>
      </rPr>
      <t>$ sysctl kernel.perf_event_paranoid</t>
    </r>
    <r>
      <rPr>
        <sz val="11"/>
        <color rgb="FF000000"/>
        <rFont val="Calibri"/>
      </rPr>
      <t xml:space="preserve">
</t>
    </r>
    <r>
      <rPr>
        <sz val="11"/>
        <color rgb="FF000000"/>
        <rFont val="Calibri"/>
      </rPr>
      <t>kernel.perf_event_paranoid = 2</t>
    </r>
    <r>
      <rPr>
        <sz val="11"/>
        <color rgb="FF000000"/>
        <rFont val="Calibri"/>
      </rPr>
      <t xml:space="preserve">
</t>
    </r>
    <r>
      <rPr>
        <sz val="11"/>
        <color rgb="FF000000"/>
        <rFont val="Calibri"/>
      </rPr>
      <t>If "kernel.perf_event_paranoid" is not set to "2" or is missing, this is a finding.</t>
    </r>
  </si>
  <si>
    <t>V-248581</t>
  </si>
  <si>
    <r>
      <rPr>
        <sz val="11"/>
        <rFont val="Calibri"/>
      </rPr>
      <t>OL 8 must require users to provide a password for privilege escalation.</t>
    </r>
  </si>
  <si>
    <r>
      <rPr>
        <sz val="11"/>
        <color rgb="FF000000"/>
        <rFont val="Calibri"/>
      </rPr>
      <t>Configure the operating system to require users to supply a password for privilege escalation.</t>
    </r>
    <r>
      <rPr>
        <sz val="11"/>
        <color rgb="FF000000"/>
        <rFont val="Calibri"/>
      </rPr>
      <t xml:space="preserve">
</t>
    </r>
    <r>
      <rPr>
        <sz val="11"/>
        <color rgb="FF000000"/>
        <rFont val="Calibri"/>
      </rPr>
      <t>Check the configuration of the "/etc/sudoers" file with the following command:</t>
    </r>
    <r>
      <rPr>
        <sz val="11"/>
        <color rgb="FF000000"/>
        <rFont val="Calibri"/>
      </rPr>
      <t xml:space="preserve">
</t>
    </r>
    <r>
      <rPr>
        <sz val="11"/>
        <color rgb="FF000000"/>
        <rFont val="Calibri"/>
      </rPr>
      <t>$ sudo visudo</t>
    </r>
    <r>
      <rPr>
        <sz val="11"/>
        <color rgb="FF000000"/>
        <rFont val="Calibri"/>
      </rPr>
      <t xml:space="preserve">
</t>
    </r>
    <r>
      <rPr>
        <sz val="11"/>
        <color rgb="FF000000"/>
        <rFont val="Calibri"/>
      </rPr>
      <t>Remove any occurrences of "NOPASSWD" tags in the file.</t>
    </r>
    <r>
      <rPr>
        <sz val="11"/>
        <color rgb="FF000000"/>
        <rFont val="Calibri"/>
      </rPr>
      <t xml:space="preserve">
</t>
    </r>
    <r>
      <rPr>
        <sz val="11"/>
        <color rgb="FF000000"/>
        <rFont val="Calibri"/>
      </rPr>
      <t>Check the configuration of the /etc/sudoers.d/* files with the following command:</t>
    </r>
    <r>
      <rPr>
        <sz val="11"/>
        <color rgb="FF000000"/>
        <rFont val="Calibri"/>
      </rPr>
      <t xml:space="preserve">
</t>
    </r>
    <r>
      <rPr>
        <sz val="11"/>
        <color rgb="FF000000"/>
        <rFont val="Calibri"/>
      </rPr>
      <t>$ sudo grep -ir nopasswd /etc/sudoers.d</t>
    </r>
    <r>
      <rPr>
        <sz val="11"/>
        <color rgb="FF000000"/>
        <rFont val="Calibri"/>
      </rPr>
      <t xml:space="preserve">
</t>
    </r>
    <r>
      <rPr>
        <sz val="11"/>
        <color rgb="FF000000"/>
        <rFont val="Calibri"/>
      </rPr>
      <t>Remove any occurrences of "NOPASSWD" tags in the file.</t>
    </r>
  </si>
  <si>
    <r>
      <rPr>
        <sz val="11"/>
        <color rgb="FF000000"/>
        <rFont val="Calibri"/>
      </rPr>
      <t>Without reauthentication, users may access resources or perform tasks for which they do not have authorization.</t>
    </r>
    <r>
      <rPr>
        <sz val="11"/>
        <color rgb="FF000000"/>
        <rFont val="Calibri"/>
      </rPr>
      <t xml:space="preserve">
</t>
    </r>
    <r>
      <rPr>
        <sz val="11"/>
        <color rgb="FF000000"/>
        <rFont val="Calibri"/>
      </rPr>
      <t>When operating systems provide the capability to escalate a functional capability, it is critical the user reauthenticate.</t>
    </r>
    <r>
      <rPr>
        <sz val="11"/>
        <color rgb="FF000000"/>
        <rFont val="Calibri"/>
      </rPr>
      <t xml:space="preserve">
</t>
    </r>
    <r>
      <rPr>
        <sz val="11"/>
        <color rgb="FF000000"/>
        <rFont val="Calibri"/>
      </rPr>
      <t>Satisfies: SRG-OS-000373-GPOS-00156, SRG-OS-000373-GPOS-00157, SRG-OS-000373-GPOS-00158</t>
    </r>
  </si>
  <si>
    <r>
      <rPr>
        <sz val="11"/>
        <color rgb="FF000000"/>
        <rFont val="Calibri"/>
      </rPr>
      <t>Verify that "/etc/sudoers" has no occurrences of "NOPASSWD".</t>
    </r>
    <r>
      <rPr>
        <sz val="11"/>
        <color rgb="FF000000"/>
        <rFont val="Calibri"/>
      </rPr>
      <t xml:space="preserve">
</t>
    </r>
    <r>
      <rPr>
        <sz val="11"/>
        <color rgb="FF000000"/>
        <rFont val="Calibri"/>
      </rPr>
      <t>Check that the "/etc/sudoers" file has no occurrences of "NOPASSWD" by running the following command:</t>
    </r>
    <r>
      <rPr>
        <sz val="11"/>
        <color rgb="FF000000"/>
        <rFont val="Calibri"/>
      </rPr>
      <t xml:space="preserve">
</t>
    </r>
    <r>
      <rPr>
        <sz val="11"/>
        <color rgb="FF000000"/>
        <rFont val="Calibri"/>
      </rPr>
      <t>$ sudo grep -iR 'NOPASSWD' /etc/sudoers /etc/sudoers.d/</t>
    </r>
    <r>
      <rPr>
        <sz val="11"/>
        <color rgb="FF000000"/>
        <rFont val="Calibri"/>
      </rPr>
      <t xml:space="preserve">
</t>
    </r>
    <r>
      <rPr>
        <sz val="11"/>
        <color rgb="FF000000"/>
        <rFont val="Calibri"/>
      </rPr>
      <t>%admin ALL=(ALL) NOPASSWD: ALL</t>
    </r>
    <r>
      <rPr>
        <sz val="11"/>
        <color rgb="FF000000"/>
        <rFont val="Calibri"/>
      </rPr>
      <t xml:space="preserve">
</t>
    </r>
    <r>
      <rPr>
        <sz val="11"/>
        <color rgb="FF000000"/>
        <rFont val="Calibri"/>
      </rPr>
      <t>If any occurrences of "NOPASSWD" are returned from the command and have not been documented with the information system security officer (ISSO) as an organizationally defined administrative group using multifactor authentication (MFA), this is a finding.</t>
    </r>
  </si>
  <si>
    <t>V-248582</t>
  </si>
  <si>
    <r>
      <rPr>
        <sz val="11"/>
        <rFont val="Calibri"/>
      </rPr>
      <t>OL 8 must require users to reauthenticate for privilege escalation and changing roles.</t>
    </r>
  </si>
  <si>
    <r>
      <rPr>
        <sz val="11"/>
        <color rgb="FF000000"/>
        <rFont val="Calibri"/>
      </rPr>
      <t>Remove any occurrence of "!authenticate" found in the "/etc/sudoers" file or files in the "/etc/sudoers.d" directory.</t>
    </r>
  </si>
  <si>
    <r>
      <rPr>
        <sz val="11"/>
        <color rgb="FF000000"/>
        <rFont val="Calibri"/>
      </rPr>
      <t>Verify that the "/etc/sudoers" file has no occurrences of "!authenticate" by running the following command:</t>
    </r>
    <r>
      <rPr>
        <sz val="11"/>
        <color rgb="FF000000"/>
        <rFont val="Calibri"/>
      </rPr>
      <t xml:space="preserve">
</t>
    </r>
    <r>
      <rPr>
        <sz val="11"/>
        <color rgb="FF000000"/>
        <rFont val="Calibri"/>
      </rPr>
      <t xml:space="preserve">     $ sudo egrep -iR '!authenticate' /etc/sudoers /etc/sudoers.d/</t>
    </r>
    <r>
      <rPr>
        <sz val="11"/>
        <color rgb="FF000000"/>
        <rFont val="Calibri"/>
      </rPr>
      <t xml:space="preserve">
</t>
    </r>
    <r>
      <rPr>
        <sz val="11"/>
        <color rgb="FF000000"/>
        <rFont val="Calibri"/>
      </rPr>
      <t>If any occurrences of "!authenticate" return from the command, this is a finding.</t>
    </r>
  </si>
  <si>
    <t>V-248583</t>
  </si>
  <si>
    <r>
      <rPr>
        <sz val="11"/>
        <rFont val="Calibri"/>
      </rPr>
      <t>OL 8 must restrict privilege elevation to authorized personnel.</t>
    </r>
  </si>
  <si>
    <r>
      <rPr>
        <sz val="11"/>
        <color rgb="FF000000"/>
        <rFont val="Calibri"/>
      </rPr>
      <t>Remove the following entries from the sudoers file:</t>
    </r>
    <r>
      <rPr>
        <sz val="11"/>
        <color rgb="FF000000"/>
        <rFont val="Calibri"/>
      </rPr>
      <t xml:space="preserve">
</t>
    </r>
    <r>
      <rPr>
        <sz val="11"/>
        <color rgb="FF000000"/>
        <rFont val="Calibri"/>
      </rPr>
      <t>ALL     ALL=(ALL) ALL</t>
    </r>
    <r>
      <rPr>
        <sz val="11"/>
        <color rgb="FF000000"/>
        <rFont val="Calibri"/>
      </rPr>
      <t xml:space="preserve">
</t>
    </r>
    <r>
      <rPr>
        <sz val="11"/>
        <color rgb="FF000000"/>
        <rFont val="Calibri"/>
      </rPr>
      <t>ALL     ALL=(ALL:ALL) ALL</t>
    </r>
  </si>
  <si>
    <r>
      <rPr>
        <sz val="11"/>
        <color rgb="FF000000"/>
        <rFont val="Calibri"/>
      </rPr>
      <t>The sudo command allows a user to execute programs with elevated (administrator) privileges. It prompts the user for their password and confirms your request to execute a command by checking a file, called sudoers. If the "sudoers" file is not configured correctly, any user defined on the system can initiate privileged actions on the target system.</t>
    </r>
  </si>
  <si>
    <r>
      <rPr>
        <sz val="11"/>
        <color rgb="FF000000"/>
        <rFont val="Calibri"/>
      </rPr>
      <t>Verify the "sudoers" file restricts sudo access to authorized personnel.</t>
    </r>
    <r>
      <rPr>
        <sz val="11"/>
        <color rgb="FF000000"/>
        <rFont val="Calibri"/>
      </rPr>
      <t xml:space="preserve">
</t>
    </r>
    <r>
      <rPr>
        <sz val="11"/>
        <color rgb="FF000000"/>
        <rFont val="Calibri"/>
      </rPr>
      <t>$ sudo grep -iwR 'ALL' /etc/sudoers /etc/sudoers.d/ | grep -v '#'</t>
    </r>
    <r>
      <rPr>
        <sz val="11"/>
        <color rgb="FF000000"/>
        <rFont val="Calibri"/>
      </rPr>
      <t xml:space="preserve">
</t>
    </r>
    <r>
      <rPr>
        <sz val="11"/>
        <color rgb="FF000000"/>
        <rFont val="Calibri"/>
      </rPr>
      <t>If the either of the following entries are returned, this is a finding:</t>
    </r>
    <r>
      <rPr>
        <sz val="11"/>
        <color rgb="FF000000"/>
        <rFont val="Calibri"/>
      </rPr>
      <t xml:space="preserve">
</t>
    </r>
    <r>
      <rPr>
        <sz val="11"/>
        <color rgb="FF000000"/>
        <rFont val="Calibri"/>
      </rPr>
      <t>ALL     ALL=(ALL) ALL</t>
    </r>
    <r>
      <rPr>
        <sz val="11"/>
        <color rgb="FF000000"/>
        <rFont val="Calibri"/>
      </rPr>
      <t xml:space="preserve">
</t>
    </r>
    <r>
      <rPr>
        <sz val="11"/>
        <color rgb="FF000000"/>
        <rFont val="Calibri"/>
      </rPr>
      <t>ALL     ALL=(ALL:ALL) ALL</t>
    </r>
  </si>
  <si>
    <t>V-248584</t>
  </si>
  <si>
    <r>
      <rPr>
        <sz val="11"/>
        <rFont val="Calibri"/>
      </rPr>
      <t>OL 8 must use the invoking user</t>
    </r>
    <r>
      <rPr>
        <sz val="11"/>
        <color rgb="FF000000"/>
        <rFont val="Calibri"/>
      </rPr>
      <t>'</t>
    </r>
    <r>
      <rPr>
        <sz val="11"/>
        <color rgb="FF000000"/>
        <rFont val="Calibri"/>
      </rPr>
      <t xml:space="preserve">s password for privilege escalation when using </t>
    </r>
    <r>
      <rPr>
        <sz val="11"/>
        <color rgb="FF000000"/>
        <rFont val="Calibri"/>
      </rPr>
      <t>"</t>
    </r>
    <r>
      <rPr>
        <b/>
        <sz val="11"/>
        <color rgb="FF000000"/>
        <rFont val="Calibri"/>
      </rPr>
      <t>sudo</t>
    </r>
    <r>
      <rPr>
        <sz val="11"/>
        <color rgb="FF000000"/>
        <rFont val="Calibri"/>
      </rPr>
      <t>"</t>
    </r>
    <r>
      <rPr>
        <sz val="11"/>
        <color rgb="FF000000"/>
        <rFont val="Calibri"/>
      </rPr>
      <t>.</t>
    </r>
  </si>
  <si>
    <r>
      <rPr>
        <sz val="11"/>
        <color rgb="FF000000"/>
        <rFont val="Calibri"/>
      </rPr>
      <t>Define the following in the Defaults section of the /etc/sudoers file or a configuration file in the /etc/sudoers.d/ directory:</t>
    </r>
    <r>
      <rPr>
        <sz val="11"/>
        <color rgb="FF000000"/>
        <rFont val="Calibri"/>
      </rPr>
      <t xml:space="preserve">
</t>
    </r>
    <r>
      <rPr>
        <sz val="11"/>
        <color rgb="FF000000"/>
        <rFont val="Calibri"/>
      </rPr>
      <t xml:space="preserve">     Defaults !targetpw</t>
    </r>
    <r>
      <rPr>
        <sz val="11"/>
        <color rgb="FF000000"/>
        <rFont val="Calibri"/>
      </rPr>
      <t xml:space="preserve">
</t>
    </r>
    <r>
      <rPr>
        <sz val="11"/>
        <color rgb="FF000000"/>
        <rFont val="Calibri"/>
      </rPr>
      <t xml:space="preserve">     Defaults !rootpw</t>
    </r>
    <r>
      <rPr>
        <sz val="11"/>
        <color rgb="FF000000"/>
        <rFont val="Calibri"/>
      </rPr>
      <t xml:space="preserve">
</t>
    </r>
    <r>
      <rPr>
        <sz val="11"/>
        <color rgb="FF000000"/>
        <rFont val="Calibri"/>
      </rPr>
      <t xml:space="preserve">     Defaults !runaspw</t>
    </r>
    <r>
      <rPr>
        <sz val="11"/>
        <color rgb="FF000000"/>
        <rFont val="Calibri"/>
      </rPr>
      <t xml:space="preserve">
</t>
    </r>
    <r>
      <rPr>
        <sz val="11"/>
        <color rgb="FF000000"/>
        <rFont val="Calibri"/>
      </rPr>
      <t xml:space="preserve">Remove any configurations that conflict with the above from the following locations: </t>
    </r>
    <r>
      <rPr>
        <sz val="11"/>
        <color rgb="FF000000"/>
        <rFont val="Calibri"/>
      </rPr>
      <t xml:space="preserve">
</t>
    </r>
    <r>
      <rPr>
        <sz val="11"/>
        <color rgb="FF000000"/>
        <rFont val="Calibri"/>
      </rPr>
      <t xml:space="preserve">     /etc/sudoers</t>
    </r>
    <r>
      <rPr>
        <sz val="11"/>
        <color rgb="FF000000"/>
        <rFont val="Calibri"/>
      </rPr>
      <t xml:space="preserve">
</t>
    </r>
    <r>
      <rPr>
        <sz val="11"/>
        <color rgb="FF000000"/>
        <rFont val="Calibri"/>
      </rPr>
      <t xml:space="preserve">     /etc/sudoers.d/</t>
    </r>
  </si>
  <si>
    <r>
      <rPr>
        <sz val="11"/>
        <color rgb="FF000000"/>
        <rFont val="Calibri"/>
      </rPr>
      <t xml:space="preserve">The sudoers security policy requires that users authenticate themselves before they can use sudo. When sudoers requires authentication, it validates the invoking user's credentials. If the rootpw, targetpw, or runaspw flags are defined and not disabled, by default the operating system will prompt the invoking user for the "root" user password. </t>
    </r>
    <r>
      <rPr>
        <sz val="11"/>
        <color rgb="FF000000"/>
        <rFont val="Calibri"/>
      </rPr>
      <t xml:space="preserve">
</t>
    </r>
    <r>
      <rPr>
        <sz val="11"/>
        <color rgb="FF000000"/>
        <rFont val="Calibri"/>
      </rPr>
      <t>For more information on each of the listed configurations, reference the sudoers(5) manual page.</t>
    </r>
  </si>
  <si>
    <r>
      <rPr>
        <sz val="11"/>
        <color rgb="FF000000"/>
        <rFont val="Calibri"/>
      </rPr>
      <t>Verify that the sudoers security policy is configured to use the invoking user's password for privilege escalation.</t>
    </r>
    <r>
      <rPr>
        <sz val="11"/>
        <color rgb="FF000000"/>
        <rFont val="Calibri"/>
      </rPr>
      <t xml:space="preserve">
</t>
    </r>
    <r>
      <rPr>
        <sz val="11"/>
        <color rgb="FF000000"/>
        <rFont val="Calibri"/>
      </rPr>
      <t xml:space="preserve">     $ sudo grep -Eir '(rootpw|targetpw|runaspw)' /etc/sudoers /etc/sudoers.d* | grep -v '#'</t>
    </r>
    <r>
      <rPr>
        <sz val="11"/>
        <color rgb="FF000000"/>
        <rFont val="Calibri"/>
      </rPr>
      <t xml:space="preserve">
</t>
    </r>
    <r>
      <rPr>
        <sz val="11"/>
        <color rgb="FF000000"/>
        <rFont val="Calibri"/>
      </rPr>
      <t xml:space="preserve">     /etc/sudoers:Defaults !targetpw</t>
    </r>
    <r>
      <rPr>
        <sz val="11"/>
        <color rgb="FF000000"/>
        <rFont val="Calibri"/>
      </rPr>
      <t xml:space="preserve">
</t>
    </r>
    <r>
      <rPr>
        <sz val="11"/>
        <color rgb="FF000000"/>
        <rFont val="Calibri"/>
      </rPr>
      <t xml:space="preserve">     /etc/sudoers:Defaults !rootpw</t>
    </r>
    <r>
      <rPr>
        <sz val="11"/>
        <color rgb="FF000000"/>
        <rFont val="Calibri"/>
      </rPr>
      <t xml:space="preserve">
</t>
    </r>
    <r>
      <rPr>
        <sz val="11"/>
        <color rgb="FF000000"/>
        <rFont val="Calibri"/>
      </rPr>
      <t xml:space="preserve">     /etc/sudoers:Defaults !runaspw</t>
    </r>
    <r>
      <rPr>
        <sz val="11"/>
        <color rgb="FF000000"/>
        <rFont val="Calibri"/>
      </rPr>
      <t xml:space="preserve">
</t>
    </r>
    <r>
      <rPr>
        <sz val="11"/>
        <color rgb="FF000000"/>
        <rFont val="Calibri"/>
      </rPr>
      <t>If conflicting results are returned, this is a finding.</t>
    </r>
    <r>
      <rPr>
        <sz val="11"/>
        <color rgb="FF000000"/>
        <rFont val="Calibri"/>
      </rPr>
      <t xml:space="preserve">
</t>
    </r>
    <r>
      <rPr>
        <sz val="11"/>
        <color rgb="FF000000"/>
        <rFont val="Calibri"/>
      </rPr>
      <t>If "Defaults !targetpw" is not defined, this is a finding.</t>
    </r>
    <r>
      <rPr>
        <sz val="11"/>
        <color rgb="FF000000"/>
        <rFont val="Calibri"/>
      </rPr>
      <t xml:space="preserve">
</t>
    </r>
    <r>
      <rPr>
        <sz val="11"/>
        <color rgb="FF000000"/>
        <rFont val="Calibri"/>
      </rPr>
      <t>If "Defaults !rootpw" is not defined, this is a finding.</t>
    </r>
    <r>
      <rPr>
        <sz val="11"/>
        <color rgb="FF000000"/>
        <rFont val="Calibri"/>
      </rPr>
      <t xml:space="preserve">
</t>
    </r>
    <r>
      <rPr>
        <sz val="11"/>
        <color rgb="FF000000"/>
        <rFont val="Calibri"/>
      </rPr>
      <t>If "Defaults !runaspw" is not defined, this is a finding.</t>
    </r>
  </si>
  <si>
    <t>V-248585</t>
  </si>
  <si>
    <r>
      <rPr>
        <sz val="11"/>
        <rFont val="Calibri"/>
      </rPr>
      <t xml:space="preserve">OL 8 must require reauthentication when using the </t>
    </r>
    <r>
      <rPr>
        <sz val="11"/>
        <color rgb="FF000000"/>
        <rFont val="Calibri"/>
      </rPr>
      <t>"</t>
    </r>
    <r>
      <rPr>
        <b/>
        <sz val="11"/>
        <color rgb="FF000000"/>
        <rFont val="Calibri"/>
      </rPr>
      <t>sudo</t>
    </r>
    <r>
      <rPr>
        <sz val="11"/>
        <color rgb="FF000000"/>
        <rFont val="Calibri"/>
      </rPr>
      <t>"</t>
    </r>
    <r>
      <rPr>
        <sz val="11"/>
        <color rgb="FF000000"/>
        <rFont val="Calibri"/>
      </rPr>
      <t xml:space="preserve"> command.</t>
    </r>
  </si>
  <si>
    <r>
      <rPr>
        <sz val="11"/>
        <color rgb="FF000000"/>
        <rFont val="Calibri"/>
      </rPr>
      <t>Configure the "sudo" command to require re-authentication.</t>
    </r>
    <r>
      <rPr>
        <sz val="11"/>
        <color rgb="FF000000"/>
        <rFont val="Calibri"/>
      </rPr>
      <t xml:space="preserve">
</t>
    </r>
    <r>
      <rPr>
        <sz val="11"/>
        <color rgb="FF000000"/>
        <rFont val="Calibri"/>
      </rPr>
      <t>Edit the /etc/sudoers file:</t>
    </r>
    <r>
      <rPr>
        <sz val="11"/>
        <color rgb="FF000000"/>
        <rFont val="Calibri"/>
      </rPr>
      <t xml:space="preserve">
</t>
    </r>
    <r>
      <rPr>
        <sz val="11"/>
        <color rgb="FF000000"/>
        <rFont val="Calibri"/>
      </rPr>
      <t xml:space="preserve">     $ sudo visudo</t>
    </r>
    <r>
      <rPr>
        <sz val="11"/>
        <color rgb="FF000000"/>
        <rFont val="Calibri"/>
      </rPr>
      <t xml:space="preserve">
</t>
    </r>
    <r>
      <rPr>
        <sz val="11"/>
        <color rgb="FF000000"/>
        <rFont val="Calibri"/>
      </rPr>
      <t>Add or modify the following line:</t>
    </r>
    <r>
      <rPr>
        <sz val="11"/>
        <color rgb="FF000000"/>
        <rFont val="Calibri"/>
      </rPr>
      <t xml:space="preserve">
</t>
    </r>
    <r>
      <rPr>
        <sz val="11"/>
        <color rgb="FF000000"/>
        <rFont val="Calibri"/>
      </rPr>
      <t xml:space="preserve">     Defaults timestamp_timeout=[value]</t>
    </r>
    <r>
      <rPr>
        <sz val="11"/>
        <color rgb="FF000000"/>
        <rFont val="Calibri"/>
      </rPr>
      <t xml:space="preserve">
</t>
    </r>
    <r>
      <rPr>
        <sz val="11"/>
        <color rgb="FF000000"/>
        <rFont val="Calibri"/>
      </rPr>
      <t>Note: The "[value]" must be a number that is greater than or equal to "0".</t>
    </r>
    <r>
      <rPr>
        <sz val="11"/>
        <color rgb="FF000000"/>
        <rFont val="Calibri"/>
      </rPr>
      <t xml:space="preserve">
</t>
    </r>
    <r>
      <rPr>
        <sz val="11"/>
        <color rgb="FF000000"/>
        <rFont val="Calibri"/>
      </rPr>
      <t>Remove any duplicate or conflicting lines from /etc/sudoers and /etc/sudoers.d/ files.</t>
    </r>
  </si>
  <si>
    <r>
      <rPr>
        <sz val="11"/>
        <color rgb="FF000000"/>
        <rFont val="Calibri"/>
      </rPr>
      <t xml:space="preserve">Without reauthentication, users may access resources or perform tasks for which they do not have authorization. </t>
    </r>
    <r>
      <rPr>
        <sz val="11"/>
        <color rgb="FF000000"/>
        <rFont val="Calibri"/>
      </rPr>
      <t xml:space="preserve">
</t>
    </r>
    <r>
      <rPr>
        <sz val="11"/>
        <color rgb="FF000000"/>
        <rFont val="Calibri"/>
      </rPr>
      <t>When operating systems provide the capability to escalate a functional capability, it is critical the organization requires the user to reauthenticate when using the "sudo" command.</t>
    </r>
    <r>
      <rPr>
        <sz val="11"/>
        <color rgb="FF000000"/>
        <rFont val="Calibri"/>
      </rPr>
      <t xml:space="preserve">
</t>
    </r>
    <r>
      <rPr>
        <sz val="11"/>
        <color rgb="FF000000"/>
        <rFont val="Calibri"/>
      </rPr>
      <t>If the value is set to an integer less than 0, the user's time stamp will not expire and the user will not have to reauthenticate for privileged actions until the user's session is terminated.</t>
    </r>
    <r>
      <rPr>
        <sz val="11"/>
        <color rgb="FF000000"/>
        <rFont val="Calibri"/>
      </rPr>
      <t xml:space="preserve">
</t>
    </r>
    <r>
      <rPr>
        <sz val="11"/>
        <color rgb="FF000000"/>
        <rFont val="Calibri"/>
      </rPr>
      <t>Satisfies: SRG-OS-000373-GPOS-00156, SRG-OS-000373-GPOS-00157, SRG-OS-000373-GPOS-00158</t>
    </r>
  </si>
  <si>
    <r>
      <rPr>
        <sz val="11"/>
        <color rgb="FF000000"/>
        <rFont val="Calibri"/>
      </rPr>
      <t>Verify the operating system requires re-authentication when using the "sudo" command to elevate privileges.</t>
    </r>
    <r>
      <rPr>
        <sz val="11"/>
        <color rgb="FF000000"/>
        <rFont val="Calibri"/>
      </rPr>
      <t xml:space="preserve">
</t>
    </r>
    <r>
      <rPr>
        <sz val="11"/>
        <color rgb="FF000000"/>
        <rFont val="Calibri"/>
      </rPr>
      <t xml:space="preserve">     $ sudo grep -Eir 'timestamp_timeout' /etc/sudoers /etc/sudoers.d*</t>
    </r>
    <r>
      <rPr>
        <sz val="11"/>
        <color rgb="FF000000"/>
        <rFont val="Calibri"/>
      </rPr>
      <t xml:space="preserve">
</t>
    </r>
    <r>
      <rPr>
        <sz val="11"/>
        <color rgb="FF000000"/>
        <rFont val="Calibri"/>
      </rPr>
      <t xml:space="preserve">     /etc/sudoers:Defaults timestamp_timeout=0</t>
    </r>
    <r>
      <rPr>
        <sz val="11"/>
        <color rgb="FF000000"/>
        <rFont val="Calibri"/>
      </rPr>
      <t xml:space="preserve">
</t>
    </r>
    <r>
      <rPr>
        <sz val="11"/>
        <color rgb="FF000000"/>
        <rFont val="Calibri"/>
      </rPr>
      <t>If conflicting results are returned, this is a finding.</t>
    </r>
    <r>
      <rPr>
        <sz val="11"/>
        <color rgb="FF000000"/>
        <rFont val="Calibri"/>
      </rPr>
      <t xml:space="preserve">
</t>
    </r>
    <r>
      <rPr>
        <sz val="11"/>
        <color rgb="FF000000"/>
        <rFont val="Calibri"/>
      </rPr>
      <t>If "timestamp_timeout" is set to a negative number, is commented out, or no results are returned, this is a finding.</t>
    </r>
  </si>
  <si>
    <t>V-248586</t>
  </si>
  <si>
    <r>
      <rPr>
        <sz val="11"/>
        <rFont val="Calibri"/>
      </rPr>
      <t>OL 8 must have the package required for multifactor authentication installed.</t>
    </r>
  </si>
  <si>
    <r>
      <rPr>
        <sz val="11"/>
        <color rgb="FF000000"/>
        <rFont val="Calibri"/>
      </rPr>
      <t xml:space="preserve">Configure OL 8 to implement multifactor authentication by installing the required package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yum install  openssl-pkcs11</t>
    </r>
  </si>
  <si>
    <r>
      <rPr>
        <sz val="11"/>
        <color rgb="FF000000"/>
        <rFont val="Calibri"/>
      </rPr>
      <t xml:space="preserve">Using an authentication device, such as a DOD Common Access Card (CAC) or token that is separate from the information system, ensures that even if the information system is compromised, credentials stored on the authentication device will not be affected.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Multifactor solutions that require devices separate from information systems gaining access include, for example, hardware tokens providing time-based or challenge-response authenticators and smart cards such as the U.S. Government Personal Identity Verification (PIV) card and the DOD CAC.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privileged account is defined as an information system account with authorizations of a privileged user.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Remote access is access to DOD nonpublic information systems by an authorized user (or an information system) communicating through an external, nonorganization-controlled network. Remote access methods include, for example, dial-up, broadband, and wireless.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This requirement only applies to components where this is specific to the function of the device or has the concept of an organizational user (e.g., VPN, proxy capability). This does not apply to authentication for the purpose of configuring the device itself (management).</t>
    </r>
  </si>
  <si>
    <r>
      <rPr>
        <sz val="11"/>
        <color rgb="FF000000"/>
        <rFont val="Calibri"/>
      </rPr>
      <t xml:space="preserve">Verify the operating system has the package required for multifactor authentication installed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yum list installed openssl-pkcs11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openssl-pkcs11.x86_64 0.4.8-2.el8 @anaconda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"openssl-pkcs11" package is not installed, ask the administrator to indicate what type of multifactor authentication is being used and what packages are installed to support it.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there is no evidence of multifactor authentication being used, this is a finding.</t>
    </r>
  </si>
  <si>
    <t>V-248587</t>
  </si>
  <si>
    <r>
      <rPr>
        <sz val="11"/>
        <rFont val="Calibri"/>
      </rPr>
      <t>OL 8 must implement certificate status checking for multifactor authentication.</t>
    </r>
  </si>
  <si>
    <r>
      <rPr>
        <sz val="11"/>
        <color rgb="FF000000"/>
        <rFont val="Calibri"/>
      </rPr>
      <t xml:space="preserve">Configure OL 8 to implement certificate status checking for multifactor authentication.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Review the "/etc/sssd/sssd.conf" file to determine if the system is configured to prevent OCSP or certificate verification.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Add the following line to the [sssd] section of the "/etc/sssd/sssd.conf" file:</t>
    </r>
    <r>
      <rPr>
        <sz val="11"/>
        <color rgb="FF000000"/>
        <rFont val="Calibri"/>
      </rPr>
      <t xml:space="preserve">
</t>
    </r>
    <r>
      <rPr>
        <sz val="11"/>
        <color rgb="FF000000"/>
        <rFont val="Calibri"/>
      </rPr>
      <t>certificate_verification = ocsp_dgst=sha1</t>
    </r>
    <r>
      <rPr>
        <sz val="11"/>
        <color rgb="FF000000"/>
        <rFont val="Calibri"/>
      </rPr>
      <t xml:space="preserve">
</t>
    </r>
    <r>
      <rPr>
        <sz val="11"/>
        <color rgb="FF000000"/>
        <rFont val="Calibri"/>
      </rPr>
      <t>The "sssd" service must be restarted for the changes to take effect. To restart the "sssd" service, run the following command:</t>
    </r>
    <r>
      <rPr>
        <sz val="11"/>
        <color rgb="FF000000"/>
        <rFont val="Calibri"/>
      </rPr>
      <t xml:space="preserve">
</t>
    </r>
    <r>
      <rPr>
        <sz val="11"/>
        <color rgb="FF000000"/>
        <rFont val="Calibri"/>
      </rPr>
      <t>$ sudo systemctl restart sssd.service</t>
    </r>
  </si>
  <si>
    <r>
      <rPr>
        <sz val="11"/>
        <color rgb="FF000000"/>
        <rFont val="Calibri"/>
      </rPr>
      <t xml:space="preserve">Using an authentication device, such as a DOD Common Access Card (CAC) or token that is separate from the information system, ensures that even if the information system is compromised, credentials stored on the authentication device will not be affected.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Multifactor solutions that require devices separate from information systems gaining access include, for example, hardware tokens providing time-based or challenge-response authenticators and smart cards such as the U.S. Government Personal Identity Verification (PIV) card and the DOD CAC.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OL 8 includes multiple options for configuring certificate status checking but for this requirement focuses on the system security services daemon (sssd). By default, sssd performs Online Certificate Status Protocol (OCSP) checking and certificate verification using a sha256 digest function.</t>
    </r>
    <r>
      <rPr>
        <sz val="11"/>
        <color rgb="FF000000"/>
        <rFont val="Calibri"/>
      </rPr>
      <t xml:space="preserve">
</t>
    </r>
    <r>
      <rPr>
        <sz val="11"/>
        <color rgb="FF000000"/>
        <rFont val="Calibri"/>
      </rPr>
      <t>Satisfies: SRG-OS-000375-GPOS-00160, SRG-OS-000377-GPOS-00162</t>
    </r>
  </si>
  <si>
    <r>
      <rPr>
        <sz val="11"/>
        <color rgb="FF000000"/>
        <rFont val="Calibri"/>
      </rPr>
      <t>Verify the operating system implements certificate status checking for multifactor authentication.</t>
    </r>
    <r>
      <rPr>
        <sz val="11"/>
        <color rgb="FF000000"/>
        <rFont val="Calibri"/>
      </rPr>
      <t xml:space="preserve">
</t>
    </r>
    <r>
      <rPr>
        <sz val="11"/>
        <color rgb="FF000000"/>
        <rFont val="Calibri"/>
      </rPr>
      <t>Note: If the system administrator (SA) demonstrates the use of an approved alternate multifactor authentication method, this requirement is not applicable.</t>
    </r>
    <r>
      <rPr>
        <sz val="11"/>
        <color rgb="FF000000"/>
        <rFont val="Calibri"/>
      </rPr>
      <t xml:space="preserve">
</t>
    </r>
    <r>
      <rPr>
        <sz val="11"/>
        <color rgb="FF000000"/>
        <rFont val="Calibri"/>
      </rPr>
      <t>Determine if Online Certificate Status Protocol (OCSP) is enabled and using the proper digest value on the system with the following command:</t>
    </r>
    <r>
      <rPr>
        <sz val="11"/>
        <color rgb="FF000000"/>
        <rFont val="Calibri"/>
      </rPr>
      <t xml:space="preserve">
</t>
    </r>
    <r>
      <rPr>
        <sz val="11"/>
        <color rgb="FF000000"/>
        <rFont val="Calibri"/>
      </rPr>
      <t>$ sudo grep certificate_verification /etc/sssd/sssd.conf /etc/sssd/conf.d/*.conf | grep -v "^#"</t>
    </r>
    <r>
      <rPr>
        <sz val="11"/>
        <color rgb="FF000000"/>
        <rFont val="Calibri"/>
      </rPr>
      <t xml:space="preserve">
</t>
    </r>
    <r>
      <rPr>
        <sz val="11"/>
        <color rgb="FF000000"/>
        <rFont val="Calibri"/>
      </rPr>
      <t>certificate_verification = ocsp_dgst=sha1</t>
    </r>
    <r>
      <rPr>
        <sz val="11"/>
        <color rgb="FF000000"/>
        <rFont val="Calibri"/>
      </rPr>
      <t xml:space="preserve">
</t>
    </r>
    <r>
      <rPr>
        <sz val="11"/>
        <color rgb="FF000000"/>
        <rFont val="Calibri"/>
      </rPr>
      <t>If the certificate_verification line is missing from the [sssd] section, or is missing "ocsp_dgst=sha1", ask the administrator to indicate what type of multifactor authentication is being used and how the system implements certificate status checking. If there is no evidence of certificate status checking being used, this is a finding.</t>
    </r>
  </si>
  <si>
    <t>V-248588</t>
  </si>
  <si>
    <r>
      <rPr>
        <sz val="11"/>
        <rFont val="Calibri"/>
      </rPr>
      <t>OL 8 must accept Personal Identity Verification (PIV) credentials.</t>
    </r>
  </si>
  <si>
    <r>
      <rPr>
        <sz val="11"/>
        <color rgb="FF000000"/>
        <rFont val="Calibri"/>
      </rPr>
      <t xml:space="preserve">Configure OL 8 to accept PIV credentials.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Install the "opensc" package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yum install opensc</t>
    </r>
  </si>
  <si>
    <r>
      <rPr>
        <sz val="11"/>
        <color rgb="FF000000"/>
        <rFont val="Calibri"/>
      </rPr>
      <t xml:space="preserve">The use of PIV credentials facilitates standardization and reduces the risk of unauthorized access.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 DoD has mandated the use of the Common Access Card (CAC) to support identity management and personal authentication for systems covered under Homeland Security Presidential Directive (HSPD) 12, as well as making the CAC a primary component of layered protection for national security systems.</t>
    </r>
  </si>
  <si>
    <r>
      <rPr>
        <sz val="11"/>
        <color rgb="FF000000"/>
        <rFont val="Calibri"/>
      </rPr>
      <t xml:space="preserve">Verify OL 8 accepts PIV credentials.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Check that the "opensc" package is installed on the system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yum list installed opensc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opensc.x86_64     0.19.0-5.el8     @anaconda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Check that "opensc" accepts PIV cards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opensc-tool --list-drivers | grep -i piv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PIV-II     Personal Identity Verification Card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"opensc" package is not installed and the "opensc-tool" driver list does not include "PIV-II", this is a finding.</t>
    </r>
  </si>
  <si>
    <t>V-248589</t>
  </si>
  <si>
    <r>
      <rPr>
        <sz val="11"/>
        <rFont val="Calibri"/>
      </rPr>
      <t>OL 8 must implement non-executable data to protect its memory from unauthorized code execution.</t>
    </r>
  </si>
  <si>
    <r>
      <rPr>
        <sz val="11"/>
        <color rgb="FF000000"/>
        <rFont val="Calibri"/>
      </rPr>
      <t>Enable the NX bit execute protection in the system BIOS.</t>
    </r>
  </si>
  <si>
    <r>
      <rPr>
        <sz val="11"/>
        <color rgb="FF000000"/>
        <rFont val="Calibri"/>
      </rPr>
      <t xml:space="preserve">Some adversaries launch attacks with the intent of executing code in non-executable regions of memory or in memory locations that are prohibited. Security safeguards employed to protect memory include, for example, data execution prevention and address space layout randomization. Data execution prevention safeguards can be either hardware-enforced or software-enforced, with hardware providing the greater strength of mechanism.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Examples of attacks are buffer overflow attacks.</t>
    </r>
  </si>
  <si>
    <r>
      <rPr>
        <sz val="11"/>
        <color rgb="FF000000"/>
        <rFont val="Calibri"/>
      </rPr>
      <t xml:space="preserve">Verify the NX (no-execution) bit flag is set on the system with the following commands: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dmesg | grep NX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[ 0.000000] NX (Execute Disable) protection: active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"dmesg" does not show "NX (Execute Disable) protection" active, check the "cpuinfo" settings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less /proc/cpuinfo | grep -i flags </t>
    </r>
    <r>
      <rPr>
        <sz val="11"/>
        <color rgb="FF000000"/>
        <rFont val="Calibri"/>
      </rPr>
      <t xml:space="preserve">
</t>
    </r>
    <r>
      <rPr>
        <sz val="11"/>
        <color rgb="FF000000"/>
        <rFont val="Calibri"/>
      </rPr>
      <t xml:space="preserve">flags : fpu vme de pse tsc ms nx rdtscp lm constant_tsc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"flags" does not contain the "nx" flag, this is a finding.</t>
    </r>
  </si>
  <si>
    <t>V-248590</t>
  </si>
  <si>
    <r>
      <rPr>
        <sz val="11"/>
        <rFont val="Calibri"/>
      </rPr>
      <t>OL 8 must clear the page allocator to prevent use-after-free attacks.</t>
    </r>
  </si>
  <si>
    <r>
      <rPr>
        <sz val="11"/>
        <color rgb="FF000000"/>
        <rFont val="Calibri"/>
      </rPr>
      <t xml:space="preserve">Configure OL 8 to enable page poisoning with the following commands: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grubby --update-kernel=ALL --args="page_poison=1"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line in "/etc/default/grub" to ensure the configuration survives kernel updates: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GRUB_CMDLINE_LINUX="page_poison=1"</t>
    </r>
  </si>
  <si>
    <r>
      <rPr>
        <sz val="11"/>
        <color rgb="FF000000"/>
        <rFont val="Calibri"/>
      </rPr>
      <t xml:space="preserve">Adversaries may launch attacks with the intent of executing code in non-executable regions of memory or in memory locations that are prohibited. Security safeguards employed to protect memory include, for example, data execution prevention and address space layout randomization. Data execution prevention safeguards can be either hardware-enforced or software-enforced with hardware providing the greater strength of mechanism.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Poisoning writes an arbitrary value to freed pages, so any modification or reference to that page after being freed or before being initialized will be detected and prevented. This prevents many types of use-after-free vulnerabilities at little performance cost. Also prevents leak of data and detection of corrupted memory.</t>
    </r>
  </si>
  <si>
    <r>
      <rPr>
        <sz val="11"/>
        <color rgb="FF000000"/>
        <rFont val="Calibri"/>
      </rPr>
      <t xml:space="preserve">Verify that GRUB 2 is configured to enable page poisoning to mitigate use-after-free vulnerabilities with the following commands: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grub2-editenv list | grep page_poison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kernelopts=root=/dev/mapper/ol-root ro crashkernel=auto resume=/dev/mapper/ol-swap rd.lvm.lv=ol/root rd.lvm.lv=ol/swap rhgb quiet fips=1 page_poison=1 vsyscall=none audit=1 audit_backlog_limit=8192 boot=UUID=8d171156-cd61-421c-ba41-1c021ac29e82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"page_poison" is not set to "1" or is missing,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Check that page poisoning is enabled by default to persist in kernel updates: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grep page_poison /etc/default/grub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GRUB_CMDLINE_LINUX="page_poison=1"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"page_poison" is not set to "1" or is missing or commented out, this is a finding.</t>
    </r>
  </si>
  <si>
    <t>V-248591</t>
  </si>
  <si>
    <r>
      <rPr>
        <sz val="11"/>
        <rFont val="Calibri"/>
      </rPr>
      <t>OL 8 must disable virtual syscalls.</t>
    </r>
  </si>
  <si>
    <r>
      <rPr>
        <sz val="11"/>
        <color rgb="FF000000"/>
        <rFont val="Calibri"/>
      </rPr>
      <t>Document the use of vsyscalls with the ISSO as an operational requirement or disable them with the following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grubby --update-kernel=ALL --args="vsyscall=none"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line in "/etc/default/grub" to ensure the configuration survives kernel updates: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GRUB_CMDLINE_LINUX="vsyscall=none"</t>
    </r>
  </si>
  <si>
    <r>
      <rPr>
        <sz val="11"/>
        <color rgb="FF000000"/>
        <rFont val="Calibri"/>
      </rPr>
      <t xml:space="preserve">Syscalls are special routines in the Linux kernel, which userspace applications ask to do privileged tasks. Invoking a system call is an expensive operation because the processor must interrupt the currently executing task and switch context to kernel mode and then back to userspace after the system call completes. Virtual syscalls map into user space a page that contains some variables and the implementation of some system calls. This allows the system calls to be executed in userspace to alleviate the context switching expense.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Virtual syscalls provide an opportunity of attack for a user who has control of the return instruction pointer. Disabling vsyscalls help to prevent return-oriented programming (ROP) attacks via buffer overflows and overruns. If the system intends to run containers based on OL 6 components, then virtual syscalls will need enabled so the components function properly.</t>
    </r>
  </si>
  <si>
    <r>
      <rPr>
        <sz val="11"/>
        <color rgb="FF000000"/>
        <rFont val="Calibri"/>
      </rPr>
      <t xml:space="preserve">Verify that GRUB 2 is configured to disable vsyscalls with the following commands: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grub2-editenv list | grep vsyscall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kernelopts=root=/dev/mapper/ol-root ro crashkernel=auto resume=/dev/mapper/ol-swap rd.lvm.lv=ol/root rd.lvm.lv=ol/swap rhgb quiet fips=1 page_poison=1 vsyscall=none audit=1 audit_backlog_limit=8192 boot=UUID=8d171156-cd61-421c-ba41-1c021ac29e82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"vsyscall" is not set to "none" or is missing,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Check that vsyscalls are disabled by default to persist in kernel updates: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grep vsyscall /etc/default/grub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GRUB_CMDLINE_LINUX="vsyscall=none"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"vsyscall" is not set to "none", is missing or commented out and is not documented with the Information System Security Officer (ISSO) as an operational requirement, this is a finding.</t>
    </r>
  </si>
  <si>
    <t>V-248592</t>
  </si>
  <si>
    <r>
      <rPr>
        <sz val="11"/>
        <rFont val="Calibri"/>
      </rPr>
      <t>OL 8 must clear memory when it is freed to prevent use-after-free attacks.</t>
    </r>
  </si>
  <si>
    <r>
      <rPr>
        <sz val="11"/>
        <color rgb="FF000000"/>
        <rFont val="Calibri"/>
      </rPr>
      <t>Configure OL 8 to enable init_on_free with the following command:</t>
    </r>
    <r>
      <rPr>
        <sz val="11"/>
        <color rgb="FF000000"/>
        <rFont val="Calibri"/>
      </rPr>
      <t xml:space="preserve">
</t>
    </r>
    <r>
      <rPr>
        <sz val="11"/>
        <color rgb="FF000000"/>
        <rFont val="Calibri"/>
      </rPr>
      <t>$ sudo grubby --update-kernel=ALL --args="init_on_free=1"</t>
    </r>
    <r>
      <rPr>
        <sz val="11"/>
        <color rgb="FF000000"/>
        <rFont val="Calibri"/>
      </rPr>
      <t xml:space="preserve">
</t>
    </r>
    <r>
      <rPr>
        <sz val="11"/>
        <color rgb="FF000000"/>
        <rFont val="Calibri"/>
      </rPr>
      <t>Regenerate the GRUB configuration:</t>
    </r>
    <r>
      <rPr>
        <sz val="11"/>
        <color rgb="FF000000"/>
        <rFont val="Calibri"/>
      </rPr>
      <t xml:space="preserve">
</t>
    </r>
    <r>
      <rPr>
        <sz val="11"/>
        <color rgb="FF000000"/>
        <rFont val="Calibri"/>
      </rPr>
      <t>$ sudo grub2-mkconfig -o /boot/grub2/grub.cfg</t>
    </r>
    <r>
      <rPr>
        <sz val="11"/>
        <color rgb="FF000000"/>
        <rFont val="Calibri"/>
      </rPr>
      <t xml:space="preserve">
</t>
    </r>
    <r>
      <rPr>
        <sz val="11"/>
        <color rgb="FF000000"/>
        <rFont val="Calibri"/>
      </rPr>
      <t>Reboot the system:</t>
    </r>
    <r>
      <rPr>
        <sz val="11"/>
        <color rgb="FF000000"/>
        <rFont val="Calibri"/>
      </rPr>
      <t xml:space="preserve">
</t>
    </r>
    <r>
      <rPr>
        <sz val="11"/>
        <color rgb="FF000000"/>
        <rFont val="Calibri"/>
      </rPr>
      <t>$ sudo reboot</t>
    </r>
  </si>
  <si>
    <r>
      <rPr>
        <sz val="11"/>
        <color rgb="FF000000"/>
        <rFont val="Calibri"/>
      </rPr>
      <t>Some adversaries launch attacks with the intent of executing code in nonexecutable regions of memory or in memory locations that are prohibited. Security safeguards employed to protect memory include, for example, data execution prevention and address space layout randomization. Data execution prevention safeguards can be either hardware-enforced or software-enforced with hardware providing the greater strength of mechanism.</t>
    </r>
    <r>
      <rPr>
        <sz val="11"/>
        <color rgb="FF000000"/>
        <rFont val="Calibri"/>
      </rPr>
      <t xml:space="preserve">
</t>
    </r>
    <r>
      <rPr>
        <sz val="11"/>
        <color rgb="FF000000"/>
        <rFont val="Calibri"/>
      </rPr>
      <t>Poisoning writes an arbitrary value to freed pages, so any modification or reference to that page after being freed or before being initialized will be detected and prevented. This prevents many types of use-after-free vulnerabilities at little performance cost. Also prevents leak of data and detection of corrupted memory.</t>
    </r>
    <r>
      <rPr>
        <sz val="11"/>
        <color rgb="FF000000"/>
        <rFont val="Calibri"/>
      </rPr>
      <t xml:space="preserve">
</t>
    </r>
    <r>
      <rPr>
        <sz val="11"/>
        <color rgb="FF000000"/>
        <rFont val="Calibri"/>
      </rPr>
      <t>init_on_free is a Linux kernel boot parameter that enhances security by initializing memory regions when they are freed, preventing data leakage. This process ensures that stale data in freed memory cannot be accessed by malicious programs.</t>
    </r>
    <r>
      <rPr>
        <sz val="11"/>
        <color rgb="FF000000"/>
        <rFont val="Calibri"/>
      </rPr>
      <t xml:space="preserve">
</t>
    </r>
    <r>
      <rPr>
        <sz val="11"/>
        <color rgb="FF000000"/>
        <rFont val="Calibri"/>
      </rPr>
      <t>SLUB canaries add a randomized value (canary) at the end of SLUB-allocated objects to detect memory corruption caused by buffer overflows or underflows. Redzoning adds padding (red zones) around SLUB-allocated objects to detect overflows or underflows by triggering a fault when adjacent memory is accessed. SLUB canaries are often more efficient and provide stronger detection against buffer overflows compared to redzoning. SLUB canaries are supported in hardened Linux kernels like the ones provided by Linux-hardened.</t>
    </r>
    <r>
      <rPr>
        <sz val="11"/>
        <color rgb="FF000000"/>
        <rFont val="Calibri"/>
      </rPr>
      <t xml:space="preserve">
</t>
    </r>
    <r>
      <rPr>
        <sz val="11"/>
        <color rgb="FF000000"/>
        <rFont val="Calibri"/>
      </rPr>
      <t>SLAB objects are blocks of physically contiguous memory. SLUB is the unqueued SLAB allocator.</t>
    </r>
    <r>
      <rPr>
        <sz val="11"/>
        <color rgb="FF000000"/>
        <rFont val="Calibri"/>
      </rPr>
      <t xml:space="preserve">
</t>
    </r>
    <r>
      <rPr>
        <sz val="11"/>
        <color rgb="FF000000"/>
        <rFont val="Calibri"/>
      </rPr>
      <t>Satisfies: SRG-OS-000433-GPOS-00192, SRG-OS-000134-GPOS-00068</t>
    </r>
  </si>
  <si>
    <r>
      <rPr>
        <sz val="11"/>
        <color rgb="FF000000"/>
        <rFont val="Calibri"/>
      </rPr>
      <t>Verify GRUB2 is configured to mitigate use-after-free vulnerabilities by employing memory poisoning.</t>
    </r>
    <r>
      <rPr>
        <sz val="11"/>
        <color rgb="FF000000"/>
        <rFont val="Calibri"/>
      </rPr>
      <t xml:space="preserve">
</t>
    </r>
    <r>
      <rPr>
        <sz val="11"/>
        <color rgb="FF000000"/>
        <rFont val="Calibri"/>
      </rPr>
      <t>Inspect the "GRUB_CMDLINE_LINUX" entry of /etc/default/grub as follows:</t>
    </r>
    <r>
      <rPr>
        <sz val="11"/>
        <color rgb="FF000000"/>
        <rFont val="Calibri"/>
      </rPr>
      <t xml:space="preserve">
</t>
    </r>
    <r>
      <rPr>
        <sz val="11"/>
        <color rgb="FF000000"/>
        <rFont val="Calibri"/>
      </rPr>
      <t>$ sudo grep -i grub_cmdline_linux /etc/default/grub</t>
    </r>
    <r>
      <rPr>
        <sz val="11"/>
        <color rgb="FF000000"/>
        <rFont val="Calibri"/>
      </rPr>
      <t xml:space="preserve">
</t>
    </r>
    <r>
      <rPr>
        <sz val="11"/>
        <color rgb="FF000000"/>
        <rFont val="Calibri"/>
      </rPr>
      <t>GRUB_CMDLINE_LINUX="... init_on_free=1"</t>
    </r>
    <r>
      <rPr>
        <sz val="11"/>
        <color rgb="FF000000"/>
        <rFont val="Calibri"/>
      </rPr>
      <t xml:space="preserve">
</t>
    </r>
    <r>
      <rPr>
        <sz val="11"/>
        <color rgb="FF000000"/>
        <rFont val="Calibri"/>
      </rPr>
      <t>If "init_on_free=1" is missing or commented out, this is a finding.</t>
    </r>
  </si>
  <si>
    <t>V-248593</t>
  </si>
  <si>
    <r>
      <rPr>
        <sz val="11"/>
        <rFont val="Calibri"/>
      </rPr>
      <t>OL 8 must not let Meltdown and Spectre exploit critical vulnerabilities in modern processors.</t>
    </r>
  </si>
  <si>
    <r>
      <rPr>
        <sz val="11"/>
        <color rgb="FF000000"/>
        <rFont val="Calibri"/>
      </rPr>
      <t xml:space="preserve">Determine the default kernel: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grubby --default-kernel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/boot/vmlinuz-5.4.17-2011.1.2.el8uek.x86_64 </t>
    </r>
    <r>
      <rPr>
        <sz val="11"/>
        <color rgb="FF000000"/>
        <rFont val="Calibri"/>
      </rPr>
      <t xml:space="preserve">
</t>
    </r>
    <r>
      <rPr>
        <sz val="11"/>
        <color rgb="FF000000"/>
        <rFont val="Calibri"/>
      </rPr>
      <t xml:space="preserve">Using the default kernel, remove the argument that sets the Meltdown mitigations to "off":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grubby --update-kernel=&lt;path-to-default-kernel&gt;  --remove-args=mitigations=off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Reboot the system for the change to take effect.</t>
    </r>
  </si>
  <si>
    <r>
      <rPr>
        <sz val="11"/>
        <color rgb="FF000000"/>
        <rFont val="Calibri"/>
      </rPr>
      <t>Hardware vulnerabilities allow programs to steal data that is currently processed on the computer. While programs are typically not permitted to read data from other programs, a malicious program can exploit Meltdown and Spectre to obtain secrets stored in the memory of other running programs. This might include passwords stored in a password manager or browser; personal photos, emails, and instant messages; and business-critical documents.</t>
    </r>
  </si>
  <si>
    <r>
      <rPr>
        <sz val="11"/>
        <color rgb="FF000000"/>
        <rFont val="Calibri"/>
      </rPr>
      <t>Verify OL 8 is configured to enable mitigations with the following command:</t>
    </r>
    <r>
      <rPr>
        <sz val="11"/>
        <color rgb="FF000000"/>
        <rFont val="Calibri"/>
      </rPr>
      <t xml:space="preserve">
</t>
    </r>
    <r>
      <rPr>
        <sz val="11"/>
        <color rgb="FF000000"/>
        <rFont val="Calibri"/>
      </rPr>
      <t>$ grubby --info=/boot/vmlinuz-$(uname -r) | grep mitigations</t>
    </r>
    <r>
      <rPr>
        <sz val="11"/>
        <color rgb="FF000000"/>
        <rFont val="Calibri"/>
      </rPr>
      <t xml:space="preserve">
</t>
    </r>
    <r>
      <rPr>
        <sz val="11"/>
        <color rgb="FF000000"/>
        <rFont val="Calibri"/>
      </rPr>
      <t>If the "mitigations" parameter is set to "off" (mitigations=off), this is a finding.</t>
    </r>
    <r>
      <rPr>
        <sz val="11"/>
        <color rgb="FF000000"/>
        <rFont val="Calibri"/>
      </rPr>
      <t xml:space="preserve">
</t>
    </r>
    <r>
      <rPr>
        <sz val="11"/>
        <color rgb="FF000000"/>
        <rFont val="Calibri"/>
      </rPr>
      <t>Note: The default behavior of the kernel is to enable mitigations for vulnerabilities like Meltdown and Spectre based on hardware and system requirements. Therefore, if the "mitigation" parameter is not present or if it is set to on this is not a finding.</t>
    </r>
  </si>
  <si>
    <t>V-248594</t>
  </si>
  <si>
    <r>
      <rPr>
        <sz val="11"/>
        <rFont val="Calibri"/>
      </rPr>
      <t>OL 8 must implement address space layout randomization (ASLR) to protect its memory from unauthorized code execution.</t>
    </r>
  </si>
  <si>
    <r>
      <rPr>
        <sz val="11"/>
        <color rgb="FF000000"/>
        <rFont val="Calibri"/>
      </rPr>
      <t>Configure OL 8 to implement ASLR to protect its memory from unauthorized code execution.</t>
    </r>
    <r>
      <rPr>
        <sz val="11"/>
        <color rgb="FF000000"/>
        <rFont val="Calibri"/>
      </rPr>
      <t xml:space="preserve">
</t>
    </r>
    <r>
      <rPr>
        <sz val="11"/>
        <color rgb="FF000000"/>
        <rFont val="Calibri"/>
      </rPr>
      <t>Add or edit the following line in a system configuration file in the "/etc/sysctl.d/" directory:</t>
    </r>
    <r>
      <rPr>
        <sz val="11"/>
        <color rgb="FF000000"/>
        <rFont val="Calibri"/>
      </rPr>
      <t xml:space="preserve">
</t>
    </r>
    <r>
      <rPr>
        <sz val="11"/>
        <color rgb="FF000000"/>
        <rFont val="Calibri"/>
      </rPr>
      <t>kernel.randomize_va_space = 2</t>
    </r>
    <r>
      <rPr>
        <sz val="11"/>
        <color rgb="FF000000"/>
        <rFont val="Calibri"/>
      </rPr>
      <t xml:space="preserve">
</t>
    </r>
    <r>
      <rPr>
        <sz val="11"/>
        <color rgb="FF000000"/>
        <rFont val="Calibri"/>
      </rPr>
      <t>Reload settings from all system configuration files with the following command:</t>
    </r>
    <r>
      <rPr>
        <sz val="11"/>
        <color rgb="FF000000"/>
        <rFont val="Calibri"/>
      </rPr>
      <t xml:space="preserve">
</t>
    </r>
    <r>
      <rPr>
        <sz val="11"/>
        <color rgb="FF000000"/>
        <rFont val="Calibri"/>
      </rPr>
      <t>$ sudo sysctl --system</t>
    </r>
  </si>
  <si>
    <r>
      <rPr>
        <sz val="11"/>
        <color rgb="FF000000"/>
        <rFont val="Calibri"/>
      </rPr>
      <t xml:space="preserve">Some adversaries launch attacks with the intent of executing code in nonexecutable regions of memory or in memory locations that are prohibited. Security safeguards employed to protect memory include, for example, data execution prevention and address space layout randomization. Data execution prevention safeguards can be either hardware-enforced or software-enforced, with hardware providing the greater strength of mechanism.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Examples of attacks are buffer overflow attacks.</t>
    </r>
    <r>
      <rPr>
        <sz val="11"/>
        <color rgb="FF000000"/>
        <rFont val="Calibri"/>
      </rPr>
      <t xml:space="preserve">
</t>
    </r>
    <r>
      <rPr>
        <sz val="11"/>
        <color rgb="FF000000"/>
        <rFont val="Calibri"/>
      </rPr>
      <t>The sysctl --system command will load settings from all system configuration files. All configuration files are sorted by their filename in lexicographical order, regardless of the directories in which they reside. If multiple files specify the same option, the entry in the file with the lexicographically latest name will take precedence. Files are read from directories in the following list from top to bottom. Once a file of a given filename is loaded, any file of the same name in subsequent directories is ignored.</t>
    </r>
    <r>
      <rPr>
        <sz val="11"/>
        <color rgb="FF000000"/>
        <rFont val="Calibri"/>
      </rPr>
      <t xml:space="preserve">
</t>
    </r>
    <r>
      <rPr>
        <sz val="11"/>
        <color rgb="FF000000"/>
        <rFont val="Calibri"/>
      </rPr>
      <t>/etc/sysctl.d/*.conf</t>
    </r>
    <r>
      <rPr>
        <sz val="11"/>
        <color rgb="FF000000"/>
        <rFont val="Calibri"/>
      </rPr>
      <t xml:space="preserve">
</t>
    </r>
    <r>
      <rPr>
        <sz val="11"/>
        <color rgb="FF000000"/>
        <rFont val="Calibri"/>
      </rPr>
      <t>/run/sysctl.d/*.conf</t>
    </r>
    <r>
      <rPr>
        <sz val="11"/>
        <color rgb="FF000000"/>
        <rFont val="Calibri"/>
      </rPr>
      <t xml:space="preserve">
</t>
    </r>
    <r>
      <rPr>
        <sz val="11"/>
        <color rgb="FF000000"/>
        <rFont val="Calibri"/>
      </rPr>
      <t>/usr/local/lib/sysctl.d/*.conf</t>
    </r>
    <r>
      <rPr>
        <sz val="11"/>
        <color rgb="FF000000"/>
        <rFont val="Calibri"/>
      </rPr>
      <t xml:space="preserve">
</t>
    </r>
    <r>
      <rPr>
        <sz val="11"/>
        <color rgb="FF000000"/>
        <rFont val="Calibri"/>
      </rPr>
      <t>/usr/lib/sysctl.d/*.conf</t>
    </r>
    <r>
      <rPr>
        <sz val="11"/>
        <color rgb="FF000000"/>
        <rFont val="Calibri"/>
      </rPr>
      <t xml:space="preserve">
</t>
    </r>
    <r>
      <rPr>
        <sz val="11"/>
        <color rgb="FF000000"/>
        <rFont val="Calibri"/>
      </rPr>
      <t>/lib/sysctl.d/*.conf</t>
    </r>
    <r>
      <rPr>
        <sz val="11"/>
        <color rgb="FF000000"/>
        <rFont val="Calibri"/>
      </rPr>
      <t xml:space="preserve">
</t>
    </r>
    <r>
      <rPr>
        <sz val="11"/>
        <color rgb="FF000000"/>
        <rFont val="Calibri"/>
      </rPr>
      <t>/etc/sysctl.conf</t>
    </r>
  </si>
  <si>
    <r>
      <rPr>
        <sz val="11"/>
        <color rgb="FF000000"/>
        <rFont val="Calibri"/>
      </rPr>
      <t>Verify OL 8 is implementing ASLR with the following command:</t>
    </r>
    <r>
      <rPr>
        <sz val="11"/>
        <color rgb="FF000000"/>
        <rFont val="Calibri"/>
      </rPr>
      <t xml:space="preserve">
</t>
    </r>
    <r>
      <rPr>
        <sz val="11"/>
        <color rgb="FF000000"/>
        <rFont val="Calibri"/>
      </rPr>
      <t>$ sysctl kernel.randomize_va_space</t>
    </r>
    <r>
      <rPr>
        <sz val="11"/>
        <color rgb="FF000000"/>
        <rFont val="Calibri"/>
      </rPr>
      <t xml:space="preserve">
</t>
    </r>
    <r>
      <rPr>
        <sz val="11"/>
        <color rgb="FF000000"/>
        <rFont val="Calibri"/>
      </rPr>
      <t>kernel.randomize_va_space = 2</t>
    </r>
    <r>
      <rPr>
        <sz val="11"/>
        <color rgb="FF000000"/>
        <rFont val="Calibri"/>
      </rPr>
      <t xml:space="preserve">
</t>
    </r>
    <r>
      <rPr>
        <sz val="11"/>
        <color rgb="FF000000"/>
        <rFont val="Calibri"/>
      </rPr>
      <t>If "kernel.randomize_va_space" is not set to "2" or is missing, this is a finding.</t>
    </r>
  </si>
  <si>
    <t>V-248595</t>
  </si>
  <si>
    <r>
      <rPr>
        <sz val="11"/>
        <rFont val="Calibri"/>
      </rPr>
      <t>YUM must remove all software components after updated versions have been installed on OL 8.</t>
    </r>
  </si>
  <si>
    <r>
      <rPr>
        <sz val="11"/>
        <color rgb="FF000000"/>
        <rFont val="Calibri"/>
      </rPr>
      <t xml:space="preserve">Configure OL 8 to remove all software components after updated versions have been installed.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Set the "clean_requirements_on_remove" option to "True" in the "/etc/yum.conf"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clean_requirements_on_remove=True</t>
    </r>
  </si>
  <si>
    <r>
      <rPr>
        <sz val="11"/>
        <color rgb="FF000000"/>
        <rFont val="Calibri"/>
      </rPr>
      <t>Previous versions of software components that are not removed from the information system after updates have been installed may be exploited by adversaries. Some information technology products may remove older versions of software automatically from the information system.</t>
    </r>
  </si>
  <si>
    <r>
      <rPr>
        <sz val="11"/>
        <color rgb="FF000000"/>
        <rFont val="Calibri"/>
      </rPr>
      <t xml:space="preserve">Verify the operating system removes all software components after updated versions have been installed.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Check if YUM is configured to remove unneeded packages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grep -i clean_requirements_on_remove /etc/yum.conf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clean_requirements_on_remove=True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"clean_requirements_on_remove" is not set to "True", commented out, or missing from "/etc/yum.conf", this is a finding.</t>
    </r>
  </si>
  <si>
    <t>V-248596</t>
  </si>
  <si>
    <r>
      <rPr>
        <sz val="11"/>
        <rFont val="Calibri"/>
      </rPr>
      <t>OL 8 must enable the SELinux targeted policy.</t>
    </r>
  </si>
  <si>
    <r>
      <rPr>
        <sz val="11"/>
        <color rgb="FF000000"/>
        <rFont val="Calibri"/>
      </rPr>
      <t xml:space="preserve">Configure OL 8 to verify correct operation of all security functions.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Set the "SELinuxtype" to the "targeted" policy by modifying the "/etc/selinux/config" file to have the following line: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SELINUXTYPE=targeted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 reboot is required for the changes to take effect.</t>
    </r>
  </si>
  <si>
    <r>
      <rPr>
        <sz val="11"/>
        <color rgb="FF000000"/>
        <rFont val="Calibri"/>
      </rPr>
      <t xml:space="preserve">Without verification of the security functions, they may not operate correctly and the failure may go unnoticed. Security function is defined as the hardware, software, and/or firmware of the information system responsible for enforcing the system security policy and supporting the isolation of code and data on which the protection is based. Security functionality includes but is not limited to establishing system accounts, configuring access authorizations (i.e., permissions, privileges), setting events to be audited, and setting intrusion detection parameters.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This requirement applies to operating systems performing security function verification/testing and/or systems and environments that require this functionality.</t>
    </r>
  </si>
  <si>
    <r>
      <rPr>
        <sz val="11"/>
        <color rgb="FF000000"/>
        <rFont val="Calibri"/>
      </rPr>
      <t xml:space="preserve">Ensure the operating system verifies correct operation of all security functions.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Verify that "SELinux" is active and is enforcing the targeted policy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sestatus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SELinux status: enabled </t>
    </r>
    <r>
      <rPr>
        <sz val="11"/>
        <color rgb="FF000000"/>
        <rFont val="Calibri"/>
      </rPr>
      <t xml:space="preserve">
</t>
    </r>
    <r>
      <rPr>
        <sz val="11"/>
        <color rgb="FF000000"/>
        <rFont val="Calibri"/>
      </rPr>
      <t xml:space="preserve">SELinuxfs mount: /sys/fs/selinux </t>
    </r>
    <r>
      <rPr>
        <sz val="11"/>
        <color rgb="FF000000"/>
        <rFont val="Calibri"/>
      </rPr>
      <t xml:space="preserve">
</t>
    </r>
    <r>
      <rPr>
        <sz val="11"/>
        <color rgb="FF000000"/>
        <rFont val="Calibri"/>
      </rPr>
      <t xml:space="preserve">SELinux root directory: /etc/selinux </t>
    </r>
    <r>
      <rPr>
        <sz val="11"/>
        <color rgb="FF000000"/>
        <rFont val="Calibri"/>
      </rPr>
      <t xml:space="preserve">
</t>
    </r>
    <r>
      <rPr>
        <sz val="11"/>
        <color rgb="FF000000"/>
        <rFont val="Calibri"/>
      </rPr>
      <t xml:space="preserve">Loaded policy name: targeted </t>
    </r>
    <r>
      <rPr>
        <sz val="11"/>
        <color rgb="FF000000"/>
        <rFont val="Calibri"/>
      </rPr>
      <t xml:space="preserve">
</t>
    </r>
    <r>
      <rPr>
        <sz val="11"/>
        <color rgb="FF000000"/>
        <rFont val="Calibri"/>
      </rPr>
      <t xml:space="preserve">Current mode: enforcing </t>
    </r>
    <r>
      <rPr>
        <sz val="11"/>
        <color rgb="FF000000"/>
        <rFont val="Calibri"/>
      </rPr>
      <t xml:space="preserve">
</t>
    </r>
    <r>
      <rPr>
        <sz val="11"/>
        <color rgb="FF000000"/>
        <rFont val="Calibri"/>
      </rPr>
      <t xml:space="preserve">Mode from config file: enforcing </t>
    </r>
    <r>
      <rPr>
        <sz val="11"/>
        <color rgb="FF000000"/>
        <rFont val="Calibri"/>
      </rPr>
      <t xml:space="preserve">
</t>
    </r>
    <r>
      <rPr>
        <sz val="11"/>
        <color rgb="FF000000"/>
        <rFont val="Calibri"/>
      </rPr>
      <t xml:space="preserve">Policy MLS status: enabled </t>
    </r>
    <r>
      <rPr>
        <sz val="11"/>
        <color rgb="FF000000"/>
        <rFont val="Calibri"/>
      </rPr>
      <t xml:space="preserve">
</t>
    </r>
    <r>
      <rPr>
        <sz val="11"/>
        <color rgb="FF000000"/>
        <rFont val="Calibri"/>
      </rPr>
      <t xml:space="preserve">Policy deny_unknown status: allowed </t>
    </r>
    <r>
      <rPr>
        <sz val="11"/>
        <color rgb="FF000000"/>
        <rFont val="Calibri"/>
      </rPr>
      <t xml:space="preserve">
</t>
    </r>
    <r>
      <rPr>
        <sz val="11"/>
        <color rgb="FF000000"/>
        <rFont val="Calibri"/>
      </rPr>
      <t xml:space="preserve">Memory protection checking: actual (secure) </t>
    </r>
    <r>
      <rPr>
        <sz val="11"/>
        <color rgb="FF000000"/>
        <rFont val="Calibri"/>
      </rPr>
      <t xml:space="preserve">
</t>
    </r>
    <r>
      <rPr>
        <sz val="11"/>
        <color rgb="FF000000"/>
        <rFont val="Calibri"/>
      </rPr>
      <t xml:space="preserve">Max kernel policy version: 31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"Loaded policy name" is not set to "targeted",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Verify that the "/etc/selinux/config" file is configured to the "SELINUXTYPE" as "targeted":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grep -i "selinuxtype" /etc/selinux/config | grep -v '^#'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SELINUXTYPE = targeted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no results are returned or "SELINUXTYPE" is not set to "targeted", this is a finding.</t>
    </r>
  </si>
  <si>
    <t>V-248597</t>
  </si>
  <si>
    <r>
      <rPr>
        <sz val="11"/>
        <rFont val="Calibri"/>
      </rPr>
      <t xml:space="preserve">There must be no </t>
    </r>
    <r>
      <rPr>
        <sz val="11"/>
        <color rgb="FF000000"/>
        <rFont val="Calibri"/>
      </rPr>
      <t>"</t>
    </r>
    <r>
      <rPr>
        <b/>
        <sz val="11"/>
        <color rgb="FF000000"/>
        <rFont val="Calibri"/>
      </rPr>
      <t>shosts.equiv</t>
    </r>
    <r>
      <rPr>
        <sz val="11"/>
        <color rgb="FF000000"/>
        <rFont val="Calibri"/>
      </rPr>
      <t>"</t>
    </r>
    <r>
      <rPr>
        <sz val="11"/>
        <color rgb="FF000000"/>
        <rFont val="Calibri"/>
      </rPr>
      <t xml:space="preserve"> files on the OL 8 operating system.</t>
    </r>
  </si>
  <si>
    <r>
      <rPr>
        <sz val="11"/>
        <color rgb="FF000000"/>
        <rFont val="Calibri"/>
      </rPr>
      <t xml:space="preserve">Remove any found "shosts.equiv" files from the system.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rm /etc/ssh/shosts.equiv</t>
    </r>
  </si>
  <si>
    <r>
      <rPr>
        <sz val="11"/>
        <color rgb="FF000000"/>
        <rFont val="Calibri"/>
      </rPr>
      <t>The "shosts.equiv" files are used to configure host-based authentication for the system via SSH. Host-based authentication is not sufficient for preventing unauthorized access to the system, as it does not require interactive identification and authentication of a connection request, or for the use of two-factor authentication.</t>
    </r>
  </si>
  <si>
    <r>
      <rPr>
        <sz val="11"/>
        <color rgb="FF000000"/>
        <rFont val="Calibri"/>
      </rPr>
      <t xml:space="preserve">Verify there are no "shosts.equiv" files on OL 8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find / -name shosts.equiv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an "shosts.equiv" file is found, this is a finding.</t>
    </r>
  </si>
  <si>
    <t>V-248598</t>
  </si>
  <si>
    <r>
      <rPr>
        <sz val="11"/>
        <rFont val="Calibri"/>
      </rPr>
      <t xml:space="preserve">There must be no </t>
    </r>
    <r>
      <rPr>
        <sz val="11"/>
        <color rgb="FF000000"/>
        <rFont val="Calibri"/>
      </rPr>
      <t>"</t>
    </r>
    <r>
      <rPr>
        <b/>
        <sz val="11"/>
        <color rgb="FF000000"/>
        <rFont val="Calibri"/>
      </rPr>
      <t>.shosts</t>
    </r>
    <r>
      <rPr>
        <sz val="11"/>
        <color rgb="FF000000"/>
        <rFont val="Calibri"/>
      </rPr>
      <t>"</t>
    </r>
    <r>
      <rPr>
        <sz val="11"/>
        <color rgb="FF000000"/>
        <rFont val="Calibri"/>
      </rPr>
      <t xml:space="preserve"> files on the OL 8 operating system.</t>
    </r>
  </si>
  <si>
    <r>
      <rPr>
        <sz val="11"/>
        <color rgb="FF000000"/>
        <rFont val="Calibri"/>
      </rPr>
      <t xml:space="preserve">Remove any found ".shosts" files from the system.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rm /[path]/[to]/[file]/.shosts</t>
    </r>
  </si>
  <si>
    <r>
      <rPr>
        <sz val="11"/>
        <color rgb="FF000000"/>
        <rFont val="Calibri"/>
      </rPr>
      <t>The ".shosts" files are used to configure host-based authentication for individual users or the system via SSH. Host-based authentication is not sufficient for preventing unauthorized access to the system, as it does not require interactive identification and authentication of a connection request, or for the use of two-factor authentication.</t>
    </r>
  </si>
  <si>
    <r>
      <rPr>
        <sz val="11"/>
        <color rgb="FF000000"/>
        <rFont val="Calibri"/>
      </rPr>
      <t xml:space="preserve">Verify there are no ".shosts" files on OL 8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find / -name '*.shosts'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any ".shosts" files are found, this is a finding.</t>
    </r>
  </si>
  <si>
    <t>V-248599</t>
  </si>
  <si>
    <r>
      <rPr>
        <sz val="11"/>
        <rFont val="Calibri"/>
      </rPr>
      <t>OL 8 must enable the hardware random number generator entropy gatherer service.</t>
    </r>
  </si>
  <si>
    <r>
      <rPr>
        <sz val="11"/>
        <color rgb="FF000000"/>
        <rFont val="Calibri"/>
      </rPr>
      <t xml:space="preserve">Start the rngd service and enable it with the following commands: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systemctl start rngd.service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systemctl enable rngd.service</t>
    </r>
  </si>
  <si>
    <r>
      <rPr>
        <sz val="11"/>
        <color rgb="FF000000"/>
        <rFont val="Calibri"/>
      </rPr>
      <t xml:space="preserve">The most important characteristic of a random number generator is its randomness, namely its ability to deliver random numbers that are impossible to predict. Entropy in computer security is associated with the unpredictability of a source of randomness. The random source with high entropy tends to achieve a uniform distribution of random values. Random number generators are one of the most important building blocks of cryptosystems.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 rngd service feeds random data from hardware device to kernel random device. Quality (nonpredictable) random number generation is important for several security functions (i.e., ciphers).</t>
    </r>
  </si>
  <si>
    <r>
      <rPr>
        <sz val="11"/>
        <color rgb="FF000000"/>
        <rFont val="Calibri"/>
      </rPr>
      <t>Note: For OL versions 8.4 and above running with kernel FIPS mode enabled as specified by OL08-00-010020, this requirement is Not Applicable.</t>
    </r>
    <r>
      <rPr>
        <sz val="11"/>
        <color rgb="FF000000"/>
        <rFont val="Calibri"/>
      </rPr>
      <t xml:space="preserve">
</t>
    </r>
    <r>
      <rPr>
        <sz val="11"/>
        <color rgb="FF000000"/>
        <rFont val="Calibri"/>
      </rPr>
      <t>Check that OL 8 has enabled the hardware random number generator entropy gatherer service.</t>
    </r>
    <r>
      <rPr>
        <sz val="11"/>
        <color rgb="FF000000"/>
        <rFont val="Calibri"/>
      </rPr>
      <t xml:space="preserve">
</t>
    </r>
    <r>
      <rPr>
        <sz val="11"/>
        <color rgb="FF000000"/>
        <rFont val="Calibri"/>
      </rPr>
      <t xml:space="preserve">Verify the rngd service is enabled and active with the following commands: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systemctl is-enabled rngd </t>
    </r>
    <r>
      <rPr>
        <sz val="11"/>
        <color rgb="FF000000"/>
        <rFont val="Calibri"/>
      </rPr>
      <t xml:space="preserve">
</t>
    </r>
    <r>
      <rPr>
        <sz val="11"/>
        <color rgb="FF000000"/>
        <rFont val="Calibri"/>
      </rPr>
      <t xml:space="preserve">      enabled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systemctl is-active rngd </t>
    </r>
    <r>
      <rPr>
        <sz val="11"/>
        <color rgb="FF000000"/>
        <rFont val="Calibri"/>
      </rPr>
      <t xml:space="preserve">
</t>
    </r>
    <r>
      <rPr>
        <sz val="11"/>
        <color rgb="FF000000"/>
        <rFont val="Calibri"/>
      </rPr>
      <t xml:space="preserve">     active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service is not "enabled" and "active", this is a finding.</t>
    </r>
  </si>
  <si>
    <t>V-248600</t>
  </si>
  <si>
    <r>
      <rPr>
        <sz val="11"/>
        <rFont val="Calibri"/>
      </rPr>
      <t>OL 8 must have the packages required to use the hardware random number generator entropy gatherer service.</t>
    </r>
  </si>
  <si>
    <r>
      <rPr>
        <sz val="11"/>
        <color rgb="FF000000"/>
        <rFont val="Calibri"/>
      </rPr>
      <t>Install the packages required to enabled the hardware random number generator entropy gatherer service with the following command:</t>
    </r>
    <r>
      <rPr>
        <sz val="11"/>
        <color rgb="FF000000"/>
        <rFont val="Calibri"/>
      </rPr>
      <t xml:space="preserve">
</t>
    </r>
    <r>
      <rPr>
        <sz val="11"/>
        <color rgb="FF000000"/>
        <rFont val="Calibri"/>
      </rPr>
      <t>$ sudo yum install rng-tools</t>
    </r>
  </si>
  <si>
    <r>
      <rPr>
        <sz val="11"/>
        <color rgb="FF000000"/>
        <rFont val="Calibri"/>
      </rPr>
      <t xml:space="preserve">The most important characteristic of a random number generator is its randomness, namely its ability to deliver random numbers that are impossible to predict. Entropy in computer security is associated with the unpredictability of a source of randomness. The random source with high entropy tends to achieve a uniform distribution of random values. Random number generators are one of the most important building blocks of cryptosystems.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 rngd service feeds random data from hardware device to kernel random device. Quality (non-predictable) random number generation is important for several security functions (i.e., ciphers).</t>
    </r>
  </si>
  <si>
    <r>
      <rPr>
        <sz val="11"/>
        <color rgb="FF000000"/>
        <rFont val="Calibri"/>
      </rPr>
      <t>Check that OL 8 has the packages required to enabled the hardware random number generator entropy gatherer service with the following command:</t>
    </r>
    <r>
      <rPr>
        <sz val="11"/>
        <color rgb="FF000000"/>
        <rFont val="Calibri"/>
      </rPr>
      <t xml:space="preserve">
</t>
    </r>
    <r>
      <rPr>
        <sz val="11"/>
        <color rgb="FF000000"/>
        <rFont val="Calibri"/>
      </rPr>
      <t>$ sudo yum list installed rng-tools</t>
    </r>
    <r>
      <rPr>
        <sz val="11"/>
        <color rgb="FF000000"/>
        <rFont val="Calibri"/>
      </rPr>
      <t xml:space="preserve">
</t>
    </r>
    <r>
      <rPr>
        <sz val="11"/>
        <color rgb="FF000000"/>
        <rFont val="Calibri"/>
      </rPr>
      <t>rng-tools.x86_64                     6.8-3.el8                        @anaconda</t>
    </r>
    <r>
      <rPr>
        <sz val="11"/>
        <color rgb="FF000000"/>
        <rFont val="Calibri"/>
      </rPr>
      <t xml:space="preserve">
</t>
    </r>
    <r>
      <rPr>
        <sz val="11"/>
        <color rgb="FF000000"/>
        <rFont val="Calibri"/>
      </rPr>
      <t>If the "rng-tools" package is not installed, this is a finding.</t>
    </r>
  </si>
  <si>
    <t>V-248601</t>
  </si>
  <si>
    <r>
      <rPr>
        <sz val="11"/>
        <rFont val="Calibri"/>
      </rPr>
      <t xml:space="preserve">The OL 8 SSH public host key files must have mode </t>
    </r>
    <r>
      <rPr>
        <sz val="11"/>
        <color rgb="FF000000"/>
        <rFont val="Calibri"/>
      </rPr>
      <t>"</t>
    </r>
    <r>
      <rPr>
        <b/>
        <sz val="11"/>
        <color rgb="FF000000"/>
        <rFont val="Calibri"/>
      </rPr>
      <t>0644</t>
    </r>
    <r>
      <rPr>
        <sz val="11"/>
        <color rgb="FF000000"/>
        <rFont val="Calibri"/>
      </rPr>
      <t>"</t>
    </r>
    <r>
      <rPr>
        <sz val="11"/>
        <color rgb="FF000000"/>
        <rFont val="Calibri"/>
      </rPr>
      <t xml:space="preserve"> or less permissive.</t>
    </r>
  </si>
  <si>
    <r>
      <rPr>
        <sz val="11"/>
        <color rgb="FF000000"/>
        <rFont val="Calibri"/>
      </rPr>
      <t xml:space="preserve">Change the mode of public host key files under "/etc/ssh" to "0644"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chmod 0644 /etc/ssh/*key.pub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The SSH daemon must be restarted for the changes to take effect. To restart the SSH daemon, run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systemctl restart sshd.service</t>
    </r>
  </si>
  <si>
    <r>
      <rPr>
        <sz val="11"/>
        <color rgb="FF000000"/>
        <rFont val="Calibri"/>
      </rPr>
      <t>If a public host key file is modified by an unauthorized user, the SSH service may be compromised.</t>
    </r>
  </si>
  <si>
    <r>
      <rPr>
        <sz val="11"/>
        <color rgb="FF000000"/>
        <rFont val="Calibri"/>
      </rPr>
      <t xml:space="preserve">Verify the SSH public host key files have mode "0644" or less permissive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ls -l /etc/ssh/*.pub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-rw-r--r-- 1 root wheel 618 Nov 28 06:43 ssh_host_dsa_key.pub </t>
    </r>
    <r>
      <rPr>
        <sz val="11"/>
        <color rgb="FF000000"/>
        <rFont val="Calibri"/>
      </rPr>
      <t xml:space="preserve">
</t>
    </r>
    <r>
      <rPr>
        <sz val="11"/>
        <color rgb="FF000000"/>
        <rFont val="Calibri"/>
      </rPr>
      <t xml:space="preserve">-rw-r--r-- 1 root wheel 347 Nov 28 06:43 ssh_host_key.pub </t>
    </r>
    <r>
      <rPr>
        <sz val="11"/>
        <color rgb="FF000000"/>
        <rFont val="Calibri"/>
      </rPr>
      <t xml:space="preserve">
</t>
    </r>
    <r>
      <rPr>
        <sz val="11"/>
        <color rgb="FF000000"/>
        <rFont val="Calibri"/>
      </rPr>
      <t xml:space="preserve">-rw-r--r-- 1 root wheel 238 Nov 28 06:43 ssh_host_rsa_key.pub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any "key.pub" file has a mode more permissive than "0644",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SSH public key files may be found in other directories on the system depending on the installation.</t>
    </r>
  </si>
  <si>
    <t>V-248602</t>
  </si>
  <si>
    <r>
      <rPr>
        <sz val="11"/>
        <rFont val="Calibri"/>
      </rPr>
      <t xml:space="preserve">The OL 8 SSH private host key files must have mode </t>
    </r>
    <r>
      <rPr>
        <sz val="11"/>
        <color rgb="FF000000"/>
        <rFont val="Calibri"/>
      </rPr>
      <t>"</t>
    </r>
    <r>
      <rPr>
        <b/>
        <sz val="11"/>
        <color rgb="FF000000"/>
        <rFont val="Calibri"/>
      </rPr>
      <t>0640</t>
    </r>
    <r>
      <rPr>
        <sz val="11"/>
        <color rgb="FF000000"/>
        <rFont val="Calibri"/>
      </rPr>
      <t>"</t>
    </r>
    <r>
      <rPr>
        <sz val="11"/>
        <color rgb="FF000000"/>
        <rFont val="Calibri"/>
      </rPr>
      <t xml:space="preserve"> or less permissive.</t>
    </r>
  </si>
  <si>
    <r>
      <rPr>
        <sz val="11"/>
        <color rgb="FF000000"/>
        <rFont val="Calibri"/>
      </rPr>
      <t xml:space="preserve">Configure the mode of SSH private host key files under "/etc/ssh" to "0640"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chmod 0640 /etc/ssh/ssh_host*key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The SSH daemon must be restarted for the changes to take effect. To restart the SSH daemon, run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systemctl restart sshd.service</t>
    </r>
  </si>
  <si>
    <r>
      <rPr>
        <sz val="11"/>
        <color rgb="FF000000"/>
        <rFont val="Calibri"/>
      </rPr>
      <t>If an unauthorized user obtains the private SSH host key file, the host could be impersonated.</t>
    </r>
  </si>
  <si>
    <r>
      <rPr>
        <sz val="11"/>
        <color rgb="FF000000"/>
        <rFont val="Calibri"/>
      </rPr>
      <t xml:space="preserve">Verify the SSH private host key files have mode "0640" or less permissive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ls -alL /etc/ssh/ssh_host*key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-rw-r----- 1 root wheel 668 Nov 28 06:43 ssh_host_dsa_key </t>
    </r>
    <r>
      <rPr>
        <sz val="11"/>
        <color rgb="FF000000"/>
        <rFont val="Calibri"/>
      </rPr>
      <t xml:space="preserve">
</t>
    </r>
    <r>
      <rPr>
        <sz val="11"/>
        <color rgb="FF000000"/>
        <rFont val="Calibri"/>
      </rPr>
      <t xml:space="preserve">     -rw-r----- 1 root wheel 582 Nov 28 06:43 ssh_host_key </t>
    </r>
    <r>
      <rPr>
        <sz val="11"/>
        <color rgb="FF000000"/>
        <rFont val="Calibri"/>
      </rPr>
      <t xml:space="preserve">
</t>
    </r>
    <r>
      <rPr>
        <sz val="11"/>
        <color rgb="FF000000"/>
        <rFont val="Calibri"/>
      </rPr>
      <t xml:space="preserve">     -rw-r----- 1 root wheel 887 Nov 28 06:43 ssh_host_rsa_key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any private host key file has a mode more permissive than "0640", this is a finding.</t>
    </r>
  </si>
  <si>
    <t>V-248603</t>
  </si>
  <si>
    <r>
      <rPr>
        <sz val="11"/>
        <rFont val="Calibri"/>
      </rPr>
      <t>The OL 8 SSH daemon must perform strict mode checking of home directory configuration files.</t>
    </r>
  </si>
  <si>
    <r>
      <rPr>
        <sz val="11"/>
        <color rgb="FF000000"/>
        <rFont val="Calibri"/>
      </rPr>
      <t xml:space="preserve">Configure SSH to perform strict mode checking of home directory configuration files.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Uncomment the "StrictModes" keyword in "/etc/ssh/sshd_config" and set the value to "yes":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StrictModes yes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The SSH daemon must be restarted for the changes to take effect. To restart the SSH daemon, run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systemctl restart sshd.service</t>
    </r>
  </si>
  <si>
    <r>
      <rPr>
        <sz val="11"/>
        <color rgb="FF000000"/>
        <rFont val="Calibri"/>
      </rPr>
      <t>If other users have access to modify user-specific SSH configuration files, they may be able to log on to the system as another user.</t>
    </r>
  </si>
  <si>
    <r>
      <rPr>
        <sz val="11"/>
        <color rgb="FF000000"/>
        <rFont val="Calibri"/>
      </rPr>
      <t>Verify the SSH daemon performs strict mode checking of home directory configuration files with the following command:</t>
    </r>
    <r>
      <rPr>
        <sz val="11"/>
        <color rgb="FF000000"/>
        <rFont val="Calibri"/>
      </rPr>
      <t xml:space="preserve">
</t>
    </r>
    <r>
      <rPr>
        <sz val="11"/>
        <color rgb="FF000000"/>
        <rFont val="Calibri"/>
      </rPr>
      <t>$ sudo /usr/sbin/sshd -dd 2&gt;&amp;1 | awk '/filename/ {print $4}' | tr -d '\r' | tr '\n' ' ' | xargs sudo grep -iH '^\s*strictmodes'</t>
    </r>
    <r>
      <rPr>
        <sz val="11"/>
        <color rgb="FF000000"/>
        <rFont val="Calibri"/>
      </rPr>
      <t xml:space="preserve">
</t>
    </r>
    <r>
      <rPr>
        <sz val="11"/>
        <color rgb="FF000000"/>
        <rFont val="Calibri"/>
      </rPr>
      <t>StrictModes yes</t>
    </r>
    <r>
      <rPr>
        <sz val="11"/>
        <color rgb="FF000000"/>
        <rFont val="Calibri"/>
      </rPr>
      <t xml:space="preserve">
</t>
    </r>
    <r>
      <rPr>
        <sz val="11"/>
        <color rgb="FF000000"/>
        <rFont val="Calibri"/>
      </rPr>
      <t xml:space="preserve">If "StrictModes" is set to "no" or is missing, or if the returned line is commented out, this is a finding. </t>
    </r>
    <r>
      <rPr>
        <sz val="11"/>
        <color rgb="FF000000"/>
        <rFont val="Calibri"/>
      </rPr>
      <t xml:space="preserve">
</t>
    </r>
    <r>
      <rPr>
        <sz val="11"/>
        <color rgb="FF000000"/>
        <rFont val="Calibri"/>
      </rPr>
      <t>If conflicting results are returned, this is a finding.</t>
    </r>
  </si>
  <si>
    <t>V-248605</t>
  </si>
  <si>
    <r>
      <rPr>
        <sz val="11"/>
        <rFont val="Calibri"/>
      </rPr>
      <t>The OL 8 SSH daemon must not allow authentication using known host</t>
    </r>
    <r>
      <rPr>
        <sz val="11"/>
        <color rgb="FF000000"/>
        <rFont val="Calibri"/>
      </rPr>
      <t>'</t>
    </r>
    <r>
      <rPr>
        <sz val="11"/>
        <color rgb="FF000000"/>
        <rFont val="Calibri"/>
      </rPr>
      <t>s authentication.</t>
    </r>
  </si>
  <si>
    <r>
      <rPr>
        <sz val="11"/>
        <color rgb="FF000000"/>
        <rFont val="Calibri"/>
      </rPr>
      <t xml:space="preserve">Configure the SSH daemon to not allow authentication using known host’s authentication.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the following line in "/etc/ssh/sshd_config", or uncomment the line and set the value to "yes":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IgnoreUserKnownHosts yes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The SSH daemon must be restarted for the changes to take effect. To restart the SSH daemon, run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systemctl restart sshd.service</t>
    </r>
  </si>
  <si>
    <r>
      <rPr>
        <sz val="11"/>
        <color rgb="FF000000"/>
        <rFont val="Calibri"/>
      </rPr>
      <t>Configuring this setting for the SSH daemon provides additional assurance that remote logon via SSH will require a password, even in the event of misconfiguration elsewhere.</t>
    </r>
  </si>
  <si>
    <r>
      <rPr>
        <sz val="11"/>
        <color rgb="FF000000"/>
        <rFont val="Calibri"/>
      </rPr>
      <t>Verify the SSH daemon does not allow authentication using known host’s authentication with the following command:</t>
    </r>
    <r>
      <rPr>
        <sz val="11"/>
        <color rgb="FF000000"/>
        <rFont val="Calibri"/>
      </rPr>
      <t xml:space="preserve">
</t>
    </r>
    <r>
      <rPr>
        <sz val="11"/>
        <color rgb="FF000000"/>
        <rFont val="Calibri"/>
      </rPr>
      <t>$ sudo /usr/sbin/sshd -dd 2&gt;&amp;1 | awk '/filename/ {print $4}' | tr -d '\r' | tr '\n' ' ' | xargs sudo grep -iH '^\s*ignoreuserknownhosts'</t>
    </r>
    <r>
      <rPr>
        <sz val="11"/>
        <color rgb="FF000000"/>
        <rFont val="Calibri"/>
      </rPr>
      <t xml:space="preserve">
</t>
    </r>
    <r>
      <rPr>
        <sz val="11"/>
        <color rgb="FF000000"/>
        <rFont val="Calibri"/>
      </rPr>
      <t>IgnoreUserKnownHosts yes</t>
    </r>
    <r>
      <rPr>
        <sz val="11"/>
        <color rgb="FF000000"/>
        <rFont val="Calibri"/>
      </rPr>
      <t xml:space="preserve">
</t>
    </r>
    <r>
      <rPr>
        <sz val="11"/>
        <color rgb="FF000000"/>
        <rFont val="Calibri"/>
      </rPr>
      <t>If the value is returned as "no", the returned line is commented out, or no output is returned, this is a finding.</t>
    </r>
    <r>
      <rPr>
        <sz val="11"/>
        <color rgb="FF000000"/>
        <rFont val="Calibri"/>
      </rPr>
      <t xml:space="preserve">
</t>
    </r>
    <r>
      <rPr>
        <sz val="11"/>
        <color rgb="FF000000"/>
        <rFont val="Calibri"/>
      </rPr>
      <t>If conflicting results are returned, this is a finding.</t>
    </r>
  </si>
  <si>
    <t>V-248606</t>
  </si>
  <si>
    <r>
      <rPr>
        <sz val="11"/>
        <rFont val="Calibri"/>
      </rPr>
      <t>The OL 8 SSH daemon must not allow Kerberos authentication, except to fulfill documented and validated mission requirements.</t>
    </r>
  </si>
  <si>
    <r>
      <rPr>
        <sz val="11"/>
        <color rgb="FF000000"/>
        <rFont val="Calibri"/>
      </rPr>
      <t xml:space="preserve">Configure the SSH daemon to not allow Kerberos authentication.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the following line in "/etc/ssh/sshd_config", or uncomment the line and set the value to "no":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KerberosAuthentication no</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The SSH daemon must be restarted for the changes to take effect. To restart the SSH daemon, run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systemctl restart sshd.service</t>
    </r>
  </si>
  <si>
    <r>
      <rPr>
        <sz val="11"/>
        <color rgb="FF000000"/>
        <rFont val="Calibri"/>
      </rPr>
      <t>Verify the SSH daemon does not allow Kerberos authentication with the following command:</t>
    </r>
    <r>
      <rPr>
        <sz val="11"/>
        <color rgb="FF000000"/>
        <rFont val="Calibri"/>
      </rPr>
      <t xml:space="preserve">
</t>
    </r>
    <r>
      <rPr>
        <sz val="11"/>
        <color rgb="FF000000"/>
        <rFont val="Calibri"/>
      </rPr>
      <t>$ sudo /usr/sbin/sshd -dd 2&gt;&amp;1 | awk '/filename/ {print $4}' | tr -d '\r' | tr '\n' ' ' | xargs sudo grep -iH '^\s*kerberosauthentication'</t>
    </r>
    <r>
      <rPr>
        <sz val="11"/>
        <color rgb="FF000000"/>
        <rFont val="Calibri"/>
      </rPr>
      <t xml:space="preserve">
</t>
    </r>
    <r>
      <rPr>
        <sz val="11"/>
        <color rgb="FF000000"/>
        <rFont val="Calibri"/>
      </rPr>
      <t>KerberosAuthentication no</t>
    </r>
    <r>
      <rPr>
        <sz val="11"/>
        <color rgb="FF000000"/>
        <rFont val="Calibri"/>
      </rPr>
      <t xml:space="preserve">
</t>
    </r>
    <r>
      <rPr>
        <sz val="11"/>
        <color rgb="FF000000"/>
        <rFont val="Calibri"/>
      </rPr>
      <t>If the value is returned as "yes", the returned line is commented out, or no output is returned or has not been documented with the information system security officer (ISSO), this is a finding.</t>
    </r>
    <r>
      <rPr>
        <sz val="11"/>
        <color rgb="FF000000"/>
        <rFont val="Calibri"/>
      </rPr>
      <t xml:space="preserve">
</t>
    </r>
    <r>
      <rPr>
        <sz val="11"/>
        <color rgb="FF000000"/>
        <rFont val="Calibri"/>
      </rPr>
      <t>If conflicting results are returned, this is a finding.</t>
    </r>
  </si>
  <si>
    <t>V-248607</t>
  </si>
  <si>
    <r>
      <rPr>
        <sz val="11"/>
        <rFont val="Calibri"/>
      </rPr>
      <t>The OL 8 SSH daemon must not allow GSSAPI authentication, except to fulfill documented and validated mission requirements.</t>
    </r>
  </si>
  <si>
    <r>
      <rPr>
        <sz val="11"/>
        <color rgb="FF000000"/>
        <rFont val="Calibri"/>
      </rPr>
      <t>Configure the SSH daemon to not allow GSSAPI authentication.</t>
    </r>
    <r>
      <rPr>
        <sz val="11"/>
        <color rgb="FF000000"/>
        <rFont val="Calibri"/>
      </rPr>
      <t xml:space="preserve">
</t>
    </r>
    <r>
      <rPr>
        <sz val="11"/>
        <color rgb="FF000000"/>
        <rFont val="Calibri"/>
      </rPr>
      <t>Add the following line in "/etc/ssh/sshd_config", or uncomment the line and set the value to "no":</t>
    </r>
    <r>
      <rPr>
        <sz val="11"/>
        <color rgb="FF000000"/>
        <rFont val="Calibri"/>
      </rPr>
      <t xml:space="preserve">
</t>
    </r>
    <r>
      <rPr>
        <sz val="11"/>
        <color rgb="FF000000"/>
        <rFont val="Calibri"/>
      </rPr>
      <t>GSSAPIAuthentication no</t>
    </r>
    <r>
      <rPr>
        <sz val="11"/>
        <color rgb="FF000000"/>
        <rFont val="Calibri"/>
      </rPr>
      <t xml:space="preserve">
</t>
    </r>
    <r>
      <rPr>
        <sz val="11"/>
        <color rgb="FF000000"/>
        <rFont val="Calibri"/>
      </rPr>
      <t>The SSH daemon must be restarted for the changes to take effect. To restart the SSH daemon, run the following command:</t>
    </r>
    <r>
      <rPr>
        <sz val="11"/>
        <color rgb="FF000000"/>
        <rFont val="Calibri"/>
      </rPr>
      <t xml:space="preserve">
</t>
    </r>
    <r>
      <rPr>
        <sz val="11"/>
        <color rgb="FF000000"/>
        <rFont val="Calibri"/>
      </rPr>
      <t>$ sudo systemctl restart sshd.service</t>
    </r>
  </si>
  <si>
    <r>
      <rPr>
        <sz val="11"/>
        <color rgb="FF000000"/>
        <rFont val="Calibri"/>
      </rPr>
      <t>Verify the SSH daemon does not allow GSSAPI authentication with the following command:</t>
    </r>
    <r>
      <rPr>
        <sz val="11"/>
        <color rgb="FF000000"/>
        <rFont val="Calibri"/>
      </rPr>
      <t xml:space="preserve">
</t>
    </r>
    <r>
      <rPr>
        <sz val="11"/>
        <color rgb="FF000000"/>
        <rFont val="Calibri"/>
      </rPr>
      <t>$ sudo /usr/sbin/sshd -dd 2&gt;&amp;1 | awk '/filename/ {print $4}' | tr -d '\r' | tr '\n' ' ' | xargs sudo grep -iH '^\s*gssapiauthentication'</t>
    </r>
    <r>
      <rPr>
        <sz val="11"/>
        <color rgb="FF000000"/>
        <rFont val="Calibri"/>
      </rPr>
      <t xml:space="preserve">
</t>
    </r>
    <r>
      <rPr>
        <sz val="11"/>
        <color rgb="FF000000"/>
        <rFont val="Calibri"/>
      </rPr>
      <t>GSSAPIAuthentication no</t>
    </r>
    <r>
      <rPr>
        <sz val="11"/>
        <color rgb="FF000000"/>
        <rFont val="Calibri"/>
      </rPr>
      <t xml:space="preserve">
</t>
    </r>
    <r>
      <rPr>
        <sz val="11"/>
        <color rgb="FF000000"/>
        <rFont val="Calibri"/>
      </rPr>
      <t>If the value is returned as "yes", the returned line is commented out, or no output is returned or has not been documented with the information system security officer (ISSO), this is a finding.</t>
    </r>
    <r>
      <rPr>
        <sz val="11"/>
        <color rgb="FF000000"/>
        <rFont val="Calibri"/>
      </rPr>
      <t xml:space="preserve">
</t>
    </r>
    <r>
      <rPr>
        <sz val="11"/>
        <color rgb="FF000000"/>
        <rFont val="Calibri"/>
      </rPr>
      <t>If conflicting results are returned, this is a finding.</t>
    </r>
  </si>
  <si>
    <t>V-248608</t>
  </si>
  <si>
    <r>
      <rPr>
        <sz val="11"/>
        <rFont val="Calibri"/>
      </rPr>
      <t xml:space="preserve">OL 8 must use a separate file system for </t>
    </r>
    <r>
      <rPr>
        <sz val="11"/>
        <color rgb="FF000000"/>
        <rFont val="Calibri"/>
      </rPr>
      <t>"</t>
    </r>
    <r>
      <rPr>
        <b/>
        <sz val="11"/>
        <color rgb="FF000000"/>
        <rFont val="Calibri"/>
      </rPr>
      <t>/var</t>
    </r>
    <r>
      <rPr>
        <sz val="11"/>
        <color rgb="FF000000"/>
        <rFont val="Calibri"/>
      </rPr>
      <t>"</t>
    </r>
    <r>
      <rPr>
        <sz val="11"/>
        <color rgb="FF000000"/>
        <rFont val="Calibri"/>
      </rPr>
      <t>.</t>
    </r>
  </si>
  <si>
    <r>
      <rPr>
        <sz val="11"/>
        <color rgb="FF000000"/>
        <rFont val="Calibri"/>
      </rPr>
      <t>Migrate the "/var" path onto a separate file system.</t>
    </r>
  </si>
  <si>
    <r>
      <rPr>
        <sz val="11"/>
        <color rgb="FF000000"/>
        <rFont val="Calibri"/>
      </rPr>
      <t>The use of separate file systems for different paths can protect the system from failures resulting from a file system becoming full or failing.</t>
    </r>
  </si>
  <si>
    <r>
      <rPr>
        <sz val="11"/>
        <color rgb="FF000000"/>
        <rFont val="Calibri"/>
      </rPr>
      <t xml:space="preserve">Verify that a separate file system has been created for "/var"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grep /var /etc/fstab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/dev/mapper/...   /var   xfs   defaults,nodev 0 0</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 separate entry for "/var" is not in use, this is a finding.</t>
    </r>
  </si>
  <si>
    <t>V-248609</t>
  </si>
  <si>
    <r>
      <rPr>
        <sz val="11"/>
        <rFont val="Calibri"/>
      </rPr>
      <t xml:space="preserve">OL 8 must use a separate file system for </t>
    </r>
    <r>
      <rPr>
        <sz val="11"/>
        <color rgb="FF000000"/>
        <rFont val="Calibri"/>
      </rPr>
      <t>"</t>
    </r>
    <r>
      <rPr>
        <b/>
        <sz val="11"/>
        <color rgb="FF000000"/>
        <rFont val="Calibri"/>
      </rPr>
      <t>/var/log</t>
    </r>
    <r>
      <rPr>
        <sz val="11"/>
        <color rgb="FF000000"/>
        <rFont val="Calibri"/>
      </rPr>
      <t>"</t>
    </r>
    <r>
      <rPr>
        <sz val="11"/>
        <color rgb="FF000000"/>
        <rFont val="Calibri"/>
      </rPr>
      <t>.</t>
    </r>
  </si>
  <si>
    <r>
      <rPr>
        <sz val="11"/>
        <color rgb="FF000000"/>
        <rFont val="Calibri"/>
      </rPr>
      <t>Migrate the "/var/log" path onto a separate file system.</t>
    </r>
  </si>
  <si>
    <r>
      <rPr>
        <sz val="11"/>
        <color rgb="FF000000"/>
        <rFont val="Calibri"/>
      </rPr>
      <t>Verify that a separate file system has been created for "/var/log".</t>
    </r>
    <r>
      <rPr>
        <sz val="11"/>
        <color rgb="FF000000"/>
        <rFont val="Calibri"/>
      </rPr>
      <t xml:space="preserve">
</t>
    </r>
    <r>
      <rPr>
        <sz val="11"/>
        <color rgb="FF000000"/>
        <rFont val="Calibri"/>
      </rPr>
      <t>Check that a file system has been created for "/var/log" with the following command:</t>
    </r>
    <r>
      <rPr>
        <sz val="11"/>
        <color rgb="FF000000"/>
        <rFont val="Calibri"/>
      </rPr>
      <t xml:space="preserve">
</t>
    </r>
    <r>
      <rPr>
        <sz val="11"/>
        <color rgb="FF000000"/>
        <rFont val="Calibri"/>
      </rPr>
      <t xml:space="preserve">     $ sudo grep /var/log /etc/fstab</t>
    </r>
    <r>
      <rPr>
        <sz val="11"/>
        <color rgb="FF000000"/>
        <rFont val="Calibri"/>
      </rPr>
      <t xml:space="preserve">
</t>
    </r>
    <r>
      <rPr>
        <sz val="11"/>
        <color rgb="FF000000"/>
        <rFont val="Calibri"/>
      </rPr>
      <t xml:space="preserve">     /dev/mapper/...   /var/log   xfs   defaults,nodev,noexec,nosuid 0 0</t>
    </r>
    <r>
      <rPr>
        <sz val="11"/>
        <color rgb="FF000000"/>
        <rFont val="Calibri"/>
      </rPr>
      <t xml:space="preserve">
</t>
    </r>
    <r>
      <rPr>
        <sz val="11"/>
        <color rgb="FF000000"/>
        <rFont val="Calibri"/>
      </rPr>
      <t>If a separate entry for "/var/log" is not in use, this is a finding.</t>
    </r>
  </si>
  <si>
    <t>V-248610</t>
  </si>
  <si>
    <r>
      <rPr>
        <sz val="11"/>
        <rFont val="Calibri"/>
      </rPr>
      <t>OL 8 must use a separate file system for the system audit data path.</t>
    </r>
  </si>
  <si>
    <r>
      <rPr>
        <sz val="11"/>
        <color rgb="FF000000"/>
        <rFont val="Calibri"/>
      </rPr>
      <t>Migrate the system audit data path onto a separate file system.</t>
    </r>
  </si>
  <si>
    <r>
      <rPr>
        <sz val="11"/>
        <color rgb="FF000000"/>
        <rFont val="Calibri"/>
      </rPr>
      <t xml:space="preserve">Verify that a separate file system/partition has been created for the system audit data path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Note: "/var/log/audit" is used as the example as it is a common location.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grep /var/log/audit /etc/fstab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UUID=3645951a /var/log/audit ext4 defaults 1 2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an entry for "/var/log/audit" does not exist, ask the System Administrator if the system audit logs are being written to a different file system/partition on the system and then grep for that file system/partition.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 separate file system/partition does not exist for the system audit data path, this is a finding.</t>
    </r>
  </si>
  <si>
    <t>V-248611</t>
  </si>
  <si>
    <r>
      <rPr>
        <sz val="11"/>
        <rFont val="Calibri"/>
      </rPr>
      <t xml:space="preserve">OL 8 must use a separate file system for </t>
    </r>
    <r>
      <rPr>
        <sz val="11"/>
        <color rgb="FF000000"/>
        <rFont val="Calibri"/>
      </rPr>
      <t>"</t>
    </r>
    <r>
      <rPr>
        <b/>
        <sz val="11"/>
        <color rgb="FF000000"/>
        <rFont val="Calibri"/>
      </rPr>
      <t>/tmp</t>
    </r>
    <r>
      <rPr>
        <sz val="11"/>
        <color rgb="FF000000"/>
        <rFont val="Calibri"/>
      </rPr>
      <t>"</t>
    </r>
    <r>
      <rPr>
        <sz val="11"/>
        <color rgb="FF000000"/>
        <rFont val="Calibri"/>
      </rPr>
      <t>.</t>
    </r>
  </si>
  <si>
    <r>
      <rPr>
        <sz val="11"/>
        <color rgb="FF000000"/>
        <rFont val="Calibri"/>
      </rPr>
      <t>Migrate the "/tmp" directory onto a separate file system/partition.</t>
    </r>
  </si>
  <si>
    <r>
      <rPr>
        <sz val="11"/>
        <color rgb="FF000000"/>
        <rFont val="Calibri"/>
      </rPr>
      <t>The use of separate file systems for different paths can protect the system from failures resulting from a file system becoming full or failing.</t>
    </r>
    <r>
      <rPr>
        <sz val="11"/>
        <color rgb="FF000000"/>
        <rFont val="Calibri"/>
      </rPr>
      <t xml:space="preserve">
</t>
    </r>
    <r>
      <rPr>
        <sz val="11"/>
        <color rgb="FF000000"/>
        <rFont val="Calibri"/>
      </rPr>
      <t>Check Text: Verify that a separate file system/partition has been created for non-privileged local interactive user home directories.</t>
    </r>
    <r>
      <rPr>
        <sz val="11"/>
        <color rgb="FF000000"/>
        <rFont val="Calibri"/>
      </rPr>
      <t xml:space="preserve">
</t>
    </r>
    <r>
      <rPr>
        <sz val="11"/>
        <color rgb="FF000000"/>
        <rFont val="Calibri"/>
      </rPr>
      <t>$ sudo grep /tmp /etc/fstab</t>
    </r>
    <r>
      <rPr>
        <sz val="11"/>
        <color rgb="FF000000"/>
        <rFont val="Calibri"/>
      </rPr>
      <t xml:space="preserve">
</t>
    </r>
    <r>
      <rPr>
        <sz val="11"/>
        <color rgb="FF000000"/>
        <rFont val="Calibri"/>
      </rPr>
      <t xml:space="preserve">/dev/mapper/ol-tmp /tmp xfs defaults,nodev,nosuid,noexec 0 0 </t>
    </r>
    <r>
      <rPr>
        <sz val="11"/>
        <color rgb="FF000000"/>
        <rFont val="Calibri"/>
      </rPr>
      <t xml:space="preserve">
</t>
    </r>
    <r>
      <rPr>
        <sz val="11"/>
        <color rgb="FF000000"/>
        <rFont val="Calibri"/>
      </rPr>
      <t>If a separate entry for the file system/partition "/tmp" does not exist, this is a finding.</t>
    </r>
  </si>
  <si>
    <t>V-248612</t>
  </si>
  <si>
    <r>
      <rPr>
        <sz val="11"/>
        <rFont val="Calibri"/>
      </rPr>
      <t>OL 8 must use a separate file system for /var/tmp.</t>
    </r>
  </si>
  <si>
    <r>
      <rPr>
        <sz val="11"/>
        <color rgb="FF000000"/>
        <rFont val="Calibri"/>
      </rPr>
      <t>Migrate the "/var/tmp" path onto a separate file system.</t>
    </r>
  </si>
  <si>
    <r>
      <rPr>
        <sz val="11"/>
        <color rgb="FF000000"/>
        <rFont val="Calibri"/>
      </rPr>
      <t>Verify that a separate file system has been created for "/var/tmp".</t>
    </r>
    <r>
      <rPr>
        <sz val="11"/>
        <color rgb="FF000000"/>
        <rFont val="Calibri"/>
      </rPr>
      <t xml:space="preserve">
</t>
    </r>
    <r>
      <rPr>
        <sz val="11"/>
        <color rgb="FF000000"/>
        <rFont val="Calibri"/>
      </rPr>
      <t>Check that a file system has been created for "/var/tmp" with the following command:</t>
    </r>
    <r>
      <rPr>
        <sz val="11"/>
        <color rgb="FF000000"/>
        <rFont val="Calibri"/>
      </rPr>
      <t xml:space="preserve">
</t>
    </r>
    <r>
      <rPr>
        <sz val="11"/>
        <color rgb="FF000000"/>
        <rFont val="Calibri"/>
      </rPr>
      <t xml:space="preserve">     $ sudo grep /var/tmp /etc/fstab</t>
    </r>
    <r>
      <rPr>
        <sz val="11"/>
        <color rgb="FF000000"/>
        <rFont val="Calibri"/>
      </rPr>
      <t xml:space="preserve">
</t>
    </r>
    <r>
      <rPr>
        <sz val="11"/>
        <color rgb="FF000000"/>
        <rFont val="Calibri"/>
      </rPr>
      <t xml:space="preserve">     /dev/mapper/...   /var/tmp   xfs   defaults,nodev,noexec,nosuid 0 0</t>
    </r>
    <r>
      <rPr>
        <sz val="11"/>
        <color rgb="FF000000"/>
        <rFont val="Calibri"/>
      </rPr>
      <t xml:space="preserve">
</t>
    </r>
    <r>
      <rPr>
        <sz val="11"/>
        <color rgb="FF000000"/>
        <rFont val="Calibri"/>
      </rPr>
      <t>If a separate entry for "/var/tmp" is not in use, this is a finding.</t>
    </r>
  </si>
  <si>
    <t>V-248613</t>
  </si>
  <si>
    <r>
      <rPr>
        <sz val="11"/>
        <rFont val="Calibri"/>
      </rPr>
      <t>OL 8 must not permit direct logons to the root account using remote access via SSH.</t>
    </r>
  </si>
  <si>
    <r>
      <rPr>
        <sz val="11"/>
        <color rgb="FF000000"/>
        <rFont val="Calibri"/>
      </rPr>
      <t xml:space="preserve">Configure OL 8 to stop users from logging on remotely as the "root" user via SSH.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Edit the appropriate "/etc/ssh/sshd_config" file to uncomment or add the line for the "PermitRootLogin" keyword and set its value to "no":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PermitRootLogin no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The SSH daemon must be restarted for the changes to take effect. To restart the SSH daemon, run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systemctl restart sshd.service</t>
    </r>
  </si>
  <si>
    <r>
      <rPr>
        <sz val="11"/>
        <color rgb="FF000000"/>
        <rFont val="Calibri"/>
      </rPr>
      <t>Although the communications channel may be encrypted, an additional layer of security is gained by extending the policy of not logging on directly as root. In addition, logging on with a user-specific account provides individual accountability of actions performed on the system.</t>
    </r>
  </si>
  <si>
    <r>
      <rPr>
        <sz val="11"/>
        <color rgb="FF000000"/>
        <rFont val="Calibri"/>
      </rPr>
      <t>Verify remote access using SSH prevents users from logging on directly as "root" with the following command:</t>
    </r>
    <r>
      <rPr>
        <sz val="11"/>
        <color rgb="FF000000"/>
        <rFont val="Calibri"/>
      </rPr>
      <t xml:space="preserve">
</t>
    </r>
    <r>
      <rPr>
        <sz val="11"/>
        <color rgb="FF000000"/>
        <rFont val="Calibri"/>
      </rPr>
      <t>$ sudo /usr/sbin/sshd -dd 2&gt;&amp;1 | awk '/filename/ {print $4}' | tr -d '\r' | tr '\n' ' ' | xargs sudo grep -iH '^\s*permitrootlogin'</t>
    </r>
    <r>
      <rPr>
        <sz val="11"/>
        <color rgb="FF000000"/>
        <rFont val="Calibri"/>
      </rPr>
      <t xml:space="preserve">
</t>
    </r>
    <r>
      <rPr>
        <sz val="11"/>
        <color rgb="FF000000"/>
        <rFont val="Calibri"/>
      </rPr>
      <t>PermitRootLogin no</t>
    </r>
    <r>
      <rPr>
        <sz val="11"/>
        <color rgb="FF000000"/>
        <rFont val="Calibri"/>
      </rPr>
      <t xml:space="preserve">
</t>
    </r>
    <r>
      <rPr>
        <sz val="11"/>
        <color rgb="FF000000"/>
        <rFont val="Calibri"/>
      </rPr>
      <t>If the "PermitRootLogin" keyword is set to "yes", is missing, or is commented out, this is a finding.</t>
    </r>
    <r>
      <rPr>
        <sz val="11"/>
        <color rgb="FF000000"/>
        <rFont val="Calibri"/>
      </rPr>
      <t xml:space="preserve">
</t>
    </r>
    <r>
      <rPr>
        <sz val="11"/>
        <color rgb="FF000000"/>
        <rFont val="Calibri"/>
      </rPr>
      <t>If conflicting results are returned, this is a finding.</t>
    </r>
  </si>
  <si>
    <t>V-248615</t>
  </si>
  <si>
    <r>
      <rPr>
        <sz val="11"/>
        <rFont val="Calibri"/>
      </rPr>
      <t>OL 8 must have the rsyslog service enabled and active.</t>
    </r>
  </si>
  <si>
    <r>
      <rPr>
        <sz val="11"/>
        <color rgb="FF000000"/>
        <rFont val="Calibri"/>
      </rPr>
      <t xml:space="preserve">Start and enable the rsyslog service with the following commands: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systemctl start rsyslog.service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systemctl enable rsyslog.service</t>
    </r>
  </si>
  <si>
    <r>
      <rPr>
        <sz val="11"/>
        <color rgb="FF000000"/>
        <rFont val="Calibri"/>
      </rPr>
      <t xml:space="preserve">Configuring OL 8 to implement organization-wide security implementation guides and security checklists ensures compliance with federal standards and establishes a common security baseline across the DoD that reflects the most restrictive security posture consistent with operational requirements.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Configuration settings are the set of parameters that can be changed in hardware, software, or firmware components of the system that affect the security posture and/or functionality of the system. Security-related parameters are parameters impacting the security state of the system, including the parameters required to satisfy other security control requirements. Security-related parameters include, for example, registry settings; account, file, and directory permission settings; and settings for functions, ports, protocols, services, and remote connections.</t>
    </r>
  </si>
  <si>
    <r>
      <rPr>
        <sz val="11"/>
        <color rgb="FF000000"/>
        <rFont val="Calibri"/>
      </rPr>
      <t xml:space="preserve">Verify the rsyslog service is enabled and active with the following commands: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systemctl is-enabled rsyslog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enabled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systemctl is-active rsyslog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active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service is not enabled and active, this is a finding.</t>
    </r>
  </si>
  <si>
    <t>V-248616</t>
  </si>
  <si>
    <r>
      <rPr>
        <sz val="11"/>
        <rFont val="Calibri"/>
      </rPr>
      <t>OL 8 must prevent files with the setuid and setgid bit set from being executed on file systems that contain user home directories.</t>
    </r>
  </si>
  <si>
    <r>
      <rPr>
        <sz val="11"/>
        <color rgb="FF000000"/>
        <rFont val="Calibri"/>
      </rPr>
      <t>Configure "/etc/fstab" to use the "nosuid" option on file systems that contain user home directories for interactive users.</t>
    </r>
  </si>
  <si>
    <r>
      <rPr>
        <sz val="11"/>
        <color rgb="FF000000"/>
        <rFont val="Calibri"/>
      </rPr>
      <t>The "nosuid" mount option causes the system not to execute "setuid" and "setgid" files with owner privileges. This option must be used for mounting any file system not containing approved "setuid" and "setguid" files. Executing files from untrusted file systems increases the opportunity for unprivileged users to attain unauthorized administrative access.</t>
    </r>
  </si>
  <si>
    <r>
      <rPr>
        <sz val="11"/>
        <color rgb="FF000000"/>
        <rFont val="Calibri"/>
      </rPr>
      <t>Verify that file systems containing user home directories are mounted with the "nosuid" option.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Find the file system(s) that contain the user home directories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awk -F: '($3&gt;=1000)&amp;&amp;($1!="nobody"){print $1,$3,$6}' /etc/passwd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smithj 1001 /home/smithj </t>
    </r>
    <r>
      <rPr>
        <sz val="11"/>
        <color rgb="FF000000"/>
        <rFont val="Calibri"/>
      </rPr>
      <t xml:space="preserve">
</t>
    </r>
    <r>
      <rPr>
        <sz val="11"/>
        <color rgb="FF000000"/>
        <rFont val="Calibri"/>
      </rPr>
      <t xml:space="preserve">robinst 1002 /home/robinst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Check the file systems that are mounted at boot time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more /etc/fstab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UUID=a411dc99-f2a1-4c87-9e05-184977be8539 /home ext4 rw,relatime,discard,data=ordered,nosuid,nodev,noexec 0 2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 file system found in "/etc/fstab" refers to the user home directory file system and it does not have the "nosuid" option set, this is a finding.</t>
    </r>
  </si>
  <si>
    <t>V-248617</t>
  </si>
  <si>
    <r>
      <rPr>
        <sz val="11"/>
        <rFont val="Calibri"/>
      </rPr>
      <t>OL 8 must prevent files with the setuid and setgid bit set from being executed on the /boot directory.</t>
    </r>
  </si>
  <si>
    <r>
      <rPr>
        <sz val="11"/>
        <color rgb="FF000000"/>
        <rFont val="Calibri"/>
      </rPr>
      <t>Configure the "/etc/fstab" to use the "nosuid" option on the /boot directory.</t>
    </r>
  </si>
  <si>
    <r>
      <rPr>
        <sz val="11"/>
        <color rgb="FF000000"/>
        <rFont val="Calibri"/>
      </rPr>
      <t>For systems that use UEFI, this is Not Applicable.</t>
    </r>
    <r>
      <rPr>
        <sz val="11"/>
        <color rgb="FF000000"/>
        <rFont val="Calibri"/>
      </rPr>
      <t xml:space="preserve">
</t>
    </r>
    <r>
      <rPr>
        <sz val="11"/>
        <color rgb="FF000000"/>
        <rFont val="Calibri"/>
      </rPr>
      <t>Verify the /boot directory is mounted with the "nosuid" option with the following command:</t>
    </r>
    <r>
      <rPr>
        <sz val="11"/>
        <color rgb="FF000000"/>
        <rFont val="Calibri"/>
      </rPr>
      <t xml:space="preserve">
</t>
    </r>
    <r>
      <rPr>
        <sz val="11"/>
        <color rgb="FF000000"/>
        <rFont val="Calibri"/>
      </rPr>
      <t>$ sudo mount | grep '\s/boot\s'</t>
    </r>
    <r>
      <rPr>
        <sz val="11"/>
        <color rgb="FF000000"/>
        <rFont val="Calibri"/>
      </rPr>
      <t xml:space="preserve">
</t>
    </r>
    <r>
      <rPr>
        <sz val="11"/>
        <color rgb="FF000000"/>
        <rFont val="Calibri"/>
      </rPr>
      <t>/dev/sda1 on /boot type xfs (rw,nosuid,relatime,seclabe,attr2,inode64,noquota)</t>
    </r>
    <r>
      <rPr>
        <sz val="11"/>
        <color rgb="FF000000"/>
        <rFont val="Calibri"/>
      </rPr>
      <t xml:space="preserve">
</t>
    </r>
    <r>
      <rPr>
        <sz val="11"/>
        <color rgb="FF000000"/>
        <rFont val="Calibri"/>
      </rPr>
      <t>If the /boot file system does not have the "nosuid" option set, this is a finding.</t>
    </r>
  </si>
  <si>
    <t>V-248618</t>
  </si>
  <si>
    <r>
      <rPr>
        <sz val="11"/>
        <rFont val="Calibri"/>
      </rPr>
      <t>OL 8 must prevent files with the setuid and setgid bit set from being executed on the /boot/efi directory.</t>
    </r>
  </si>
  <si>
    <r>
      <rPr>
        <sz val="11"/>
        <color rgb="FF000000"/>
        <rFont val="Calibri"/>
      </rPr>
      <t>Configure the "/etc/fstab" to use the "nosuid" option on the /boot/efi directory.</t>
    </r>
  </si>
  <si>
    <r>
      <rPr>
        <sz val="11"/>
        <color rgb="FF000000"/>
        <rFont val="Calibri"/>
      </rPr>
      <t>The "nosuid" mount option causes the system not to execute "setuid" and "setgid" files with owner privileges. This option must be used for mounting any file system not containing approved "setuid" and "setguid" files. Executing files from untrusted file systems increases the opportunity for nonprivileged users to attain unauthorized administrative access.</t>
    </r>
  </si>
  <si>
    <r>
      <rPr>
        <sz val="11"/>
        <color rgb="FF000000"/>
        <rFont val="Calibri"/>
      </rPr>
      <t>Note: For systems that use BIOS, this is not applicable.</t>
    </r>
    <r>
      <rPr>
        <sz val="11"/>
        <color rgb="FF000000"/>
        <rFont val="Calibri"/>
      </rPr>
      <t xml:space="preserve">
</t>
    </r>
    <r>
      <rPr>
        <sz val="11"/>
        <color rgb="FF000000"/>
        <rFont val="Calibri"/>
      </rPr>
      <t>Verify the /boot/efi directory is mounted with the "nosuid" option with the following command:</t>
    </r>
    <r>
      <rPr>
        <sz val="11"/>
        <color rgb="FF000000"/>
        <rFont val="Calibri"/>
      </rPr>
      <t xml:space="preserve">
</t>
    </r>
    <r>
      <rPr>
        <sz val="11"/>
        <color rgb="FF000000"/>
        <rFont val="Calibri"/>
      </rPr>
      <t>$ sudo mount | grep '\s/boot/efi\s'</t>
    </r>
    <r>
      <rPr>
        <sz val="11"/>
        <color rgb="FF000000"/>
        <rFont val="Calibri"/>
      </rPr>
      <t xml:space="preserve">
</t>
    </r>
    <r>
      <rPr>
        <sz val="11"/>
        <color rgb="FF000000"/>
        <rFont val="Calibri"/>
      </rPr>
      <t>/dev/sda1 on /boot/efi type vfat (rw,nosuid,relatime,fmask=0077,dmask=0077,codepage=437,iocharset=ascii,shortname=winnt,errors=remount-ro)</t>
    </r>
    <r>
      <rPr>
        <sz val="11"/>
        <color rgb="FF000000"/>
        <rFont val="Calibri"/>
      </rPr>
      <t xml:space="preserve">
</t>
    </r>
    <r>
      <rPr>
        <sz val="11"/>
        <color rgb="FF000000"/>
        <rFont val="Calibri"/>
      </rPr>
      <t>If the /boot/efi file system does not have the "nosuid" option set, this is a finding.</t>
    </r>
  </si>
  <si>
    <t>V-248619</t>
  </si>
  <si>
    <r>
      <rPr>
        <sz val="11"/>
        <rFont val="Calibri"/>
      </rPr>
      <t>OL 8 must prevent special devices on nonroot local partitions.</t>
    </r>
  </si>
  <si>
    <r>
      <rPr>
        <sz val="11"/>
        <color rgb="FF000000"/>
        <rFont val="Calibri"/>
      </rPr>
      <t>Configure the "/etc/fstab" to use the "nodev" option on all nonroot local partitions.</t>
    </r>
  </si>
  <si>
    <r>
      <rPr>
        <sz val="11"/>
        <color rgb="FF000000"/>
        <rFont val="Calibri"/>
      </rPr>
      <t>The "nodev" mount option causes the system to not interpret character or block special devices. Executing character or block special devices from untrusted file systems increases the opportunity for nonprivileged users to attain unauthorized administrative access. The only legitimate location for device files is the /dev directory located on the root partition.</t>
    </r>
  </si>
  <si>
    <r>
      <rPr>
        <sz val="11"/>
        <color rgb="FF000000"/>
        <rFont val="Calibri"/>
      </rPr>
      <t>Verify all nonroot local partitions are mounted with the "nodev" option with the following command:</t>
    </r>
    <r>
      <rPr>
        <sz val="11"/>
        <color rgb="FF000000"/>
        <rFont val="Calibri"/>
      </rPr>
      <t xml:space="preserve">
</t>
    </r>
    <r>
      <rPr>
        <sz val="11"/>
        <color rgb="FF000000"/>
        <rFont val="Calibri"/>
      </rPr>
      <t>$ sudo mount | grep '^/dev\S* on /\S' | grep --invert-match 'nodev'</t>
    </r>
    <r>
      <rPr>
        <sz val="11"/>
        <color rgb="FF000000"/>
        <rFont val="Calibri"/>
      </rPr>
      <t xml:space="preserve">
</t>
    </r>
    <r>
      <rPr>
        <sz val="11"/>
        <color rgb="FF000000"/>
        <rFont val="Calibri"/>
      </rPr>
      <t>If any output is produced, this is a finding.</t>
    </r>
  </si>
  <si>
    <t>V-248620</t>
  </si>
  <si>
    <r>
      <rPr>
        <sz val="11"/>
        <rFont val="Calibri"/>
      </rPr>
      <t>OL 8 file systems that contain user home directories must not execute binary files.</t>
    </r>
  </si>
  <si>
    <r>
      <rPr>
        <sz val="11"/>
        <color rgb="FF000000"/>
        <rFont val="Calibri"/>
      </rPr>
      <t>Configure the "/etc/fstab" to use the "noexec" option on file systems that contain user home directories for interactive users.</t>
    </r>
  </si>
  <si>
    <r>
      <rPr>
        <sz val="11"/>
        <color rgb="FF000000"/>
        <rFont val="Calibri"/>
      </rPr>
      <t>The "noexec" mount option causes the system not to execute binary files. This option must be used for mounting any file system not containing approved binary files, as they may be incompatible. Executing files from untrusted file systems increases the opportunity for unprivileged users to attain unauthorized administrative access.</t>
    </r>
  </si>
  <si>
    <r>
      <rPr>
        <sz val="11"/>
        <color rgb="FF000000"/>
        <rFont val="Calibri"/>
      </rPr>
      <t>Verify that file systems containing user home directories are mounted with the "noexec" option.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Find the file system(s) that contain the user home directories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awk -F: '($3&gt;=1000)&amp;&amp;($1!="nobody"){print $1,$3,$6}' /etc/passwd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smithj 1001 /home/smithj </t>
    </r>
    <r>
      <rPr>
        <sz val="11"/>
        <color rgb="FF000000"/>
        <rFont val="Calibri"/>
      </rPr>
      <t xml:space="preserve">
</t>
    </r>
    <r>
      <rPr>
        <sz val="11"/>
        <color rgb="FF000000"/>
        <rFont val="Calibri"/>
      </rPr>
      <t xml:space="preserve">robinst 1002 /home/robinst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Check the file systems that are mounted at boot time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more /etc/fstab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UUID=a411dc99-f2a1-4c87-9e05-184977be8539 /home ext4 rw,relatime,discard,data=ordered,nosuid,nodev,noexec 0 2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 file system found in "/etc/fstab" refers to the user home directory file system and it does not have the "noexec" option set, this is a finding.</t>
    </r>
  </si>
  <si>
    <t>V-248621</t>
  </si>
  <si>
    <r>
      <rPr>
        <sz val="11"/>
        <rFont val="Calibri"/>
      </rPr>
      <t>OL 8 file systems must not interpret character or block special devices from untrusted file systems.</t>
    </r>
  </si>
  <si>
    <r>
      <rPr>
        <sz val="11"/>
        <color rgb="FF000000"/>
        <rFont val="Calibri"/>
      </rPr>
      <t>Configure the "/etc/fstab" to use the "nodev" option on file systems that are associated with removable media.</t>
    </r>
  </si>
  <si>
    <r>
      <rPr>
        <sz val="11"/>
        <color rgb="FF000000"/>
        <rFont val="Calibri"/>
      </rPr>
      <t>The "nodev" mount option causes the system not to interpret character or block special devices. Executing character or block special devices from untrusted file systems increases the opportunity for unprivileged users to attain unauthorized administrative access.</t>
    </r>
  </si>
  <si>
    <r>
      <rPr>
        <sz val="11"/>
        <color rgb="FF000000"/>
        <rFont val="Calibri"/>
      </rPr>
      <t xml:space="preserve">Verify that file systems used for removable media are mounted with the "nodev" option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more /etc/fstab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UUID=2bc871e4-e2a3-4f29-9ece-3be60c835222 /mnt/usbflash vfat noauto,owner,ro,nosuid,nodev,noexec 0 0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 file system found in "/etc/fstab" refers to removable media and it does not have the "nodev" option set, this is a finding.</t>
    </r>
  </si>
  <si>
    <t>V-248622</t>
  </si>
  <si>
    <r>
      <rPr>
        <sz val="11"/>
        <rFont val="Calibri"/>
      </rPr>
      <t>OL 8 file systems must not execute binary files on removable media.</t>
    </r>
  </si>
  <si>
    <r>
      <rPr>
        <sz val="11"/>
        <color rgb="FF000000"/>
        <rFont val="Calibri"/>
      </rPr>
      <t>Configure the "/etc/fstab" to use the "noexec" option on file systems that are associated with removable media.</t>
    </r>
  </si>
  <si>
    <r>
      <rPr>
        <sz val="11"/>
        <color rgb="FF000000"/>
        <rFont val="Calibri"/>
      </rPr>
      <t xml:space="preserve">Verify that file systems used for removable media are mounted with the "noexec" option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more /etc/fstab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UUID=2bc871e4-e2a3-4f29-9ece-3be60c835222 /mnt/usbflash vfat noauto,owner,ro,nosuid,nodev,noexec 0 0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 file system found in "/etc/fstab" refers to removable media and it does not have the "noexec" option set, this is a finding.</t>
    </r>
  </si>
  <si>
    <t>V-248623</t>
  </si>
  <si>
    <r>
      <rPr>
        <sz val="11"/>
        <rFont val="Calibri"/>
      </rPr>
      <t>OL 8 must prevent files with the setuid and setgid bit set from being executed on file systems that are used with removable media.</t>
    </r>
  </si>
  <si>
    <r>
      <rPr>
        <sz val="11"/>
        <color rgb="FF000000"/>
        <rFont val="Calibri"/>
      </rPr>
      <t>Configure the "/etc/fstab" to use the "nosuid" option on file systems that are associated with removable media.</t>
    </r>
  </si>
  <si>
    <r>
      <rPr>
        <sz val="11"/>
        <color rgb="FF000000"/>
        <rFont val="Calibri"/>
      </rPr>
      <t xml:space="preserve">Verify that file systems used for removable media are mounted with the "nosuid" option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more /etc/fstab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UUID=2bc871e4-e2a3-4f29-9ece-3be60c835222 /mnt/usbflash vfat noauto,owner,ro,nosuid,nodev,noexec 0 0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 file system found in "/etc/fstab" refers to removable media and it does not have the "nosuid" option set, this is a finding.</t>
    </r>
  </si>
  <si>
    <t>V-248624</t>
  </si>
  <si>
    <r>
      <rPr>
        <sz val="11"/>
        <rFont val="Calibri"/>
      </rPr>
      <t>OL 8 file systems must not execute binary files that are imported via Network File System (NFS).</t>
    </r>
  </si>
  <si>
    <r>
      <rPr>
        <sz val="11"/>
        <color rgb="FF000000"/>
        <rFont val="Calibri"/>
      </rPr>
      <t>Configure the "/etc/fstab" to use the "noexec" option on file systems that are being imported via NFS.</t>
    </r>
  </si>
  <si>
    <r>
      <rPr>
        <sz val="11"/>
        <color rgb="FF000000"/>
        <rFont val="Calibri"/>
      </rPr>
      <t>The "noexec" mount option causes the system not to execute binary files. This option must be used for mounting any file system not containing approved binary as they may be incompatible. Executing files from untrusted file systems increases the opportunity for nonprivileged users to attain unauthorized administrative access.</t>
    </r>
  </si>
  <si>
    <r>
      <rPr>
        <sz val="11"/>
        <color rgb="FF000000"/>
        <rFont val="Calibri"/>
      </rPr>
      <t>Note: If no NFS mounts are configured, this requirement is Not Applicable.</t>
    </r>
    <r>
      <rPr>
        <sz val="11"/>
        <color rgb="FF000000"/>
        <rFont val="Calibri"/>
      </rPr>
      <t xml:space="preserve">
</t>
    </r>
    <r>
      <rPr>
        <sz val="11"/>
        <color rgb="FF000000"/>
        <rFont val="Calibri"/>
      </rPr>
      <t xml:space="preserve">Verify file systems being imported via NFS are mounted with the "noexec" option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grep nfs /etc/fstab | grep noexec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UUID=e06097bb-cfcd-437b-9e4d-a691f5662a7d /store nfs rw,nosuid,nodev,noexec 0 0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 file system found in "/etc/fstab" refers to NFS and it does not have the "noexec" option set, this is a finding.</t>
    </r>
  </si>
  <si>
    <t>V-248625</t>
  </si>
  <si>
    <r>
      <rPr>
        <sz val="11"/>
        <rFont val="Calibri"/>
      </rPr>
      <t>OL 8 file systems must not interpret character or block special devices that are imported via Network File System (NFS).</t>
    </r>
  </si>
  <si>
    <r>
      <rPr>
        <sz val="11"/>
        <color rgb="FF000000"/>
        <rFont val="Calibri"/>
      </rPr>
      <t>Configure the "/etc/fstab" to use the "nodev" option on file systems that are being imported via NFS.</t>
    </r>
  </si>
  <si>
    <r>
      <rPr>
        <sz val="11"/>
        <color rgb="FF000000"/>
        <rFont val="Calibri"/>
      </rPr>
      <t>The "nodev" mount option causes the system to not interpret character or block special devices. Executing character or block special devices from untrusted file systems increases the opportunity for nonprivileged users to attain unauthorized administrative access.</t>
    </r>
  </si>
  <si>
    <r>
      <rPr>
        <sz val="11"/>
        <color rgb="FF000000"/>
        <rFont val="Calibri"/>
      </rPr>
      <t>Note: If no NFS mounts are configured, this requirement is Not Applicable.</t>
    </r>
    <r>
      <rPr>
        <sz val="11"/>
        <color rgb="FF000000"/>
        <rFont val="Calibri"/>
      </rPr>
      <t xml:space="preserve">
</t>
    </r>
    <r>
      <rPr>
        <sz val="11"/>
        <color rgb="FF000000"/>
        <rFont val="Calibri"/>
      </rPr>
      <t xml:space="preserve">Verify file systems being imported via NFS are mounted with the "nodev" option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grep nfs /etc/fstab | grep nodev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UUID=e06097bb-cfcd-437b-9e4d-a691f5662a7d /store nfs rw,nosuid,nodev,noexec 0 0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 file system found in "/etc/fstab" refers to NFS and it does not have the "nodev" option set, this is a finding.</t>
    </r>
  </si>
  <si>
    <t>V-248626</t>
  </si>
  <si>
    <r>
      <rPr>
        <sz val="11"/>
        <rFont val="Calibri"/>
      </rPr>
      <t>OL 8 must prevent files with the setuid and setgid bit set from being executed on file systems that are imported via Network File System (NFS).</t>
    </r>
  </si>
  <si>
    <r>
      <rPr>
        <sz val="11"/>
        <color rgb="FF000000"/>
        <rFont val="Calibri"/>
      </rPr>
      <t>Configure the "/etc/fstab" to use the "nosuid" option on file systems that are being imported via NFS.</t>
    </r>
  </si>
  <si>
    <r>
      <rPr>
        <sz val="11"/>
        <color rgb="FF000000"/>
        <rFont val="Calibri"/>
      </rPr>
      <t>Note: If no NFS mounts are configured, this requirement is Not Applicable.</t>
    </r>
    <r>
      <rPr>
        <sz val="11"/>
        <color rgb="FF000000"/>
        <rFont val="Calibri"/>
      </rPr>
      <t xml:space="preserve">
</t>
    </r>
    <r>
      <rPr>
        <sz val="11"/>
        <color rgb="FF000000"/>
        <rFont val="Calibri"/>
      </rPr>
      <t xml:space="preserve">Verify file systems being imported via NFS are mounted with the "nosuid" option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grep nfs /etc/fstab | grep nosuid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UUID=e06097bb-cfcd-437b-9e4d-a691f5662a7d /store nfs rw,nosuid,nodev,noexec 0 0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 file system found in "/etc/fstab" refers to NFS and it does not have the "nosuid" option set, this is a finding.</t>
    </r>
  </si>
  <si>
    <t>V-248628</t>
  </si>
  <si>
    <r>
      <rPr>
        <sz val="11"/>
        <rFont val="Calibri"/>
      </rPr>
      <t>OL 8 must disable kernel dumps unless needed.</t>
    </r>
  </si>
  <si>
    <r>
      <rPr>
        <sz val="11"/>
        <color rgb="FF000000"/>
        <rFont val="Calibri"/>
      </rPr>
      <t>If kernel core dumps are not required, disable the "kdump" service with the following command:</t>
    </r>
    <r>
      <rPr>
        <sz val="11"/>
        <color rgb="FF000000"/>
        <rFont val="Calibri"/>
      </rPr>
      <t xml:space="preserve">
</t>
    </r>
    <r>
      <rPr>
        <sz val="11"/>
        <color rgb="FF000000"/>
        <rFont val="Calibri"/>
      </rPr>
      <t>$ sudo systemctl disable kdump.service</t>
    </r>
    <r>
      <rPr>
        <sz val="11"/>
        <color rgb="FF000000"/>
        <rFont val="Calibri"/>
      </rPr>
      <t xml:space="preserve">
</t>
    </r>
    <r>
      <rPr>
        <sz val="11"/>
        <color rgb="FF000000"/>
        <rFont val="Calibri"/>
      </rPr>
      <t>If kernel core dumps are required, document the need with the ISSO.</t>
    </r>
  </si>
  <si>
    <r>
      <rPr>
        <sz val="11"/>
        <color rgb="FF000000"/>
        <rFont val="Calibri"/>
      </rPr>
      <t>Kernel core dumps may contain the full contents of system memory at the time of the crash. Kernel core dumps may consume a considerable amount of disk space and may result in denial of service by exhausting the available space on the target file system partition.</t>
    </r>
    <r>
      <rPr>
        <sz val="11"/>
        <color rgb="FF000000"/>
        <rFont val="Calibri"/>
      </rPr>
      <t xml:space="preserve">
</t>
    </r>
    <r>
      <rPr>
        <sz val="11"/>
        <color rgb="FF000000"/>
        <rFont val="Calibri"/>
      </rPr>
      <t>OL 8 installation media presents the option to enable or disable the kdump service at the time of system installation.</t>
    </r>
  </si>
  <si>
    <r>
      <rPr>
        <sz val="11"/>
        <color rgb="FF000000"/>
        <rFont val="Calibri"/>
      </rPr>
      <t>Verify that kernel core dumps are disabled unless needed with the following command:</t>
    </r>
    <r>
      <rPr>
        <sz val="11"/>
        <color rgb="FF000000"/>
        <rFont val="Calibri"/>
      </rPr>
      <t xml:space="preserve">
</t>
    </r>
    <r>
      <rPr>
        <sz val="11"/>
        <color rgb="FF000000"/>
        <rFont val="Calibri"/>
      </rPr>
      <t>$ sudo systemctl status kdump.service</t>
    </r>
    <r>
      <rPr>
        <sz val="11"/>
        <color rgb="FF000000"/>
        <rFont val="Calibri"/>
      </rPr>
      <t xml:space="preserve">
</t>
    </r>
    <r>
      <rPr>
        <sz val="11"/>
        <color rgb="FF000000"/>
        <rFont val="Calibri"/>
      </rPr>
      <t>kdump.service - Crash recovery kernel arming</t>
    </r>
    <r>
      <rPr>
        <sz val="11"/>
        <color rgb="FF000000"/>
        <rFont val="Calibri"/>
      </rPr>
      <t xml:space="preserve">
</t>
    </r>
    <r>
      <rPr>
        <sz val="11"/>
        <color rgb="FF000000"/>
        <rFont val="Calibri"/>
      </rPr>
      <t>Loaded: loaded (/usr/lib/systemd/system/kdump.service; disabled; vendor preset: enabled)</t>
    </r>
    <r>
      <rPr>
        <sz val="11"/>
        <color rgb="FF000000"/>
        <rFont val="Calibri"/>
      </rPr>
      <t xml:space="preserve">
</t>
    </r>
    <r>
      <rPr>
        <sz val="11"/>
        <color rgb="FF000000"/>
        <rFont val="Calibri"/>
      </rPr>
      <t>Active: failed (Result: exit-code)since Mon 2020-05-04 16:08:09 EDT; 3min ago</t>
    </r>
    <r>
      <rPr>
        <sz val="11"/>
        <color rgb="FF000000"/>
        <rFont val="Calibri"/>
      </rPr>
      <t xml:space="preserve">
</t>
    </r>
    <r>
      <rPr>
        <sz val="11"/>
        <color rgb="FF000000"/>
        <rFont val="Calibri"/>
      </rPr>
      <t>Main PID: 1130 (code=exited, status=0/FAILURE)</t>
    </r>
    <r>
      <rPr>
        <sz val="11"/>
        <color rgb="FF000000"/>
        <rFont val="Calibri"/>
      </rPr>
      <t xml:space="preserve">
</t>
    </r>
    <r>
      <rPr>
        <sz val="11"/>
        <color rgb="FF000000"/>
        <rFont val="Calibri"/>
      </rPr>
      <t>If the "kdump" service is active, ask the System Administrator if the use of the service is required and documented with the Information System Security Officer (ISSO).</t>
    </r>
    <r>
      <rPr>
        <sz val="11"/>
        <color rgb="FF000000"/>
        <rFont val="Calibri"/>
      </rPr>
      <t xml:space="preserve">
</t>
    </r>
    <r>
      <rPr>
        <sz val="11"/>
        <color rgb="FF000000"/>
        <rFont val="Calibri"/>
      </rPr>
      <t>If the service is active and is not documented, this is a finding.</t>
    </r>
  </si>
  <si>
    <t>V-248629</t>
  </si>
  <si>
    <r>
      <rPr>
        <sz val="11"/>
        <rFont val="Calibri"/>
      </rPr>
      <t xml:space="preserve">OL 8 must disable the </t>
    </r>
    <r>
      <rPr>
        <sz val="11"/>
        <color rgb="FF000000"/>
        <rFont val="Calibri"/>
      </rPr>
      <t>"</t>
    </r>
    <r>
      <rPr>
        <b/>
        <sz val="11"/>
        <color rgb="FF000000"/>
        <rFont val="Calibri"/>
      </rPr>
      <t>kernel.core_pattern</t>
    </r>
    <r>
      <rPr>
        <sz val="11"/>
        <color rgb="FF000000"/>
        <rFont val="Calibri"/>
      </rPr>
      <t>"</t>
    </r>
    <r>
      <rPr>
        <sz val="11"/>
        <color rgb="FF000000"/>
        <rFont val="Calibri"/>
      </rPr>
      <t>.</t>
    </r>
  </si>
  <si>
    <r>
      <rPr>
        <sz val="11"/>
        <color rgb="FF000000"/>
        <rFont val="Calibri"/>
      </rPr>
      <t>Configure OL 8 to disable storing core dumps.</t>
    </r>
    <r>
      <rPr>
        <sz val="11"/>
        <color rgb="FF000000"/>
        <rFont val="Calibri"/>
      </rPr>
      <t xml:space="preserve">
</t>
    </r>
    <r>
      <rPr>
        <sz val="11"/>
        <color rgb="FF000000"/>
        <rFont val="Calibri"/>
      </rPr>
      <t>Add or edit the following line in a system configuration file, in the "/etc/sysctl.d/" directory:</t>
    </r>
    <r>
      <rPr>
        <sz val="11"/>
        <color rgb="FF000000"/>
        <rFont val="Calibri"/>
      </rPr>
      <t xml:space="preserve">
</t>
    </r>
    <r>
      <rPr>
        <sz val="11"/>
        <color rgb="FF000000"/>
        <rFont val="Calibri"/>
      </rPr>
      <t>kernel.core_pattern = |/bin/false</t>
    </r>
    <r>
      <rPr>
        <sz val="11"/>
        <color rgb="FF000000"/>
        <rFont val="Calibri"/>
      </rPr>
      <t xml:space="preserve">
</t>
    </r>
    <r>
      <rPr>
        <sz val="11"/>
        <color rgb="FF000000"/>
        <rFont val="Calibri"/>
      </rPr>
      <t>The system configuration files must be reloaded for the changes to take effect. To reload the contents of the files, run the following command:</t>
    </r>
    <r>
      <rPr>
        <sz val="11"/>
        <color rgb="FF000000"/>
        <rFont val="Calibri"/>
      </rPr>
      <t xml:space="preserve">
</t>
    </r>
    <r>
      <rPr>
        <sz val="11"/>
        <color rgb="FF000000"/>
        <rFont val="Calibri"/>
      </rPr>
      <t>$ sudo sysctl --system</t>
    </r>
  </si>
  <si>
    <r>
      <rPr>
        <sz val="11"/>
        <color rgb="FF000000"/>
        <rFont val="Calibri"/>
      </rPr>
      <t>It is detrimental for operating systems to provide, or install by default, functionality exceeding requirements or mission objectives. These unnecessary capabilities or services are often overlooked and therefore may remain unsecured. They increase the risk to the platform by providing additional attack vectors.</t>
    </r>
    <r>
      <rPr>
        <sz val="11"/>
        <color rgb="FF000000"/>
        <rFont val="Calibri"/>
      </rPr>
      <t xml:space="preserve">
</t>
    </r>
    <r>
      <rPr>
        <sz val="11"/>
        <color rgb="FF000000"/>
        <rFont val="Calibri"/>
      </rPr>
      <t>The sysctl --system command will load settings from all system configuration files. All configuration files are sorted by their filename in lexicographical order, regardless of the directories in which they reside. If multiple files specify the same option, the entry in the file with the lexicographically latest name will take precedence. Files are read from directories in the following list from top to bottom. Once a file of a given filename is loaded, any file of the same name in subsequent directories is ignored.</t>
    </r>
    <r>
      <rPr>
        <sz val="11"/>
        <color rgb="FF000000"/>
        <rFont val="Calibri"/>
      </rPr>
      <t xml:space="preserve">
</t>
    </r>
    <r>
      <rPr>
        <sz val="11"/>
        <color rgb="FF000000"/>
        <rFont val="Calibri"/>
      </rPr>
      <t>/etc/sysctl.d/*.conf</t>
    </r>
    <r>
      <rPr>
        <sz val="11"/>
        <color rgb="FF000000"/>
        <rFont val="Calibri"/>
      </rPr>
      <t xml:space="preserve">
</t>
    </r>
    <r>
      <rPr>
        <sz val="11"/>
        <color rgb="FF000000"/>
        <rFont val="Calibri"/>
      </rPr>
      <t>/run/sysctl.d/*.conf</t>
    </r>
    <r>
      <rPr>
        <sz val="11"/>
        <color rgb="FF000000"/>
        <rFont val="Calibri"/>
      </rPr>
      <t xml:space="preserve">
</t>
    </r>
    <r>
      <rPr>
        <sz val="11"/>
        <color rgb="FF000000"/>
        <rFont val="Calibri"/>
      </rPr>
      <t>/usr/local/lib/sysctl.d/*.conf</t>
    </r>
    <r>
      <rPr>
        <sz val="11"/>
        <color rgb="FF000000"/>
        <rFont val="Calibri"/>
      </rPr>
      <t xml:space="preserve">
</t>
    </r>
    <r>
      <rPr>
        <sz val="11"/>
        <color rgb="FF000000"/>
        <rFont val="Calibri"/>
      </rPr>
      <t>/usr/lib/sysctl.d/*.conf</t>
    </r>
    <r>
      <rPr>
        <sz val="11"/>
        <color rgb="FF000000"/>
        <rFont val="Calibri"/>
      </rPr>
      <t xml:space="preserve">
</t>
    </r>
    <r>
      <rPr>
        <sz val="11"/>
        <color rgb="FF000000"/>
        <rFont val="Calibri"/>
      </rPr>
      <t>/lib/sysctl.d/*.conf</t>
    </r>
    <r>
      <rPr>
        <sz val="11"/>
        <color rgb="FF000000"/>
        <rFont val="Calibri"/>
      </rPr>
      <t xml:space="preserve">
</t>
    </r>
    <r>
      <rPr>
        <sz val="11"/>
        <color rgb="FF000000"/>
        <rFont val="Calibri"/>
      </rPr>
      <t>/etc/sysctl.conf</t>
    </r>
  </si>
  <si>
    <r>
      <rPr>
        <sz val="11"/>
        <color rgb="FF000000"/>
        <rFont val="Calibri"/>
      </rPr>
      <t>Verify OL 8 disables storing core dumps with the following commands:</t>
    </r>
    <r>
      <rPr>
        <sz val="11"/>
        <color rgb="FF000000"/>
        <rFont val="Calibri"/>
      </rPr>
      <t xml:space="preserve">
</t>
    </r>
    <r>
      <rPr>
        <sz val="11"/>
        <color rgb="FF000000"/>
        <rFont val="Calibri"/>
      </rPr>
      <t>$ sysctl kernel.core_pattern</t>
    </r>
    <r>
      <rPr>
        <sz val="11"/>
        <color rgb="FF000000"/>
        <rFont val="Calibri"/>
      </rPr>
      <t xml:space="preserve">
</t>
    </r>
    <r>
      <rPr>
        <sz val="11"/>
        <color rgb="FF000000"/>
        <rFont val="Calibri"/>
      </rPr>
      <t>kernel.core_pattern = |/bin/false</t>
    </r>
    <r>
      <rPr>
        <sz val="11"/>
        <color rgb="FF000000"/>
        <rFont val="Calibri"/>
      </rPr>
      <t xml:space="preserve">
</t>
    </r>
    <r>
      <rPr>
        <sz val="11"/>
        <color rgb="FF000000"/>
        <rFont val="Calibri"/>
      </rPr>
      <t>If the returned line does not have a value of "|/bin/false", or a line is not returned and the need for core dumps is not documented with the information system security officer (ISSO) as an operational requirement, this is a finding.</t>
    </r>
  </si>
  <si>
    <t>V-248630</t>
  </si>
  <si>
    <r>
      <rPr>
        <sz val="11"/>
        <rFont val="Calibri"/>
      </rPr>
      <t>OL 8 must disable acquiring, saving, and processing core dumps.</t>
    </r>
  </si>
  <si>
    <r>
      <rPr>
        <sz val="11"/>
        <color rgb="FF000000"/>
        <rFont val="Calibri"/>
      </rPr>
      <t>Configure the system to disable the "systemd-coredump.socket" with the following commands:</t>
    </r>
    <r>
      <rPr>
        <sz val="11"/>
        <color rgb="FF000000"/>
        <rFont val="Calibri"/>
      </rPr>
      <t xml:space="preserve">
</t>
    </r>
    <r>
      <rPr>
        <sz val="11"/>
        <color rgb="FF000000"/>
        <rFont val="Calibri"/>
      </rPr>
      <t>$ sudo systemctl disable --now systemd-coredump.socket</t>
    </r>
    <r>
      <rPr>
        <sz val="11"/>
        <color rgb="FF000000"/>
        <rFont val="Calibri"/>
      </rPr>
      <t xml:space="preserve">
</t>
    </r>
    <r>
      <rPr>
        <sz val="11"/>
        <color rgb="FF000000"/>
        <rFont val="Calibri"/>
      </rPr>
      <t>$ sudo systemctl mask systemd-coredump.socket</t>
    </r>
    <r>
      <rPr>
        <sz val="11"/>
        <color rgb="FF000000"/>
        <rFont val="Calibri"/>
      </rPr>
      <t xml:space="preserve">
</t>
    </r>
    <r>
      <rPr>
        <sz val="11"/>
        <color rgb="FF000000"/>
        <rFont val="Calibri"/>
      </rPr>
      <t>Created symlink /etc/systemd/system/systemd-coredump.socket -&gt; /dev/null</t>
    </r>
  </si>
  <si>
    <r>
      <rPr>
        <sz val="11"/>
        <color rgb="FF000000"/>
        <rFont val="Calibri"/>
      </rPr>
      <t xml:space="preserve">It is detrimental for operating systems to provide, or install by default, functionality exceeding requirements or mission objectives. These unnecessary capabilities or services are often overlooked and therefore may remain unsecured. They increase the risk to the platform by providing additional attack vectors.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core dump includes a memory image taken at the time the operating system terminates an application. The memory image could contain sensitive data and is generally useful only for developers trying to debug problems.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When the kernel invokes "systemd-coredump" to handle a core dump, it runs in privileged mode and will connect to the socket created by the "systemd-coredump.socket" unit. This, in turn, will spawn an nonprivileged "systemd-coredump@.service" instance to process the core dump.</t>
    </r>
  </si>
  <si>
    <r>
      <rPr>
        <sz val="11"/>
        <color rgb="FF000000"/>
        <rFont val="Calibri"/>
      </rPr>
      <t>Note: If kernel dumps are disabled in accordance with OL08-00-010671, this requirement is not applicable.</t>
    </r>
    <r>
      <rPr>
        <sz val="11"/>
        <color rgb="FF000000"/>
        <rFont val="Calibri"/>
      </rPr>
      <t xml:space="preserve">
</t>
    </r>
    <r>
      <rPr>
        <sz val="11"/>
        <color rgb="FF000000"/>
        <rFont val="Calibri"/>
      </rPr>
      <t xml:space="preserve">Verify OL 8 is not configured to acquire, save, or process core dumps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systemctl status systemd-coredump.socket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systemd-coredump.socket </t>
    </r>
    <r>
      <rPr>
        <sz val="11"/>
        <color rgb="FF000000"/>
        <rFont val="Calibri"/>
      </rPr>
      <t xml:space="preserve">
</t>
    </r>
    <r>
      <rPr>
        <sz val="11"/>
        <color rgb="FF000000"/>
        <rFont val="Calibri"/>
      </rPr>
      <t xml:space="preserve">Loaded: masked (Reason: Unit systemd-coredump.socket is masked.) </t>
    </r>
    <r>
      <rPr>
        <sz val="11"/>
        <color rgb="FF000000"/>
        <rFont val="Calibri"/>
      </rPr>
      <t xml:space="preserve">
</t>
    </r>
    <r>
      <rPr>
        <sz val="11"/>
        <color rgb="FF000000"/>
        <rFont val="Calibri"/>
      </rPr>
      <t xml:space="preserve">Active: inactive (dead)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"systemd-coredump.socket" is loaded and not masked and the need for core dumps is not documented with the information system security officer (ISSO) as an operational requirement, this is a finding.</t>
    </r>
  </si>
  <si>
    <t>V-248631</t>
  </si>
  <si>
    <r>
      <rPr>
        <sz val="11"/>
        <rFont val="Calibri"/>
      </rPr>
      <t>OL 8 must disable core dumps for all users.</t>
    </r>
  </si>
  <si>
    <r>
      <rPr>
        <sz val="11"/>
        <color rgb="FF000000"/>
        <rFont val="Calibri"/>
      </rPr>
      <t xml:space="preserve">Configure OL 8 to disable core dumps for all users. </t>
    </r>
    <r>
      <rPr>
        <sz val="11"/>
        <color rgb="FF000000"/>
        <rFont val="Calibri"/>
      </rPr>
      <t xml:space="preserve">
</t>
    </r>
    <r>
      <rPr>
        <sz val="11"/>
        <color rgb="FF000000"/>
        <rFont val="Calibri"/>
      </rPr>
      <t>Add the following line to the top of the /etc/security/limits.conf or in a single ".conf" file defined in /etc/security/limits.d/:</t>
    </r>
    <r>
      <rPr>
        <sz val="11"/>
        <color rgb="FF000000"/>
        <rFont val="Calibri"/>
      </rPr>
      <t xml:space="preserve">
</t>
    </r>
    <r>
      <rPr>
        <sz val="11"/>
        <color rgb="FF000000"/>
        <rFont val="Calibri"/>
      </rPr>
      <t>* hard core 0</t>
    </r>
    <r>
      <rPr>
        <sz val="11"/>
        <color rgb="FF000000"/>
        <rFont val="Calibri"/>
      </rPr>
      <t xml:space="preserve">
</t>
    </r>
    <r>
      <rPr>
        <sz val="11"/>
        <color rgb="FF000000"/>
        <rFont val="Calibri"/>
      </rPr>
      <t>Remove or comment out any entries for users or groups with a value set to anything other than "0".</t>
    </r>
  </si>
  <si>
    <r>
      <rPr>
        <sz val="11"/>
        <color rgb="FF000000"/>
        <rFont val="Calibri"/>
      </rPr>
      <t xml:space="preserve">It is detrimental for operating systems to provide, or install by default, functionality exceeding requirements or mission objectives. These unnecessary capabilities or services are often overlooked and therefore may remain unsecured. They increase the risk to the platform by providing additional attack vectors.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 core dump includes a memory image taken at the time the operating system terminates an application. The memory image could contain sensitive data and is generally useful only for developers trying to debug problems.</t>
    </r>
  </si>
  <si>
    <r>
      <rPr>
        <sz val="11"/>
        <color rgb="FF000000"/>
        <rFont val="Calibri"/>
      </rPr>
      <t>Note: If kernel dumps are disabled in accordance with OL08-00-010671, this requirement is not applicable.</t>
    </r>
    <r>
      <rPr>
        <sz val="11"/>
        <color rgb="FF000000"/>
        <rFont val="Calibri"/>
      </rPr>
      <t xml:space="preserve">
</t>
    </r>
    <r>
      <rPr>
        <sz val="11"/>
        <color rgb="FF000000"/>
        <rFont val="Calibri"/>
      </rPr>
      <t>Verify OL 8 disables core dumps for all users by issuing the following command:</t>
    </r>
    <r>
      <rPr>
        <sz val="11"/>
        <color rgb="FF000000"/>
        <rFont val="Calibri"/>
      </rPr>
      <t xml:space="preserve">
</t>
    </r>
    <r>
      <rPr>
        <sz val="11"/>
        <color rgb="FF000000"/>
        <rFont val="Calibri"/>
      </rPr>
      <t>$ grep -r -s core /etc/security/limits.conf /etc/security/limits.d/*.conf</t>
    </r>
    <r>
      <rPr>
        <sz val="11"/>
        <color rgb="FF000000"/>
        <rFont val="Calibri"/>
      </rPr>
      <t xml:space="preserve">
</t>
    </r>
    <r>
      <rPr>
        <sz val="11"/>
        <color rgb="FF000000"/>
        <rFont val="Calibri"/>
      </rPr>
      <t>/etc/security/limits.conf:* hard core 0</t>
    </r>
    <r>
      <rPr>
        <sz val="11"/>
        <color rgb="FF000000"/>
        <rFont val="Calibri"/>
      </rPr>
      <t xml:space="preserve">
</t>
    </r>
    <r>
      <rPr>
        <sz val="11"/>
        <color rgb="FF000000"/>
        <rFont val="Calibri"/>
      </rPr>
      <t>This can be set as a global domain (with the * wildcard) but may be set differently for multiple domains.</t>
    </r>
    <r>
      <rPr>
        <sz val="11"/>
        <color rgb="FF000000"/>
        <rFont val="Calibri"/>
      </rPr>
      <t xml:space="preserve">
</t>
    </r>
    <r>
      <rPr>
        <sz val="11"/>
        <color rgb="FF000000"/>
        <rFont val="Calibri"/>
      </rPr>
      <t>If the "core" item is missing or commented out, or the value is anything other than "0", and the need for core dumps is not documented with the information system security officer (ISSO) as an operational requirement for all domains that have the "core" item assigned, this is a finding.</t>
    </r>
    <r>
      <rPr>
        <sz val="11"/>
        <color rgb="FF000000"/>
        <rFont val="Calibri"/>
      </rPr>
      <t xml:space="preserve">
</t>
    </r>
    <r>
      <rPr>
        <sz val="11"/>
        <color rgb="FF000000"/>
        <rFont val="Calibri"/>
      </rPr>
      <t>If entries exist for users or groups with a value set to anything other than "0", this is a finding.</t>
    </r>
  </si>
  <si>
    <t>V-248632</t>
  </si>
  <si>
    <r>
      <rPr>
        <sz val="11"/>
        <rFont val="Calibri"/>
      </rPr>
      <t>OL 8 must disable storing core dumps.</t>
    </r>
  </si>
  <si>
    <r>
      <rPr>
        <sz val="11"/>
        <color rgb="FF000000"/>
        <rFont val="Calibri"/>
      </rPr>
      <t xml:space="preserve">Configure OL 8 to disable storing core dumps for all users.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line in "/etc/systemd/coredump.conf":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Storage=none</t>
    </r>
  </si>
  <si>
    <r>
      <rPr>
        <sz val="11"/>
        <color rgb="FF000000"/>
        <rFont val="Calibri"/>
      </rPr>
      <t>Note: If kernel dumps are disabled in accordance with OL08-00-010671, this requirement is not applicable.</t>
    </r>
    <r>
      <rPr>
        <sz val="11"/>
        <color rgb="FF000000"/>
        <rFont val="Calibri"/>
      </rPr>
      <t xml:space="preserve">
</t>
    </r>
    <r>
      <rPr>
        <sz val="11"/>
        <color rgb="FF000000"/>
        <rFont val="Calibri"/>
      </rPr>
      <t xml:space="preserve">Verify OL 8 disables storing core dumps for all users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grep -i storage /etc/systemd/coredump.conf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Storage=none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"Storage" item is missing or commented out or the value is anything other than "none", and the need for core dumps is not documented with the information system security officer (ISSO) as an operational requirement for all domains that have the "core" item assigned, this is a finding.</t>
    </r>
  </si>
  <si>
    <t>V-248633</t>
  </si>
  <si>
    <r>
      <rPr>
        <sz val="11"/>
        <rFont val="Calibri"/>
      </rPr>
      <t>OL 8 must disable core dump backtraces.</t>
    </r>
  </si>
  <si>
    <r>
      <rPr>
        <sz val="11"/>
        <color rgb="FF000000"/>
        <rFont val="Calibri"/>
      </rPr>
      <t xml:space="preserve">Configure OL 8 to disable core dump backtraces.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line in "/etc/systemd/coredump.conf":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ProcessSizeMax=0</t>
    </r>
  </si>
  <si>
    <r>
      <rPr>
        <sz val="11"/>
        <color rgb="FF000000"/>
        <rFont val="Calibri"/>
      </rPr>
      <t>Note: If kernel dumps are disabled in accordance with OL08-00-010671, this requirement is not applicable.</t>
    </r>
    <r>
      <rPr>
        <sz val="11"/>
        <color rgb="FF000000"/>
        <rFont val="Calibri"/>
      </rPr>
      <t xml:space="preserve">
</t>
    </r>
    <r>
      <rPr>
        <sz val="11"/>
        <color rgb="FF000000"/>
        <rFont val="Calibri"/>
      </rPr>
      <t xml:space="preserve">Verify OL 8 disables core dump backtraces by issuing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grep -i ProcessSizeMax /etc/systemd/coredump.conf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ProcessSizeMax=0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"ProcessSizeMax" item is missing or commented out or the value is anything other than "0", and the need for core dumps is not documented with the information system security officer (ISSO) as an operational requirement for all domains that have the "core" item assigned, this is a finding.</t>
    </r>
  </si>
  <si>
    <t>V-248634</t>
  </si>
  <si>
    <r>
      <rPr>
        <sz val="11"/>
        <rFont val="Calibri"/>
      </rPr>
      <t>For OL 8 systems using Domain Name Servers (DNS) resolution, at least two name servers must be configured.</t>
    </r>
  </si>
  <si>
    <r>
      <rPr>
        <sz val="11"/>
        <color rgb="FF000000"/>
        <rFont val="Calibri"/>
      </rPr>
      <t xml:space="preserve">Configure OL 8 to use two or more name servers for DNS resolution.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By default, "NetworkManager" on OL 8 dynamically updates the "/etc/resolv.conf" file with the DNS settings from active "NetworkManager" connection profiles. However, this feature can be disabled to allow manual configurations.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manually configuring DNS, edit the "/etc/resolv.conf" file to uncomment or add the two or more "nameserver" option lines with the IP address of local authoritative name servers.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local host resolution is being performed, the "/etc/resolv.conf" file must be empty. An empty "/etc/resolv.conf" file can be created as follows: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echo -n &gt; /etc/resolv.conf</t>
    </r>
  </si>
  <si>
    <r>
      <rPr>
        <sz val="11"/>
        <color rgb="FF000000"/>
        <rFont val="Calibri"/>
      </rPr>
      <t>To provide availability for name resolution services, multiple redundant name servers are mandated. A failure in name resolution could lead to the failure of security functions requiring name resolution, which may include time synchronization, centralized authentication, and remote system logging.</t>
    </r>
  </si>
  <si>
    <r>
      <rPr>
        <sz val="11"/>
        <color rgb="FF000000"/>
        <rFont val="Calibri"/>
      </rPr>
      <t xml:space="preserve">Determine whether the system is using local or DNS name resolution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grep hosts /etc/nsswitch.conf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hosts: files dns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DNS entry is missing from the host's line in the "/etc/nsswitch.conf" file, the "/etc/resolv.conf" file must be empty.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Verify the "/etc/resolv.conf" file is empty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ls -al /etc/resolv.conf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-rw-r--r-- 1 root root 0 Aug 19 08:31 resolv.conf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local host authentication is being used and the "/etc/resolv.conf" file is not empty,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DNS entry is found on the host's line of the "/etc/nsswitch.conf" file, verify the operating system is configured to use two or more name servers for DNS resolution.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Determine the name servers used by the system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grep nameserver /etc/resolv.conf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nameserver 192.168.1.2 </t>
    </r>
    <r>
      <rPr>
        <sz val="11"/>
        <color rgb="FF000000"/>
        <rFont val="Calibri"/>
      </rPr>
      <t xml:space="preserve">
</t>
    </r>
    <r>
      <rPr>
        <sz val="11"/>
        <color rgb="FF000000"/>
        <rFont val="Calibri"/>
      </rPr>
      <t xml:space="preserve">nameserver 192.168.1.3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fewer than two lines are returned that are not commented out, this is a finding.</t>
    </r>
  </si>
  <si>
    <t>V-248635</t>
  </si>
  <si>
    <r>
      <rPr>
        <sz val="11"/>
        <rFont val="Calibri"/>
      </rPr>
      <t>Executable search paths within the initialization files of all local interactive OL 8 users must only contain paths that resolve to the system default or the user</t>
    </r>
    <r>
      <rPr>
        <sz val="11"/>
        <color rgb="FF000000"/>
        <rFont val="Calibri"/>
      </rPr>
      <t>'</t>
    </r>
    <r>
      <rPr>
        <sz val="11"/>
        <color rgb="FF000000"/>
        <rFont val="Calibri"/>
      </rPr>
      <t>s home directory.</t>
    </r>
  </si>
  <si>
    <r>
      <rPr>
        <sz val="11"/>
        <color rgb="FF000000"/>
        <rFont val="Calibri"/>
      </rPr>
      <t xml:space="preserve">Edit the local interactive user initialization files to change any PATH variable statements that reference directories other than their home directory.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 local interactive user requires path variables to reference a directory owned by the application, it must be documented with the ISSO.</t>
    </r>
  </si>
  <si>
    <r>
      <rPr>
        <sz val="11"/>
        <color rgb="FF000000"/>
        <rFont val="Calibri"/>
      </rPr>
      <t xml:space="preserve">The executable search path (typically the PATH environment variable) contains a list of directories for the shell to search to find executables. If this path includes the current working directory (other than the user's home directory), executables in these directories may be executed instead of system commands.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This variable is formatted as a colon-separated list of directories. If there is an empty entry, such as a leading or trailing colon or two consecutive colons, this is interpreted as the current working directory. If deviations from the default system search path for the local interactive user are required, they must be documented with the Information System Security Officer (ISSO).</t>
    </r>
  </si>
  <si>
    <r>
      <rPr>
        <sz val="11"/>
        <color rgb="FF000000"/>
        <rFont val="Calibri"/>
      </rPr>
      <t xml:space="preserve">Verify that all local interactive user initialization files' executable search path statements do not contain statements that will reference a working directory other than the users' home directory with the following commands: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Note: The example will be for the "smithj" user, which has a home directory of "/home/smithj".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grep -i path /home/smithj/.*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/home/smithj/.bash_profile:PATH=$PATH:$HOME/.local/bin:$HOME/bin </t>
    </r>
    <r>
      <rPr>
        <sz val="11"/>
        <color rgb="FF000000"/>
        <rFont val="Calibri"/>
      </rPr>
      <t xml:space="preserve">
</t>
    </r>
    <r>
      <rPr>
        <sz val="11"/>
        <color rgb="FF000000"/>
        <rFont val="Calibri"/>
      </rPr>
      <t xml:space="preserve">/home/smithj/.bash_profile:export PATH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any local interactive user initialization files have executable search path statements that include directories outside of their home directory, this is a finding.</t>
    </r>
  </si>
  <si>
    <t>V-248636</t>
  </si>
  <si>
    <r>
      <rPr>
        <sz val="11"/>
        <rFont val="Calibri"/>
      </rPr>
      <t>All OL 8 world-writable directories must be owned by root, sys, bin, or an application user.</t>
    </r>
  </si>
  <si>
    <r>
      <rPr>
        <sz val="11"/>
        <color rgb="FF000000"/>
        <rFont val="Calibri"/>
      </rPr>
      <t>Configure all OL 8 public directories to be owned by root or a system account to prevent unauthorized and unintended information transferred via shared system resources.</t>
    </r>
    <r>
      <rPr>
        <sz val="11"/>
        <color rgb="FF000000"/>
        <rFont val="Calibri"/>
      </rPr>
      <t xml:space="preserve">
</t>
    </r>
    <r>
      <rPr>
        <sz val="11"/>
        <color rgb="FF000000"/>
        <rFont val="Calibri"/>
      </rPr>
      <t>Use the following command template to set ownership of public directories to root or a system account:</t>
    </r>
    <r>
      <rPr>
        <sz val="11"/>
        <color rgb="FF000000"/>
        <rFont val="Calibri"/>
      </rPr>
      <t xml:space="preserve">
</t>
    </r>
    <r>
      <rPr>
        <sz val="11"/>
        <color rgb="FF000000"/>
        <rFont val="Calibri"/>
      </rPr>
      <t>$ sudo chown [root or system account] [Public Directory]</t>
    </r>
  </si>
  <si>
    <r>
      <rPr>
        <sz val="11"/>
        <color rgb="FF000000"/>
        <rFont val="Calibri"/>
      </rPr>
      <t xml:space="preserve">If a world-writable directory is not owned by root, sys, bin, or an application User Identifier (UID), unauthorized users may be able to modify files created by others.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 only authorized public directories are the temporary directories supplied with the system or those designed to be temporary file repositories. The setting is normally reserved for directories used by the system and by users for temporary file storage, (e.g., /tmp), and for directories requiring global read/write access.</t>
    </r>
  </si>
  <si>
    <r>
      <rPr>
        <sz val="11"/>
        <color rgb="FF000000"/>
        <rFont val="Calibri"/>
      </rPr>
      <t>Verify OL 8 world writable directories are owned by root, a system account, or an application account with the following command:</t>
    </r>
    <r>
      <rPr>
        <sz val="11"/>
        <color rgb="FF000000"/>
        <rFont val="Calibri"/>
      </rPr>
      <t xml:space="preserve">
</t>
    </r>
    <r>
      <rPr>
        <sz val="11"/>
        <color rgb="FF000000"/>
        <rFont val="Calibri"/>
      </rPr>
      <t>$ sudo find / -xdev -type d -perm -0002 -uid +999 -exec stat -c "%U, %u, %A, %n" {} \; 2&gt;/dev/null</t>
    </r>
    <r>
      <rPr>
        <sz val="11"/>
        <color rgb="FF000000"/>
        <rFont val="Calibri"/>
      </rPr>
      <t xml:space="preserve">
</t>
    </r>
    <r>
      <rPr>
        <sz val="11"/>
        <color rgb="FF000000"/>
        <rFont val="Calibri"/>
      </rPr>
      <t>If there is output that indicates world-writable directories are owned by any account other than root or an approved system account, this is a finding.</t>
    </r>
  </si>
  <si>
    <t>V-248637</t>
  </si>
  <si>
    <r>
      <rPr>
        <sz val="11"/>
        <rFont val="Calibri"/>
      </rPr>
      <t>All OL 8 world-writable directories must be group-owned by root, sys, bin, or an application group.</t>
    </r>
  </si>
  <si>
    <r>
      <rPr>
        <sz val="11"/>
        <color rgb="FF000000"/>
        <rFont val="Calibri"/>
      </rPr>
      <t>Investigate any world-writable directories that are not group-owned by a system account and then delete the files or assign them to an appropriate group.</t>
    </r>
  </si>
  <si>
    <r>
      <rPr>
        <sz val="11"/>
        <color rgb="FF000000"/>
        <rFont val="Calibri"/>
      </rPr>
      <t xml:space="preserve">If a world-writable directory is not group-owned by root, sys, bin, or an application Group Identifier (GID), unauthorized users may be able to modify files created by others.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 only authorized public directories are the temporary directories supplied with the system or those designed to be temporary file repositories. The setting is normally reserved for directories used by the system and by users for temporary file storage, (e.g., /tmp), and for directories requiring global read/write access.</t>
    </r>
  </si>
  <si>
    <r>
      <rPr>
        <sz val="11"/>
        <color rgb="FF000000"/>
        <rFont val="Calibri"/>
      </rPr>
      <t xml:space="preserve">The following command will discover and print world-writable directories that are not group-owned by a system account, given the assumption that only system accounts have a gid lower than 1000. Run it once for each local partition [PART]: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find [PART] -xdev -type d -perm -0002 -gid +999 -print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there is output, this is a finding.</t>
    </r>
  </si>
  <si>
    <t>V-248638</t>
  </si>
  <si>
    <r>
      <rPr>
        <sz val="11"/>
        <rFont val="Calibri"/>
      </rPr>
      <t xml:space="preserve">All OL 8 local interactive users must have a home directory assigned in the </t>
    </r>
    <r>
      <rPr>
        <sz val="11"/>
        <color rgb="FF000000"/>
        <rFont val="Calibri"/>
      </rPr>
      <t>"</t>
    </r>
    <r>
      <rPr>
        <b/>
        <sz val="11"/>
        <color rgb="FF000000"/>
        <rFont val="Calibri"/>
      </rPr>
      <t>/etc/passwd</t>
    </r>
    <r>
      <rPr>
        <sz val="11"/>
        <color rgb="FF000000"/>
        <rFont val="Calibri"/>
      </rPr>
      <t>"</t>
    </r>
    <r>
      <rPr>
        <sz val="11"/>
        <color rgb="FF000000"/>
        <rFont val="Calibri"/>
      </rPr>
      <t xml:space="preserve"> file.</t>
    </r>
  </si>
  <si>
    <r>
      <rPr>
        <sz val="11"/>
        <color rgb="FF000000"/>
        <rFont val="Calibri"/>
      </rPr>
      <t>Assign home directories to all local interactive users on OL 8 that currently do not have a home directory assigned.</t>
    </r>
  </si>
  <si>
    <r>
      <rPr>
        <sz val="11"/>
        <color rgb="FF000000"/>
        <rFont val="Calibri"/>
      </rPr>
      <t>If local interactive users are not assigned a valid home directory, there is no place for the storage and control of files they should own.</t>
    </r>
  </si>
  <si>
    <r>
      <rPr>
        <sz val="11"/>
        <color rgb="FF000000"/>
        <rFont val="Calibri"/>
      </rPr>
      <t xml:space="preserve">Verify local interactive users on OL 8 have a home directory assigned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pwck -r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user 'lp': directory '/var/spool/lpd' does not exist </t>
    </r>
    <r>
      <rPr>
        <sz val="11"/>
        <color rgb="FF000000"/>
        <rFont val="Calibri"/>
      </rPr>
      <t xml:space="preserve">
</t>
    </r>
    <r>
      <rPr>
        <sz val="11"/>
        <color rgb="FF000000"/>
        <rFont val="Calibri"/>
      </rPr>
      <t xml:space="preserve">user 'news': directory '/var/spool/news' does not exist </t>
    </r>
    <r>
      <rPr>
        <sz val="11"/>
        <color rgb="FF000000"/>
        <rFont val="Calibri"/>
      </rPr>
      <t xml:space="preserve">
</t>
    </r>
    <r>
      <rPr>
        <sz val="11"/>
        <color rgb="FF000000"/>
        <rFont val="Calibri"/>
      </rPr>
      <t xml:space="preserve">user 'uucp': directory '/var/spool/uucp' does not exist </t>
    </r>
    <r>
      <rPr>
        <sz val="11"/>
        <color rgb="FF000000"/>
        <rFont val="Calibri"/>
      </rPr>
      <t xml:space="preserve">
</t>
    </r>
    <r>
      <rPr>
        <sz val="11"/>
        <color rgb="FF000000"/>
        <rFont val="Calibri"/>
      </rPr>
      <t xml:space="preserve">user 'www-data': directory '/var/www' does not exist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Ask the System Administrator (SA) if any users found without home directories are local interactive users.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SA is unable to provide a response, check for users with a User Identifier (UID) of 1000 or greater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awk -F: '($3&gt;=1000)&amp;&amp;($7 !~ /nologin/){print $1, $3, $6}' /etc/passwd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any interactive users do not have a home directory assigned, this is a finding.</t>
    </r>
  </si>
  <si>
    <t>V-248639</t>
  </si>
  <si>
    <r>
      <rPr>
        <sz val="11"/>
        <rFont val="Calibri"/>
      </rPr>
      <t xml:space="preserve">All OL 8 local interactive user home directories must have mode </t>
    </r>
    <r>
      <rPr>
        <sz val="11"/>
        <color rgb="FF000000"/>
        <rFont val="Calibri"/>
      </rPr>
      <t>"</t>
    </r>
    <r>
      <rPr>
        <b/>
        <sz val="11"/>
        <color rgb="FF000000"/>
        <rFont val="Calibri"/>
      </rPr>
      <t>0750</t>
    </r>
    <r>
      <rPr>
        <sz val="11"/>
        <color rgb="FF000000"/>
        <rFont val="Calibri"/>
      </rPr>
      <t>"</t>
    </r>
    <r>
      <rPr>
        <sz val="11"/>
        <color rgb="FF000000"/>
        <rFont val="Calibri"/>
      </rPr>
      <t xml:space="preserve"> or less permissive.</t>
    </r>
  </si>
  <si>
    <r>
      <rPr>
        <sz val="11"/>
        <color rgb="FF000000"/>
        <rFont val="Calibri"/>
      </rPr>
      <t xml:space="preserve">Change the mode of interactive users' home directories to "0750"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Note: The example will be for the user "smithj".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chmod 0750 /home/smithj</t>
    </r>
  </si>
  <si>
    <r>
      <rPr>
        <sz val="11"/>
        <color rgb="FF000000"/>
        <rFont val="Calibri"/>
      </rPr>
      <t>Excessive permissions on local interactive user home directories may allow unauthorized access to user files by other users.</t>
    </r>
  </si>
  <si>
    <r>
      <rPr>
        <sz val="11"/>
        <color rgb="FF000000"/>
        <rFont val="Calibri"/>
      </rPr>
      <t xml:space="preserve">Verify the assigned home directory of all local interactive users has a mode of "0750" or less permissive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Note: This may miss interactive users that have been assigned a privileged User Identifier (UID). Evidence of interactive use may be obtained from a number of log files containing system logon information.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ls -ld $(awk -F: '($3&gt;=1000)&amp;&amp;($1!="nobody"){print $6}' /etc/passwd)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drwxr-x--- 2 smithj admin 4096 Jun 5 12:41 smithj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home directories of interactive users referenced in "/etc/passwd" do not have a mode of "0750" or less permissive, this is a finding.</t>
    </r>
  </si>
  <si>
    <t>V-248640</t>
  </si>
  <si>
    <r>
      <rPr>
        <sz val="11"/>
        <rFont val="Calibri"/>
      </rPr>
      <t xml:space="preserve">All OL 8 local interactive user home directory files must have mode </t>
    </r>
    <r>
      <rPr>
        <sz val="11"/>
        <color rgb="FF000000"/>
        <rFont val="Calibri"/>
      </rPr>
      <t>"</t>
    </r>
    <r>
      <rPr>
        <b/>
        <sz val="11"/>
        <color rgb="FF000000"/>
        <rFont val="Calibri"/>
      </rPr>
      <t>0750</t>
    </r>
    <r>
      <rPr>
        <sz val="11"/>
        <color rgb="FF000000"/>
        <rFont val="Calibri"/>
      </rPr>
      <t>"</t>
    </r>
    <r>
      <rPr>
        <sz val="11"/>
        <color rgb="FF000000"/>
        <rFont val="Calibri"/>
      </rPr>
      <t xml:space="preserve"> or less permissive.</t>
    </r>
  </si>
  <si>
    <r>
      <rPr>
        <sz val="11"/>
        <color rgb="FF000000"/>
        <rFont val="Calibri"/>
      </rPr>
      <t>Set the mode on files and directories in the local interactive user home directory with the following command:</t>
    </r>
    <r>
      <rPr>
        <sz val="11"/>
        <color rgb="FF000000"/>
        <rFont val="Calibri"/>
      </rPr>
      <t xml:space="preserve">
</t>
    </r>
    <r>
      <rPr>
        <sz val="11"/>
        <color rgb="FF000000"/>
        <rFont val="Calibri"/>
      </rPr>
      <t>Note: The example will be for the user smithj, who has a home directory of "/home/smithj" and is a member of the users group.</t>
    </r>
    <r>
      <rPr>
        <sz val="11"/>
        <color rgb="FF000000"/>
        <rFont val="Calibri"/>
      </rPr>
      <t xml:space="preserve">
</t>
    </r>
    <r>
      <rPr>
        <sz val="11"/>
        <color rgb="FF000000"/>
        <rFont val="Calibri"/>
      </rPr>
      <t>$ sudo chmod 0750 /home/smithj/&lt;file or directory&gt;</t>
    </r>
  </si>
  <si>
    <r>
      <rPr>
        <sz val="11"/>
        <color rgb="FF000000"/>
        <rFont val="Calibri"/>
      </rPr>
      <t>Verify all files and directories contained in a local interactive user home directory, excluding local initialization files, have a mode of "0750".</t>
    </r>
    <r>
      <rPr>
        <sz val="11"/>
        <color rgb="FF000000"/>
        <rFont val="Calibri"/>
      </rPr>
      <t xml:space="preserve">
</t>
    </r>
    <r>
      <rPr>
        <sz val="11"/>
        <color rgb="FF000000"/>
        <rFont val="Calibri"/>
      </rPr>
      <t>Files that begin with a "." are excluded from this requirement.</t>
    </r>
    <r>
      <rPr>
        <sz val="11"/>
        <color rgb="FF000000"/>
        <rFont val="Calibri"/>
      </rPr>
      <t xml:space="preserve">
</t>
    </r>
    <r>
      <rPr>
        <sz val="11"/>
        <color rgb="FF000000"/>
        <rFont val="Calibri"/>
      </rPr>
      <t>Note: The example will be for the user "smithj", who has a home directory of "/home/smithj".</t>
    </r>
    <r>
      <rPr>
        <sz val="11"/>
        <color rgb="FF000000"/>
        <rFont val="Calibri"/>
      </rPr>
      <t xml:space="preserve">
</t>
    </r>
    <r>
      <rPr>
        <sz val="11"/>
        <color rgb="FF000000"/>
        <rFont val="Calibri"/>
      </rPr>
      <t>$ sudo ls -lLR /home/smithj</t>
    </r>
    <r>
      <rPr>
        <sz val="11"/>
        <color rgb="FF000000"/>
        <rFont val="Calibri"/>
      </rPr>
      <t xml:space="preserve">
</t>
    </r>
    <r>
      <rPr>
        <sz val="11"/>
        <color rgb="FF000000"/>
        <rFont val="Calibri"/>
      </rPr>
      <t>-rwxr-x--- 1 smithj smithj 18 Mar 5 17:06 file1</t>
    </r>
    <r>
      <rPr>
        <sz val="11"/>
        <color rgb="FF000000"/>
        <rFont val="Calibri"/>
      </rPr>
      <t xml:space="preserve">
</t>
    </r>
    <r>
      <rPr>
        <sz val="11"/>
        <color rgb="FF000000"/>
        <rFont val="Calibri"/>
      </rPr>
      <t>-rwxr----- 1 smithj smithj 193 Mar 5 17:06 file2</t>
    </r>
    <r>
      <rPr>
        <sz val="11"/>
        <color rgb="FF000000"/>
        <rFont val="Calibri"/>
      </rPr>
      <t xml:space="preserve">
</t>
    </r>
    <r>
      <rPr>
        <sz val="11"/>
        <color rgb="FF000000"/>
        <rFont val="Calibri"/>
      </rPr>
      <t>-rw-r-x--- 1 smithj smithj 231 Mar 5 17:06 file3</t>
    </r>
    <r>
      <rPr>
        <sz val="11"/>
        <color rgb="FF000000"/>
        <rFont val="Calibri"/>
      </rPr>
      <t xml:space="preserve">
</t>
    </r>
    <r>
      <rPr>
        <sz val="11"/>
        <color rgb="FF000000"/>
        <rFont val="Calibri"/>
      </rPr>
      <t>If any files or directories are found with a mode more permissive than "0750", this is a finding.</t>
    </r>
  </si>
  <si>
    <t>V-248641</t>
  </si>
  <si>
    <r>
      <rPr>
        <sz val="11"/>
        <rFont val="Calibri"/>
      </rPr>
      <t>All OL 8 local interactive user home directories must be group-owned by the home directory owner</t>
    </r>
    <r>
      <rPr>
        <sz val="11"/>
        <color rgb="FF000000"/>
        <rFont val="Calibri"/>
      </rPr>
      <t>'</t>
    </r>
    <r>
      <rPr>
        <sz val="11"/>
        <color rgb="FF000000"/>
        <rFont val="Calibri"/>
      </rPr>
      <t>s primary group.</t>
    </r>
  </si>
  <si>
    <r>
      <rPr>
        <sz val="11"/>
        <color rgb="FF000000"/>
        <rFont val="Calibri"/>
      </rPr>
      <t xml:space="preserve">Change the group owner of a local interactive user’s home directory to the group found in "/etc/passwd"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Note: The example will be for the user "smithj", who has a home directory of "/home/smithj" and has a primary group of users.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chgrp users /home/smithj</t>
    </r>
  </si>
  <si>
    <r>
      <rPr>
        <sz val="11"/>
        <color rgb="FF000000"/>
        <rFont val="Calibri"/>
      </rPr>
      <t>If the Group Identifier (GID) of a local interactive user’s home directory is not the same as the primary GID of the user, this would allow unauthorized access to the user’s files. Users that share the same group may not be able to access files to which they legitimately should have access.</t>
    </r>
  </si>
  <si>
    <r>
      <rPr>
        <sz val="11"/>
        <color rgb="FF000000"/>
        <rFont val="Calibri"/>
      </rPr>
      <t xml:space="preserve">Verify the assigned home directory of all local interactive users is group-owned by that user’s primary GID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Note: This may miss local interactive users that have been assigned a privileged User Identifier (UID). Evidence of interactive use may be obtained from a number of log files containing system logon information. The returned directory "/home/smithj" is used as an example.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ls -ld $(awk -F: '($3&gt;=1000)&amp;&amp;($1!="nobody"){print $6}' /etc/passwd)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drwxr-x--- 2 smithj admin 4096 Jun 5 12:41 smithj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Check the user's primary group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grep $(grep smithj /etc/passwd | awk -F: '{print $4}') /etc/group</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admin:x:250:smithj,jonesj,jacksons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user home directory referenced in "/etc/passwd" is not group-owned by that user’s primary GID, this is a finding.</t>
    </r>
  </si>
  <si>
    <t>V-248642</t>
  </si>
  <si>
    <r>
      <rPr>
        <sz val="11"/>
        <rFont val="Calibri"/>
      </rPr>
      <t>OL 8 must be configured so that all files and directories contained in local interactive user home directories are group-owned by a group of which the home directory owner is a member.</t>
    </r>
  </si>
  <si>
    <r>
      <rPr>
        <sz val="11"/>
        <color rgb="FF000000"/>
        <rFont val="Calibri"/>
      </rPr>
      <t>Change the group of a local interactive user's files and directories to a group that the interactive user is a member. To change the group owner of a local interactive user's files and directories, use the following command:</t>
    </r>
    <r>
      <rPr>
        <sz val="11"/>
        <color rgb="FF000000"/>
        <rFont val="Calibri"/>
      </rPr>
      <t xml:space="preserve">
</t>
    </r>
    <r>
      <rPr>
        <sz val="11"/>
        <color rgb="FF000000"/>
        <rFont val="Calibri"/>
      </rPr>
      <t>Note: The example will be for the user smithj, who has a home directory of "/home/smithj" and is a member of the users group.</t>
    </r>
    <r>
      <rPr>
        <sz val="11"/>
        <color rgb="FF000000"/>
        <rFont val="Calibri"/>
      </rPr>
      <t xml:space="preserve">
</t>
    </r>
    <r>
      <rPr>
        <sz val="11"/>
        <color rgb="FF000000"/>
        <rFont val="Calibri"/>
      </rPr>
      <t>$ sudo chgrp smithj /home/smithj/&lt;file or directory&gt;</t>
    </r>
  </si>
  <si>
    <r>
      <rPr>
        <sz val="11"/>
        <color rgb="FF000000"/>
        <rFont val="Calibri"/>
      </rPr>
      <t>If a local interactive user's files are group-owned by a group of which the user is not a member, unintended users may be able to access them.</t>
    </r>
  </si>
  <si>
    <r>
      <rPr>
        <sz val="11"/>
        <color rgb="FF000000"/>
        <rFont val="Calibri"/>
      </rPr>
      <t>Verify all files and directories in a local interactive user home directory are group-owned by a group that the user is a member.</t>
    </r>
    <r>
      <rPr>
        <sz val="11"/>
        <color rgb="FF000000"/>
        <rFont val="Calibri"/>
      </rPr>
      <t xml:space="preserve">
</t>
    </r>
    <r>
      <rPr>
        <sz val="11"/>
        <color rgb="FF000000"/>
        <rFont val="Calibri"/>
      </rPr>
      <t>Check the group owner of all files and directories in a local interactive user's home directory with the following command:</t>
    </r>
    <r>
      <rPr>
        <sz val="11"/>
        <color rgb="FF000000"/>
        <rFont val="Calibri"/>
      </rPr>
      <t xml:space="preserve">
</t>
    </r>
    <r>
      <rPr>
        <sz val="11"/>
        <color rgb="FF000000"/>
        <rFont val="Calibri"/>
      </rPr>
      <t>Note: The example will be for the user "smithj", who has a home directory of "/home/smithj".</t>
    </r>
    <r>
      <rPr>
        <sz val="11"/>
        <color rgb="FF000000"/>
        <rFont val="Calibri"/>
      </rPr>
      <t xml:space="preserve">
</t>
    </r>
    <r>
      <rPr>
        <sz val="11"/>
        <color rgb="FF000000"/>
        <rFont val="Calibri"/>
      </rPr>
      <t>$ sudo ls -lLR /&lt;home directory&gt;/&lt;users home directory&gt;/</t>
    </r>
    <r>
      <rPr>
        <sz val="11"/>
        <color rgb="FF000000"/>
        <rFont val="Calibri"/>
      </rPr>
      <t xml:space="preserve">
</t>
    </r>
    <r>
      <rPr>
        <sz val="11"/>
        <color rgb="FF000000"/>
        <rFont val="Calibri"/>
      </rPr>
      <t>-rw-r--r-- 1 smithj smithj  18 Mar  5 17:06 file1</t>
    </r>
    <r>
      <rPr>
        <sz val="11"/>
        <color rgb="FF000000"/>
        <rFont val="Calibri"/>
      </rPr>
      <t xml:space="preserve">
</t>
    </r>
    <r>
      <rPr>
        <sz val="11"/>
        <color rgb="FF000000"/>
        <rFont val="Calibri"/>
      </rPr>
      <t>-rw-r--r-- 1 smithj smithj 193 Mar  5 17:06 file2</t>
    </r>
    <r>
      <rPr>
        <sz val="11"/>
        <color rgb="FF000000"/>
        <rFont val="Calibri"/>
      </rPr>
      <t xml:space="preserve">
</t>
    </r>
    <r>
      <rPr>
        <sz val="11"/>
        <color rgb="FF000000"/>
        <rFont val="Calibri"/>
      </rPr>
      <t>-rw-r--r-- 1 smithj sa        231 Mar  5 17:06 file3</t>
    </r>
    <r>
      <rPr>
        <sz val="11"/>
        <color rgb="FF000000"/>
        <rFont val="Calibri"/>
      </rPr>
      <t xml:space="preserve">
</t>
    </r>
    <r>
      <rPr>
        <sz val="11"/>
        <color rgb="FF000000"/>
        <rFont val="Calibri"/>
      </rPr>
      <t>If any files found with a group-owner different from the home directory user private group, determine if the user is a member of that group with the following command:</t>
    </r>
    <r>
      <rPr>
        <sz val="11"/>
        <color rgb="FF000000"/>
        <rFont val="Calibri"/>
      </rPr>
      <t xml:space="preserve">
</t>
    </r>
    <r>
      <rPr>
        <sz val="11"/>
        <color rgb="FF000000"/>
        <rFont val="Calibri"/>
      </rPr>
      <t>$ sudo grep smithj /etc/group</t>
    </r>
    <r>
      <rPr>
        <sz val="11"/>
        <color rgb="FF000000"/>
        <rFont val="Calibri"/>
      </rPr>
      <t xml:space="preserve">
</t>
    </r>
    <r>
      <rPr>
        <sz val="11"/>
        <color rgb="FF000000"/>
        <rFont val="Calibri"/>
      </rPr>
      <t xml:space="preserve">sa:x:100:juan,shelley,bob,smithj </t>
    </r>
    <r>
      <rPr>
        <sz val="11"/>
        <color rgb="FF000000"/>
        <rFont val="Calibri"/>
      </rPr>
      <t xml:space="preserve">
</t>
    </r>
    <r>
      <rPr>
        <sz val="11"/>
        <color rgb="FF000000"/>
        <rFont val="Calibri"/>
      </rPr>
      <t>smithj:x:521:smithj</t>
    </r>
    <r>
      <rPr>
        <sz val="11"/>
        <color rgb="FF000000"/>
        <rFont val="Calibri"/>
      </rPr>
      <t xml:space="preserve">
</t>
    </r>
    <r>
      <rPr>
        <sz val="11"/>
        <color rgb="FF000000"/>
        <rFont val="Calibri"/>
      </rPr>
      <t>If any files or directories are group owned by a group that the directory owner is not a member of, this is a finding.</t>
    </r>
  </si>
  <si>
    <t>V-248643</t>
  </si>
  <si>
    <r>
      <rPr>
        <sz val="11"/>
        <rFont val="Calibri"/>
      </rPr>
      <t xml:space="preserve">All OL 8 local interactive user home directories defined in the </t>
    </r>
    <r>
      <rPr>
        <sz val="11"/>
        <color rgb="FF000000"/>
        <rFont val="Calibri"/>
      </rPr>
      <t>"</t>
    </r>
    <r>
      <rPr>
        <b/>
        <sz val="11"/>
        <color rgb="FF000000"/>
        <rFont val="Calibri"/>
      </rPr>
      <t>/etc/passwd</t>
    </r>
    <r>
      <rPr>
        <sz val="11"/>
        <color rgb="FF000000"/>
        <rFont val="Calibri"/>
      </rPr>
      <t>"</t>
    </r>
    <r>
      <rPr>
        <sz val="11"/>
        <color rgb="FF000000"/>
        <rFont val="Calibri"/>
      </rPr>
      <t xml:space="preserve"> file must exist.</t>
    </r>
  </si>
  <si>
    <r>
      <rPr>
        <sz val="11"/>
        <color rgb="FF000000"/>
        <rFont val="Calibri"/>
      </rPr>
      <t xml:space="preserve">Create home directories to all local interactive users that currently do not have a home directory assigned. Use the following commands to create the user home directory assigned in "/etc/ passwd".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Note: The example will be for the user smithj, who has a home directory of "/home/smithj", a UID of "smithj", and a Group Identifier (GID) of "users assigned" in "/etc/passwd".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mkdir /home/smithj </t>
    </r>
    <r>
      <rPr>
        <sz val="11"/>
        <color rgb="FF000000"/>
        <rFont val="Calibri"/>
      </rPr>
      <t xml:space="preserve">
</t>
    </r>
    <r>
      <rPr>
        <sz val="11"/>
        <color rgb="FF000000"/>
        <rFont val="Calibri"/>
      </rPr>
      <t xml:space="preserve">$ sudo chown smithj /home/smithj </t>
    </r>
    <r>
      <rPr>
        <sz val="11"/>
        <color rgb="FF000000"/>
        <rFont val="Calibri"/>
      </rPr>
      <t xml:space="preserve">
</t>
    </r>
    <r>
      <rPr>
        <sz val="11"/>
        <color rgb="FF000000"/>
        <rFont val="Calibri"/>
      </rPr>
      <t xml:space="preserve">$ sudo chgrp users /home/smithj </t>
    </r>
    <r>
      <rPr>
        <sz val="11"/>
        <color rgb="FF000000"/>
        <rFont val="Calibri"/>
      </rPr>
      <t xml:space="preserve">
</t>
    </r>
    <r>
      <rPr>
        <sz val="11"/>
        <color rgb="FF000000"/>
        <rFont val="Calibri"/>
      </rPr>
      <t>$ sudo chmod 0750 /home/smithj</t>
    </r>
  </si>
  <si>
    <r>
      <rPr>
        <sz val="11"/>
        <color rgb="FF000000"/>
        <rFont val="Calibri"/>
      </rPr>
      <t>If a local interactive user has a home directory defined that does not exist, the user may be given access to the "/" directory as the current working directory upon logon. This could create a denial of service because the user would not be able to access their logon configuration files, and it may give them visibility to system files they normally would not be able to access.</t>
    </r>
  </si>
  <si>
    <r>
      <rPr>
        <sz val="11"/>
        <color rgb="FF000000"/>
        <rFont val="Calibri"/>
      </rPr>
      <t xml:space="preserve">Verify that the assigned home directory of all local interactive users on OL 8 exists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ls -ld $(awk -F: '($3&gt;=1000)&amp;&amp;($1!="nobody"){print $6}' /etc/passwd)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drwxr-xr-x 2 smithj admin 4096 Jun 5 12:41 smithj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Note: This may miss interactive users that have been assigned a privileged User ID (UID). Evidence of interactive use may be obtained from a number of log files containing system logon information.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Check that all referenced home directories exist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pwck -r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user 'smithj': directory '/home/smithj' does not exist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any home directories referenced in "/etc/passwd" are returned as not defined, this is a finding.</t>
    </r>
  </si>
  <si>
    <t>V-248644</t>
  </si>
  <si>
    <r>
      <rPr>
        <sz val="11"/>
        <rFont val="Calibri"/>
      </rPr>
      <t>All OL 8 local interactive user accounts must be assigned a home directory upon creation.</t>
    </r>
  </si>
  <si>
    <r>
      <rPr>
        <sz val="11"/>
        <color rgb="FF000000"/>
        <rFont val="Calibri"/>
      </rPr>
      <t xml:space="preserve">Configure OL 8 to assign home directories to all new local interactive users by setting the "CREATE_HOME" parameter in "/etc/login.defs" to "yes" as follows.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CREATE_HOME yes</t>
    </r>
  </si>
  <si>
    <r>
      <rPr>
        <sz val="11"/>
        <color rgb="FF000000"/>
        <rFont val="Calibri"/>
      </rPr>
      <t xml:space="preserve">Verify all local interactive users on OL 8 are assigned a home directory upon creation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grep -i create_home /etc/login.defs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CREATE_HOME yes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value for "CREATE_HOME" parameter is not set to "yes", the line is missing, or the line is commented out, this is a finding.</t>
    </r>
  </si>
  <si>
    <t>V-248645</t>
  </si>
  <si>
    <r>
      <rPr>
        <sz val="11"/>
        <rFont val="Calibri"/>
      </rPr>
      <t xml:space="preserve">All OL 8 local initialization files must have mode </t>
    </r>
    <r>
      <rPr>
        <sz val="11"/>
        <color rgb="FF000000"/>
        <rFont val="Calibri"/>
      </rPr>
      <t>"</t>
    </r>
    <r>
      <rPr>
        <b/>
        <sz val="11"/>
        <color rgb="FF000000"/>
        <rFont val="Calibri"/>
      </rPr>
      <t>0740</t>
    </r>
    <r>
      <rPr>
        <sz val="11"/>
        <color rgb="FF000000"/>
        <rFont val="Calibri"/>
      </rPr>
      <t>"</t>
    </r>
    <r>
      <rPr>
        <sz val="11"/>
        <color rgb="FF000000"/>
        <rFont val="Calibri"/>
      </rPr>
      <t xml:space="preserve"> or less permissive.</t>
    </r>
  </si>
  <si>
    <r>
      <rPr>
        <sz val="11"/>
        <color rgb="FF000000"/>
        <rFont val="Calibri"/>
      </rPr>
      <t xml:space="preserve">Set the mode of the local initialization files to "0740"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Note: The example will be for the smithj user, who has a home directory of "/home/smithj".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chmod 0740 /home/smithj/.&lt;INIT_FILE&gt;</t>
    </r>
  </si>
  <si>
    <r>
      <rPr>
        <sz val="11"/>
        <color rgb="FF000000"/>
        <rFont val="Calibri"/>
      </rPr>
      <t>Local initialization files are used to configure the user's shell environment upon logon. Malicious modification of these files could compromise accounts upon logon.</t>
    </r>
  </si>
  <si>
    <r>
      <rPr>
        <sz val="11"/>
        <color rgb="FF000000"/>
        <rFont val="Calibri"/>
      </rPr>
      <t xml:space="preserve">Verify that all local initialization files have a mode of "0740" or less permissive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Note: The example will be for the "smithj" user, who has a home directory of "/home/smithj".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ls -al /home/smithj/.* | more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-rwxr----- 1 smithj users 896 Mar 10 2011 .profile </t>
    </r>
    <r>
      <rPr>
        <sz val="11"/>
        <color rgb="FF000000"/>
        <rFont val="Calibri"/>
      </rPr>
      <t xml:space="preserve">
</t>
    </r>
    <r>
      <rPr>
        <sz val="11"/>
        <color rgb="FF000000"/>
        <rFont val="Calibri"/>
      </rPr>
      <t xml:space="preserve">-rwxr----- 1 smithj users 497 Jan 6 2007 .login </t>
    </r>
    <r>
      <rPr>
        <sz val="11"/>
        <color rgb="FF000000"/>
        <rFont val="Calibri"/>
      </rPr>
      <t xml:space="preserve">
</t>
    </r>
    <r>
      <rPr>
        <sz val="11"/>
        <color rgb="FF000000"/>
        <rFont val="Calibri"/>
      </rPr>
      <t xml:space="preserve">-rwxr----- 1 smithj users 886 Jan 6 2007 .something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any local initialization files have a mode more permissive than "0740", this is a finding.</t>
    </r>
  </si>
  <si>
    <t>V-248646</t>
  </si>
  <si>
    <r>
      <rPr>
        <sz val="11"/>
        <rFont val="Calibri"/>
      </rPr>
      <t>All OL 8 files and directories must have a valid owner.</t>
    </r>
  </si>
  <si>
    <r>
      <rPr>
        <sz val="11"/>
        <color rgb="FF000000"/>
        <rFont val="Calibri"/>
      </rPr>
      <t xml:space="preserve">Either remove all files and directories from the system that do not have a valid user or assign a valid user to all unowned files and directories on OL 8 with the "chown"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chown &lt;user&gt; &lt;file&gt;</t>
    </r>
  </si>
  <si>
    <r>
      <rPr>
        <sz val="11"/>
        <color rgb="FF000000"/>
        <rFont val="Calibri"/>
      </rPr>
      <t>Unowned files and directories may be unintentionally inherited if a user is assigned the same User Identifier "UID" as the UID of the unowned files.</t>
    </r>
  </si>
  <si>
    <r>
      <rPr>
        <sz val="11"/>
        <color rgb="FF000000"/>
        <rFont val="Calibri"/>
      </rPr>
      <t xml:space="preserve">Verify all files and directories on OL 8 have a valid owner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find / -nouser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any files on the system do not have an assigned owner, this is a finding.</t>
    </r>
  </si>
  <si>
    <t>V-248647</t>
  </si>
  <si>
    <r>
      <rPr>
        <sz val="11"/>
        <rFont val="Calibri"/>
      </rPr>
      <t>All OL 8 files and directories must have a valid group owner.</t>
    </r>
  </si>
  <si>
    <r>
      <rPr>
        <sz val="11"/>
        <color rgb="FF000000"/>
        <rFont val="Calibri"/>
      </rPr>
      <t xml:space="preserve">Either remove all files and directories from OL 8 that do not have a valid group, or assign a valid group to all files and directories on the system with the "chgrp"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chgrp &lt;group&gt; &lt;file&gt;</t>
    </r>
  </si>
  <si>
    <r>
      <rPr>
        <sz val="11"/>
        <color rgb="FF000000"/>
        <rFont val="Calibri"/>
      </rPr>
      <t>Files without a valid group owner may be unintentionally inherited if a group is assigned the same Group Identifier (GID) as the GID of the files without a valid group owner.</t>
    </r>
  </si>
  <si>
    <r>
      <rPr>
        <sz val="11"/>
        <color rgb="FF000000"/>
        <rFont val="Calibri"/>
      </rPr>
      <t xml:space="preserve">Verify all files and directories on OL 8 have a valid group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find / -nogroup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any files on the system do not have an assigned group, this is a finding.</t>
    </r>
  </si>
  <si>
    <t>V-248648</t>
  </si>
  <si>
    <r>
      <rPr>
        <sz val="11"/>
        <rFont val="Calibri"/>
      </rPr>
      <t xml:space="preserve">A separate OL 8 filesystem must be used for user home directories (such as </t>
    </r>
    <r>
      <rPr>
        <sz val="11"/>
        <color rgb="FF000000"/>
        <rFont val="Calibri"/>
      </rPr>
      <t>"</t>
    </r>
    <r>
      <rPr>
        <b/>
        <sz val="11"/>
        <color rgb="FF000000"/>
        <rFont val="Calibri"/>
      </rPr>
      <t>/home</t>
    </r>
    <r>
      <rPr>
        <sz val="11"/>
        <color rgb="FF000000"/>
        <rFont val="Calibri"/>
      </rPr>
      <t>"</t>
    </r>
    <r>
      <rPr>
        <sz val="11"/>
        <color rgb="FF000000"/>
        <rFont val="Calibri"/>
      </rPr>
      <t xml:space="preserve"> or an equivalent).</t>
    </r>
  </si>
  <si>
    <r>
      <rPr>
        <sz val="11"/>
        <color rgb="FF000000"/>
        <rFont val="Calibri"/>
      </rPr>
      <t>Migrate the "/home" directory onto a separate file system.</t>
    </r>
  </si>
  <si>
    <r>
      <rPr>
        <sz val="11"/>
        <color rgb="FF000000"/>
        <rFont val="Calibri"/>
      </rPr>
      <t xml:space="preserve">Verify that a separate file system has been created for non-privileged local interactive user home directories.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Check the home directory assignment for all non-privileged users, users with a User Identifier (UID) greater than 1000, on the system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awk -F: '($3&gt;=1000)&amp;&amp;($1!="nobody"){print $1,$3,$6}' /etc/passwd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doej 1001 /home/doej </t>
    </r>
    <r>
      <rPr>
        <sz val="11"/>
        <color rgb="FF000000"/>
        <rFont val="Calibri"/>
      </rPr>
      <t xml:space="preserve">
</t>
    </r>
    <r>
      <rPr>
        <sz val="11"/>
        <color rgb="FF000000"/>
        <rFont val="Calibri"/>
      </rPr>
      <t xml:space="preserve">     publicj 1002 /home/publicj </t>
    </r>
    <r>
      <rPr>
        <sz val="11"/>
        <color rgb="FF000000"/>
        <rFont val="Calibri"/>
      </rPr>
      <t xml:space="preserve">
</t>
    </r>
    <r>
      <rPr>
        <sz val="11"/>
        <color rgb="FF000000"/>
        <rFont val="Calibri"/>
      </rPr>
      <t xml:space="preserve">     smithj 1003 /home/smithj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The output of the command will give the directory that contains the home directories for the nonprivileged users on the system (in this example, "/home") and users’ shell. All accounts with a valid shell (such as "/bin/bash") are considered interactive users.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Check that a file system has been created for the nonprivileged interactive users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Note: The partition of "/home" is used in the example.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grep /home /etc/fstab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/dev/mapper/...   /home   xfs   defaults,noexec,nosuid,nodev 0 0</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 separate entry for the file system that contains the nonprivileged interactive users' home directories does not exist, this is a finding.</t>
    </r>
  </si>
  <si>
    <t>V-248649</t>
  </si>
  <si>
    <r>
      <rPr>
        <sz val="11"/>
        <rFont val="Calibri"/>
      </rPr>
      <t>Unattended or automatic logon via the OL 8 graphical user interface must not be allowed.</t>
    </r>
  </si>
  <si>
    <r>
      <rPr>
        <sz val="11"/>
        <color rgb="FF000000"/>
        <rFont val="Calibri"/>
      </rPr>
      <t xml:space="preserve">Configure OL 8 to not allow an unattended or automatic logon to the system via a graphical user interface.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edit the line for the "AutomaticLoginEnable" parameter in the [daemon] section of the "/etc/gdm/custom.conf" file to "false":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[daemon] </t>
    </r>
    <r>
      <rPr>
        <sz val="11"/>
        <color rgb="FF000000"/>
        <rFont val="Calibri"/>
      </rPr>
      <t xml:space="preserve">
</t>
    </r>
    <r>
      <rPr>
        <sz val="11"/>
        <color rgb="FF000000"/>
        <rFont val="Calibri"/>
      </rPr>
      <t>AutomaticLoginEnable=false</t>
    </r>
  </si>
  <si>
    <r>
      <rPr>
        <sz val="11"/>
        <color rgb="FF000000"/>
        <rFont val="Calibri"/>
      </rPr>
      <t>Failure to restrict system access to authenticated users negatively impacts operating system security.</t>
    </r>
  </si>
  <si>
    <r>
      <rPr>
        <sz val="11"/>
        <color rgb="FF000000"/>
        <rFont val="Calibri"/>
      </rPr>
      <t xml:space="preserve">Note: This requirement assumes the use of the OL 8 default graphical user interface, Gnome Shell. If the system does not have any graphical user interface installed, this requirement is Not Applicable. </t>
    </r>
    <r>
      <rPr>
        <sz val="11"/>
        <color rgb="FF000000"/>
        <rFont val="Calibri"/>
      </rPr>
      <t xml:space="preserve">
</t>
    </r>
    <r>
      <rPr>
        <sz val="11"/>
        <color rgb="FF000000"/>
        <rFont val="Calibri"/>
      </rPr>
      <t xml:space="preserve">Verify the operating system does not allow an unattended or automatic logon to the system via a graphical user interface. </t>
    </r>
    <r>
      <rPr>
        <sz val="11"/>
        <color rgb="FF000000"/>
        <rFont val="Calibri"/>
      </rPr>
      <t xml:space="preserve">
</t>
    </r>
    <r>
      <rPr>
        <sz val="11"/>
        <color rgb="FF000000"/>
        <rFont val="Calibri"/>
      </rPr>
      <t xml:space="preserve">Check for the value of "AutomaticLoginEnable" in the "/etc/gdm/custom.conf" file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grep -i automaticloginenable /etc/gdm/custom.conf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AutomaticLoginEnable=false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value of "AutomaticLoginEnable" is not set to "false", this is a finding.</t>
    </r>
  </si>
  <si>
    <t>V-248650</t>
  </si>
  <si>
    <r>
      <rPr>
        <sz val="11"/>
        <rFont val="Calibri"/>
      </rPr>
      <t>OL 8 must not allow users to override SSH environment variables.</t>
    </r>
  </si>
  <si>
    <r>
      <rPr>
        <sz val="11"/>
        <color rgb="FF000000"/>
        <rFont val="Calibri"/>
      </rPr>
      <t xml:space="preserve">Configure OL 8 to allow the SSH daemon to not allow unattended or automatic login to the system.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edit the following line in the "/etc/ssh/sshd_config"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PermitUserEnvironment no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The SSH daemon must be restarted for the changes to take effect. To restart the SSH daemon, run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systemctl restart sshd.service</t>
    </r>
  </si>
  <si>
    <r>
      <rPr>
        <sz val="11"/>
        <color rgb="FF000000"/>
        <rFont val="Calibri"/>
      </rPr>
      <t>SSH environment options potentially allow users to bypass access restriction in some configurations.</t>
    </r>
  </si>
  <si>
    <r>
      <rPr>
        <sz val="11"/>
        <color rgb="FF000000"/>
        <rFont val="Calibri"/>
      </rPr>
      <t>Verify that unattended or automatic login via SSH is disabled with the following command:</t>
    </r>
    <r>
      <rPr>
        <sz val="11"/>
        <color rgb="FF000000"/>
        <rFont val="Calibri"/>
      </rPr>
      <t xml:space="preserve">
</t>
    </r>
    <r>
      <rPr>
        <sz val="11"/>
        <color rgb="FF000000"/>
        <rFont val="Calibri"/>
      </rPr>
      <t>$ sudo /usr/sbin/sshd -dd 2&gt;&amp;1 | awk '/filename/ {print $4}' | tr -d '\r' | tr '\n' ' ' | xargs sudo grep -iH '^\s*permituserenvironment'</t>
    </r>
    <r>
      <rPr>
        <sz val="11"/>
        <color rgb="FF000000"/>
        <rFont val="Calibri"/>
      </rPr>
      <t xml:space="preserve">
</t>
    </r>
    <r>
      <rPr>
        <sz val="11"/>
        <color rgb="FF000000"/>
        <rFont val="Calibri"/>
      </rPr>
      <t>PermitUserEnvironment no</t>
    </r>
    <r>
      <rPr>
        <sz val="11"/>
        <color rgb="FF000000"/>
        <rFont val="Calibri"/>
      </rPr>
      <t xml:space="preserve">
</t>
    </r>
    <r>
      <rPr>
        <sz val="11"/>
        <color rgb="FF000000"/>
        <rFont val="Calibri"/>
      </rPr>
      <t>If "PermitUserEnvironment" is set to "yes", is missing completely, or is commented out, this is a finding.</t>
    </r>
    <r>
      <rPr>
        <sz val="11"/>
        <color rgb="FF000000"/>
        <rFont val="Calibri"/>
      </rPr>
      <t xml:space="preserve">
</t>
    </r>
    <r>
      <rPr>
        <sz val="11"/>
        <color rgb="FF000000"/>
        <rFont val="Calibri"/>
      </rPr>
      <t>If conflicting results are returned, this is a finding.</t>
    </r>
  </si>
  <si>
    <t>V-248651</t>
  </si>
  <si>
    <r>
      <rPr>
        <sz val="11"/>
        <rFont val="Calibri"/>
      </rPr>
      <t>OL 8 temporary user accounts must be provisioned with an expiration time of 72 hours or less.</t>
    </r>
  </si>
  <si>
    <r>
      <rPr>
        <sz val="11"/>
        <color rgb="FF000000"/>
        <rFont val="Calibri"/>
      </rPr>
      <t xml:space="preserve">If a temporary account must be created, configure the system to terminate the account after a 72-hour time period with the following command to set an expiration date on it.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Substitute "system_account_name" with the account to be created.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chage -E `date -d "+3 days" +%Y-%m-%d` system_account_name</t>
    </r>
  </si>
  <si>
    <r>
      <rPr>
        <sz val="11"/>
        <color rgb="FF000000"/>
        <rFont val="Calibri"/>
      </rPr>
      <t xml:space="preserve">If temporary user accounts remain active when no longer needed or for an excessive period, these accounts may be used to gain unauthorized access. To mitigate this risk, automated termination of all temporary accounts must be set upon account creation.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Temporary accounts are established as part of normal account activation procedures when there is a need for short-term accounts without the demand for immediacy in account activation.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temporary accounts are used, OL 8 must be configured to automatically terminate these types of accounts after a DoD-defined time period of 72 hours.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To address access requirements, many OL 8 operating systems may be integrated with enterprise-level authentication/access mechanisms that meet or exceed access control policy requirements.</t>
    </r>
  </si>
  <si>
    <r>
      <rPr>
        <sz val="11"/>
        <color rgb="FF000000"/>
        <rFont val="Calibri"/>
      </rPr>
      <t xml:space="preserve">Verify that temporary accounts have been provisioned with an expiration date of 72 hours.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For every existing temporary account, run the following command to obtain its account expiration information.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chage -l system_account_name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Verify each of these accounts has an expiration date set within 72 hours.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any temporary accounts have no expiration date set or do not expire within 72 hours, this is a finding.</t>
    </r>
  </si>
  <si>
    <t>V-248652</t>
  </si>
  <si>
    <r>
      <rPr>
        <sz val="11"/>
        <rFont val="Calibri"/>
      </rPr>
      <t>OL 8 systems below version 8.2 must automatically lock an account when three unsuccessful logon attempts occur.</t>
    </r>
  </si>
  <si>
    <r>
      <rPr>
        <sz val="11"/>
        <color rgb="FF000000"/>
        <rFont val="Calibri"/>
      </rPr>
      <t xml:space="preserve">Add/modify the appropriate sections of the "/etc/pam.d/system-auth" and "/etc/pam.d/password-auth" files to match the following lines: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auth required pam_faillock.so preauth dir=/var/log/faillock silent audit deny=3 even_deny_root fail_interval=900 unlock_time=0 </t>
    </r>
    <r>
      <rPr>
        <sz val="11"/>
        <color rgb="FF000000"/>
        <rFont val="Calibri"/>
      </rPr>
      <t xml:space="preserve">
</t>
    </r>
    <r>
      <rPr>
        <sz val="11"/>
        <color rgb="FF000000"/>
        <rFont val="Calibri"/>
      </rPr>
      <t xml:space="preserve">auth required pam_faillock.so authfail dir=/var/log/faillock unlock_time=0 </t>
    </r>
    <r>
      <rPr>
        <sz val="11"/>
        <color rgb="FF000000"/>
        <rFont val="Calibri"/>
      </rPr>
      <t xml:space="preserve">
</t>
    </r>
    <r>
      <rPr>
        <sz val="11"/>
        <color rgb="FF000000"/>
        <rFont val="Calibri"/>
      </rPr>
      <t xml:space="preserve">account required pam_faillock.so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The "sssd" service must be restarted for the changes to take effect. To restart the "sssd" service, run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systemctl restart sssd.service</t>
    </r>
  </si>
  <si>
    <r>
      <rPr>
        <sz val="11"/>
        <color rgb="FF000000"/>
        <rFont val="Calibri"/>
      </rPr>
      <t xml:space="preserve">By limiting the number of failed logon attempts, the risk of unauthorized system access via user password guessing, otherwise known as brute-force attacks, is reduced. Limits are imposed by locking the account.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OL 8 can use the "pam_faillock.so" for this purpose. Note that manual changes to the listed files may be overwritten by the "authselect" program.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From "Pam_Faillock" man pages: Note that the default directory that "pam_faillock" uses is usually cleared on system boot so the access will be reenabled after system reboot. If that is undesirable, a different tally directory must be set with the "dir" option.</t>
    </r>
    <r>
      <rPr>
        <sz val="11"/>
        <color rgb="FF000000"/>
        <rFont val="Calibri"/>
      </rPr>
      <t xml:space="preserve">
</t>
    </r>
    <r>
      <rPr>
        <sz val="11"/>
        <color rgb="FF000000"/>
        <rFont val="Calibri"/>
      </rPr>
      <t>Satisfies: SRG-OS-000021-GPOS-00005, SRG-OS-000329-GPOS-00128</t>
    </r>
  </si>
  <si>
    <r>
      <rPr>
        <sz val="11"/>
        <color rgb="FF000000"/>
        <rFont val="Calibri"/>
      </rPr>
      <t xml:space="preserve">Verify the system locks an account after three unsuccessful logon attempts with the following commands.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Note: This check applies to OL versions 8.0 and 8.1. If the system is OL version 8.2 or newer, this check is not applicable.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grep pam_faillock.so /etc/pam.d/password-auth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auth required pam_faillock.so preauth dir=/var/log/faillock silent audit deny=3 even_deny_root fail_interval=900 unlock_time=0 </t>
    </r>
    <r>
      <rPr>
        <sz val="11"/>
        <color rgb="FF000000"/>
        <rFont val="Calibri"/>
      </rPr>
      <t xml:space="preserve">
</t>
    </r>
    <r>
      <rPr>
        <sz val="11"/>
        <color rgb="FF000000"/>
        <rFont val="Calibri"/>
      </rPr>
      <t xml:space="preserve">auth required pam_faillock.so authfail dir=/var/log/faillock unlock_time=0 </t>
    </r>
    <r>
      <rPr>
        <sz val="11"/>
        <color rgb="FF000000"/>
        <rFont val="Calibri"/>
      </rPr>
      <t xml:space="preserve">
</t>
    </r>
    <r>
      <rPr>
        <sz val="11"/>
        <color rgb="FF000000"/>
        <rFont val="Calibri"/>
      </rPr>
      <t xml:space="preserve">account required pam_faillock.so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"deny" option is not set to "3" or less (but not "0") on the "preauth" line with the "pam_faillock.so" module or is missing from this line,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any line referencing the "pam_faillock.so" module is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grep pam_faillock.so /etc/pam.d/system-auth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auth required pam_faillock.so preauth dir=/var/log/faillock silent audit deny=3 even_deny_root fail_interval=900 unlock_time=0 </t>
    </r>
    <r>
      <rPr>
        <sz val="11"/>
        <color rgb="FF000000"/>
        <rFont val="Calibri"/>
      </rPr>
      <t xml:space="preserve">
</t>
    </r>
    <r>
      <rPr>
        <sz val="11"/>
        <color rgb="FF000000"/>
        <rFont val="Calibri"/>
      </rPr>
      <t xml:space="preserve">auth required pam_faillock.so authfail dir=/var/log/faillock unlock_time=0 </t>
    </r>
    <r>
      <rPr>
        <sz val="11"/>
        <color rgb="FF000000"/>
        <rFont val="Calibri"/>
      </rPr>
      <t xml:space="preserve">
</t>
    </r>
    <r>
      <rPr>
        <sz val="11"/>
        <color rgb="FF000000"/>
        <rFont val="Calibri"/>
      </rPr>
      <t xml:space="preserve">account required pam_faillock.so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"deny" option is not set to "3" or less (but not "0") on the "preauth" line with the "pam_faillock.so" module or is missing from this line,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any line referencing the "pam_faillock.so" module is commented out, this is a finding.</t>
    </r>
  </si>
  <si>
    <t>V-248653</t>
  </si>
  <si>
    <r>
      <rPr>
        <sz val="11"/>
        <rFont val="Calibri"/>
      </rPr>
      <t>OL 8 systems, versions 8.2 and above, must automatically lock an account when three unsuccessful logon attempts occur.</t>
    </r>
  </si>
  <si>
    <r>
      <rPr>
        <sz val="11"/>
        <color rgb="FF000000"/>
        <rFont val="Calibri"/>
      </rPr>
      <t xml:space="preserve">Configure OL 8 to lock an account when three unsuccessful logon attempts occur.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Add/modify the "/etc/security/faillock.conf" file to match the following line: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deny = 3</t>
    </r>
  </si>
  <si>
    <r>
      <rPr>
        <sz val="11"/>
        <color rgb="FF000000"/>
        <rFont val="Calibri"/>
      </rPr>
      <t xml:space="preserve">By limiting the number of failed logon attempts, the risk of unauthorized system access via user password guessing, otherwise known as brute-force attacks, is reduced. Limits are imposed by locking the account.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In OL 8.2, the "/etc/security/faillock.conf" file was incorporated to centralize the configuration of the "pam_faillock.so" module. Also introduced is a "local_users_only" option that will only track failed user authentication attempts for local users in "/etc/passwd" and ignore centralized (AD, IdM, LDAP, etc.) users to allow the centralized platform to solely manage user lockout.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From "faillock.conf" man pages: Note that the default directory that "pam_faillock" uses is usually cleared on system boot so the access will be reenabled after system reboot. If that is undesirable, a different tally directory must be set with the "dir" option.</t>
    </r>
    <r>
      <rPr>
        <sz val="11"/>
        <color rgb="FF000000"/>
        <rFont val="Calibri"/>
      </rPr>
      <t xml:space="preserve">
</t>
    </r>
    <r>
      <rPr>
        <sz val="11"/>
        <color rgb="FF000000"/>
        <rFont val="Calibri"/>
      </rPr>
      <t>Satisfies: SRG-OS-000021-GPOS-00005, SRG-OS-000329-GPOS-00128</t>
    </r>
  </si>
  <si>
    <r>
      <rPr>
        <sz val="11"/>
        <color rgb="FF000000"/>
        <rFont val="Calibri"/>
      </rPr>
      <t xml:space="preserve">Note: This check applies to OL versions 8.2 or newer. If the system is OL version 8.0 or 8.1, this check is not applicable.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Verify the "/etc/security/faillock.conf" file is configured to lock an account after three unsuccessful logon attempts: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grep 'deny =' /etc/security/faillock.conf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deny = 3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"deny" option is not set to "3" or less (but not "0") or is missing or commented out, this is a finding.</t>
    </r>
  </si>
  <si>
    <t>V-248654</t>
  </si>
  <si>
    <r>
      <rPr>
        <sz val="11"/>
        <rFont val="Calibri"/>
      </rPr>
      <t>OL 8 systems below version 8.2 must automatically lock an account when three unsuccessful logon attempts occur during a 15-minute time period.</t>
    </r>
  </si>
  <si>
    <r>
      <rPr>
        <sz val="11"/>
        <color rgb="FF000000"/>
        <rFont val="Calibri"/>
      </rPr>
      <t xml:space="preserve">Configure the operating system to lock an account when three unsuccessful logon attempts occur in 15 minutes.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Add/modify the appropriate sections of the "/etc/pam.d/system-auth" and "/etc/pam.d/password-auth" files to match the following lines: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auth required pam_faillock.so preauth dir=/var/log/faillock silent audit deny=3 even_deny_root fail_interval=900 unlock_time=0 </t>
    </r>
    <r>
      <rPr>
        <sz val="11"/>
        <color rgb="FF000000"/>
        <rFont val="Calibri"/>
      </rPr>
      <t xml:space="preserve">
</t>
    </r>
    <r>
      <rPr>
        <sz val="11"/>
        <color rgb="FF000000"/>
        <rFont val="Calibri"/>
      </rPr>
      <t xml:space="preserve">auth required pam_faillock.so authfail dir=/var/log/faillock unlock_time=0 </t>
    </r>
    <r>
      <rPr>
        <sz val="11"/>
        <color rgb="FF000000"/>
        <rFont val="Calibri"/>
      </rPr>
      <t xml:space="preserve">
</t>
    </r>
    <r>
      <rPr>
        <sz val="11"/>
        <color rgb="FF000000"/>
        <rFont val="Calibri"/>
      </rPr>
      <t xml:space="preserve">account required pam_faillock.so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The "sssd" service must be restarted for the changes to take effect. To restart the "sssd" service, run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systemctl restart sssd.service</t>
    </r>
  </si>
  <si>
    <r>
      <rPr>
        <sz val="11"/>
        <color rgb="FF000000"/>
        <rFont val="Calibri"/>
      </rPr>
      <t xml:space="preserve">Verify the system locks an account after three unsuccessful logon attempts within a period of 15 minutes with the following commands.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Note: This check applies to OL versions 8.0 and 8.1. If the system is OL version 8.2 or newer, this check is not applicable.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grep pam_faillock.so /etc/pam.d/password-auth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auth required pam_faillock.so preauth dir=/var/log/faillock silent audit deny=3 even_deny_root fail_interval=900 unlock_time=0 </t>
    </r>
    <r>
      <rPr>
        <sz val="11"/>
        <color rgb="FF000000"/>
        <rFont val="Calibri"/>
      </rPr>
      <t xml:space="preserve">
</t>
    </r>
    <r>
      <rPr>
        <sz val="11"/>
        <color rgb="FF000000"/>
        <rFont val="Calibri"/>
      </rPr>
      <t xml:space="preserve">auth required pam_faillock.so authfail dir=/var/log/faillock unlock_time=0 </t>
    </r>
    <r>
      <rPr>
        <sz val="11"/>
        <color rgb="FF000000"/>
        <rFont val="Calibri"/>
      </rPr>
      <t xml:space="preserve">
</t>
    </r>
    <r>
      <rPr>
        <sz val="11"/>
        <color rgb="FF000000"/>
        <rFont val="Calibri"/>
      </rPr>
      <t xml:space="preserve">account required pam_faillock.so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"fail_interval" option is not set to "900" or more on the "preauth" lines with the "pam_faillock.so" module or is missing from this line,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grep pam_faillock.so /etc/pam.d/system-auth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auth required pam_faillock.so preauth dir=/var/log/faillock silent audit deny=3 even_deny_root fail_interval=900 unlock_time=0 </t>
    </r>
    <r>
      <rPr>
        <sz val="11"/>
        <color rgb="FF000000"/>
        <rFont val="Calibri"/>
      </rPr>
      <t xml:space="preserve">
</t>
    </r>
    <r>
      <rPr>
        <sz val="11"/>
        <color rgb="FF000000"/>
        <rFont val="Calibri"/>
      </rPr>
      <t xml:space="preserve">auth required pam_faillock.so authfail dir=/var/log/faillock unlock_time=0 </t>
    </r>
    <r>
      <rPr>
        <sz val="11"/>
        <color rgb="FF000000"/>
        <rFont val="Calibri"/>
      </rPr>
      <t xml:space="preserve">
</t>
    </r>
    <r>
      <rPr>
        <sz val="11"/>
        <color rgb="FF000000"/>
        <rFont val="Calibri"/>
      </rPr>
      <t xml:space="preserve">account required pam_faillock.so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"fail_interval" option is not set to "900" or more on the "preauth" lines with the "pam_faillock.so" module or is missing from this line, this is a finding.</t>
    </r>
  </si>
  <si>
    <t>V-248655</t>
  </si>
  <si>
    <r>
      <rPr>
        <sz val="11"/>
        <rFont val="Calibri"/>
      </rPr>
      <t>OL 8 systems, versions 8.2 and above, must automatically lock an account when three unsuccessful logon attempts occur during a 15-minute time period.</t>
    </r>
  </si>
  <si>
    <r>
      <rPr>
        <sz val="11"/>
        <color rgb="FF000000"/>
        <rFont val="Calibri"/>
      </rPr>
      <t>Configure OL 8 to lock an account when three unsuccessful logon attempts occur.</t>
    </r>
    <r>
      <rPr>
        <sz val="11"/>
        <color rgb="FF000000"/>
        <rFont val="Calibri"/>
      </rPr>
      <t xml:space="preserve">
</t>
    </r>
    <r>
      <rPr>
        <sz val="11"/>
        <color rgb="FF000000"/>
        <rFont val="Calibri"/>
      </rPr>
      <t xml:space="preserve">Add/modify the "/etc/security/faillock.conf" file to match the following line: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fail_interval = 900</t>
    </r>
  </si>
  <si>
    <r>
      <rPr>
        <sz val="11"/>
        <color rgb="FF000000"/>
        <rFont val="Calibri"/>
      </rPr>
      <t>Note: This check applies to OL versions 8.2 or newer. If the system is OL version 8.0 or 8.1, this check is not applicable.</t>
    </r>
    <r>
      <rPr>
        <sz val="11"/>
        <color rgb="FF000000"/>
        <rFont val="Calibri"/>
      </rPr>
      <t xml:space="preserve">
</t>
    </r>
    <r>
      <rPr>
        <sz val="11"/>
        <color rgb="FF000000"/>
        <rFont val="Calibri"/>
      </rPr>
      <t xml:space="preserve">Verify the "/etc/security/faillock.conf" file is configured to lock an account after three unsuccessful logon attempts within 15 minutes: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grep 'fail_interval =' /etc/security/faillock.conf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fail_interval = 900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"fail_interval" option is not set to "900" or more or is missing or commented out, this is a finding.</t>
    </r>
  </si>
  <si>
    <t>V-248656</t>
  </si>
  <si>
    <r>
      <rPr>
        <sz val="11"/>
        <rFont val="Calibri"/>
      </rPr>
      <t>OL 8 systems below version 8.2 must automatically lock an account until the locked account is released by an administrator when three unsuccessful logon attempts occur during a 15-minute time period.</t>
    </r>
  </si>
  <si>
    <r>
      <rPr>
        <sz val="11"/>
        <color rgb="FF000000"/>
        <rFont val="Calibri"/>
      </rPr>
      <t xml:space="preserve">Configure the operating system to lock an account until released by an administrator when three unsuccessful logon attempts occur in 15 minutes.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Add/modify the appropriate sections of the "/etc/pam.d/system-auth" and "/etc/pam.d/password-auth" files to match the following lines: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auth required pam_faillock.so preauth dir=/var/log/faillock silent audit deny=3 even_deny_root fail_interval=900 unlock_time=0 </t>
    </r>
    <r>
      <rPr>
        <sz val="11"/>
        <color rgb="FF000000"/>
        <rFont val="Calibri"/>
      </rPr>
      <t xml:space="preserve">
</t>
    </r>
    <r>
      <rPr>
        <sz val="11"/>
        <color rgb="FF000000"/>
        <rFont val="Calibri"/>
      </rPr>
      <t xml:space="preserve">auth required pam_faillock.so authfail dir=/var/log/faillock unlock_time=0 </t>
    </r>
    <r>
      <rPr>
        <sz val="11"/>
        <color rgb="FF000000"/>
        <rFont val="Calibri"/>
      </rPr>
      <t xml:space="preserve">
</t>
    </r>
    <r>
      <rPr>
        <sz val="11"/>
        <color rgb="FF000000"/>
        <rFont val="Calibri"/>
      </rPr>
      <t xml:space="preserve">account required pam_faillock.so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The "sssd" service must be restarted for the changes to take effect. To restart the "sssd" service, run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systemctl restart sssd.service</t>
    </r>
  </si>
  <si>
    <r>
      <rPr>
        <sz val="11"/>
        <color rgb="FF000000"/>
        <rFont val="Calibri"/>
      </rPr>
      <t xml:space="preserve">Verify the system locks an account after three unsuccessful logon attempts within a period of 15 minutes until released by an administrator with the following commands.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Note: This check applies to OL versions 8.0 and 8.1. If the system is OL version 8.2 or newer, this check is not applicable.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grep pam_faillock.so /etc/pam.d/password-auth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auth required pam_faillock.so preauth dir=/var/log/faillock silent audit deny=3 even_deny_root fail_interval=900 unlock_time=0 </t>
    </r>
    <r>
      <rPr>
        <sz val="11"/>
        <color rgb="FF000000"/>
        <rFont val="Calibri"/>
      </rPr>
      <t xml:space="preserve">
</t>
    </r>
    <r>
      <rPr>
        <sz val="11"/>
        <color rgb="FF000000"/>
        <rFont val="Calibri"/>
      </rPr>
      <t xml:space="preserve">auth required pam_faillock.so authfail dir=/var/log/faillock unlock_time=0 </t>
    </r>
    <r>
      <rPr>
        <sz val="11"/>
        <color rgb="FF000000"/>
        <rFont val="Calibri"/>
      </rPr>
      <t xml:space="preserve">
</t>
    </r>
    <r>
      <rPr>
        <sz val="11"/>
        <color rgb="FF000000"/>
        <rFont val="Calibri"/>
      </rPr>
      <t xml:space="preserve">account required pam_faillock.so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"unlock_time" option is not set to "0" on the "preauth" and "authfail" lines with the "pam_faillock.so" module or is missing from these lines,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grep pam_faillock.so /etc/pam.d/system-auth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auth required pam_faillock.so preauth dir=/var/log/faillock silent audit deny=3 even_deny_root fail_interval=900 unlock_time=0 </t>
    </r>
    <r>
      <rPr>
        <sz val="11"/>
        <color rgb="FF000000"/>
        <rFont val="Calibri"/>
      </rPr>
      <t xml:space="preserve">
</t>
    </r>
    <r>
      <rPr>
        <sz val="11"/>
        <color rgb="FF000000"/>
        <rFont val="Calibri"/>
      </rPr>
      <t xml:space="preserve">auth required pam_faillock.so authfail dir=/var/log/faillock unlock_time=0 </t>
    </r>
    <r>
      <rPr>
        <sz val="11"/>
        <color rgb="FF000000"/>
        <rFont val="Calibri"/>
      </rPr>
      <t xml:space="preserve">
</t>
    </r>
    <r>
      <rPr>
        <sz val="11"/>
        <color rgb="FF000000"/>
        <rFont val="Calibri"/>
      </rPr>
      <t xml:space="preserve">account required pam_faillock.so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"unlock_time" option is not set to "0" on the "preauth" and "authfail" lines with the "pam_faillock.so" module or is missing from these lines, this is a finding.</t>
    </r>
  </si>
  <si>
    <t>V-248657</t>
  </si>
  <si>
    <r>
      <rPr>
        <sz val="11"/>
        <rFont val="Calibri"/>
      </rPr>
      <t>OL 8 systems, versions 8.2 and above, must automatically lock an account until the locked account is released by an administrator when three unsuccessful logon attempts occur during a 15-minute time period.</t>
    </r>
  </si>
  <si>
    <r>
      <rPr>
        <sz val="11"/>
        <color rgb="FF000000"/>
        <rFont val="Calibri"/>
      </rPr>
      <t>Configure OL 8 to lock an account until released by an administrator when three unsuccessful logon attempts occur in 15 minutes.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Add/modify the "/etc/security/faillock.conf" file to match the following line: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unlock_time = 0</t>
    </r>
  </si>
  <si>
    <r>
      <rPr>
        <sz val="11"/>
        <color rgb="FF000000"/>
        <rFont val="Calibri"/>
      </rPr>
      <t xml:space="preserve">Note: This check applies to OL versions 8.2 or newer. If the system is OL version 8.0 or 8.1, this check is not applicable.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Verify the "/etc/security/faillock.conf" file is configured to lock an account until released by an administrator after three unsuccessful logon attempts: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grep 'unlock_time =' /etc/security/faillock.conf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unlock_time = 0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"unlock_time" option is not set to "0" or is missing or commented out, this is a finding.</t>
    </r>
  </si>
  <si>
    <t>V-248658</t>
  </si>
  <si>
    <r>
      <rPr>
        <sz val="11"/>
        <rFont val="Calibri"/>
      </rPr>
      <t>OL 8 systems below version 8.2 must ensure account lockouts persist.</t>
    </r>
  </si>
  <si>
    <r>
      <rPr>
        <sz val="11"/>
        <color rgb="FF000000"/>
        <rFont val="Calibri"/>
      </rPr>
      <t xml:space="preserve">Configure the operating system maintain the contents of the faillock directory after a reboot.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Add/modify the appropriate sections of the "/etc/pam.d/system-auth" and "/etc/pam.d/password-auth" files to match the following lines.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Note: Using the default faillock directory of "/var/run/faillock" will result in the contents being cleared in the event of a reboot.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auth required pam_faillock.so preauth dir=/var/log/faillock silent audit deny=3 even_deny_root fail_interval=900 unlock_time=0 </t>
    </r>
    <r>
      <rPr>
        <sz val="11"/>
        <color rgb="FF000000"/>
        <rFont val="Calibri"/>
      </rPr>
      <t xml:space="preserve">
</t>
    </r>
    <r>
      <rPr>
        <sz val="11"/>
        <color rgb="FF000000"/>
        <rFont val="Calibri"/>
      </rPr>
      <t xml:space="preserve">auth required pam_faillock.so authfail dir=/var/log/faillock unlock_time=0 </t>
    </r>
    <r>
      <rPr>
        <sz val="11"/>
        <color rgb="FF000000"/>
        <rFont val="Calibri"/>
      </rPr>
      <t xml:space="preserve">
</t>
    </r>
    <r>
      <rPr>
        <sz val="11"/>
        <color rgb="FF000000"/>
        <rFont val="Calibri"/>
      </rPr>
      <t xml:space="preserve">account required pam_faillock.so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The "sssd" service must be restarted for the changes to take effect. To restart the "sssd" service, run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systemctl restart sssd.service</t>
    </r>
  </si>
  <si>
    <r>
      <rPr>
        <sz val="11"/>
        <color rgb="FF000000"/>
        <rFont val="Calibri"/>
      </rPr>
      <t xml:space="preserve">Verify the faillock directory contents persist after a reboot with the following commands: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Note: This check applies to OL versions 8.0 and 8.1. If the system is OL version 8.2 or newer, this check is not applicable.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grep pam_faillock.so /etc/pam.d/password-auth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auth required pam_faillock.so preauth dir=/var/log/faillock silent audit deny=3 even_deny_root fail_interval=900 unlock_time=0 </t>
    </r>
    <r>
      <rPr>
        <sz val="11"/>
        <color rgb="FF000000"/>
        <rFont val="Calibri"/>
      </rPr>
      <t xml:space="preserve">
</t>
    </r>
    <r>
      <rPr>
        <sz val="11"/>
        <color rgb="FF000000"/>
        <rFont val="Calibri"/>
      </rPr>
      <t xml:space="preserve">auth required pam_faillock.so authfail dir=/var/log/faillock unlock_time=0 </t>
    </r>
    <r>
      <rPr>
        <sz val="11"/>
        <color rgb="FF000000"/>
        <rFont val="Calibri"/>
      </rPr>
      <t xml:space="preserve">
</t>
    </r>
    <r>
      <rPr>
        <sz val="11"/>
        <color rgb="FF000000"/>
        <rFont val="Calibri"/>
      </rPr>
      <t xml:space="preserve">account required pam_faillock.so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"dir" option is not set to a non-default documented tally log directory on the "preauth" and "authfail" lines with the "pam_faillock.so" module or is missing from these lines,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grep pam_faillock.so /etc/pam.d/system-auth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auth required pam_faillock.so preauth dir=/var/log/faillock silent audit deny=3 even_deny_root fail_interval=900 unlock_time=0 </t>
    </r>
    <r>
      <rPr>
        <sz val="11"/>
        <color rgb="FF000000"/>
        <rFont val="Calibri"/>
      </rPr>
      <t xml:space="preserve">
</t>
    </r>
    <r>
      <rPr>
        <sz val="11"/>
        <color rgb="FF000000"/>
        <rFont val="Calibri"/>
      </rPr>
      <t xml:space="preserve">auth required pam_faillock.so authfail dir=/var/log/faillock unlock_time=0 </t>
    </r>
    <r>
      <rPr>
        <sz val="11"/>
        <color rgb="FF000000"/>
        <rFont val="Calibri"/>
      </rPr>
      <t xml:space="preserve">
</t>
    </r>
    <r>
      <rPr>
        <sz val="11"/>
        <color rgb="FF000000"/>
        <rFont val="Calibri"/>
      </rPr>
      <t xml:space="preserve">account required pam_faillock.so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"dir" option is not set to a non-default documented tally log directory on the "preauth" and "authfail" lines with the "pam_faillock.so" module or is missing from these lines, this is a finding.</t>
    </r>
  </si>
  <si>
    <t>V-248659</t>
  </si>
  <si>
    <r>
      <rPr>
        <sz val="11"/>
        <rFont val="Calibri"/>
      </rPr>
      <t>OL 8 systems, versions 8.2 and above, must ensure account lockouts persist.</t>
    </r>
  </si>
  <si>
    <r>
      <rPr>
        <sz val="11"/>
        <color rgb="FF000000"/>
        <rFont val="Calibri"/>
      </rPr>
      <t>Configure OL 8 to maintain the contents of the faillock directory after a reboot.</t>
    </r>
    <r>
      <rPr>
        <sz val="11"/>
        <color rgb="FF000000"/>
        <rFont val="Calibri"/>
      </rPr>
      <t xml:space="preserve">
</t>
    </r>
    <r>
      <rPr>
        <sz val="11"/>
        <color rgb="FF000000"/>
        <rFont val="Calibri"/>
      </rPr>
      <t xml:space="preserve">Add/modify the "/etc/security/faillock.conf" file to match the following line: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dir = /var/log/faillock</t>
    </r>
  </si>
  <si>
    <r>
      <rPr>
        <sz val="11"/>
        <color rgb="FF000000"/>
        <rFont val="Calibri"/>
      </rPr>
      <t xml:space="preserve">Note: This check applies to OL versions 8.2 or newer. If the system is OL version 8.0 or 8.1, this check is not applicable.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Verify the "/etc/security/faillock.conf" file is configured use a non-default faillock directory to ensure contents persist after reboot: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grep 'dir =' /etc/security/faillock.conf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dir = /var/log/faillock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"dir" option is not set to a non-default documented tally log directory or is missing or commented out, this is a finding.</t>
    </r>
  </si>
  <si>
    <t>V-248660</t>
  </si>
  <si>
    <r>
      <rPr>
        <sz val="11"/>
        <rFont val="Calibri"/>
      </rPr>
      <t>OL 8 systems below version 8.2 must prevent system messages from being presented when three unsuccessful logon attempts occur.</t>
    </r>
  </si>
  <si>
    <r>
      <rPr>
        <sz val="11"/>
        <color rgb="FF000000"/>
        <rFont val="Calibri"/>
      </rPr>
      <t xml:space="preserve">Configure the operating system to prevent informative messages from being presented at logon attempts.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Add/modify the appropriate sections of the "/etc/pam.d/system-auth" and "/etc/pam.d/password-auth" files to match the following lines: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auth required pam_faillock.so preauth dir=/var/log/faillock silent audit deny=3 even_deny_root fail_interval=900 unlock_time=0 </t>
    </r>
    <r>
      <rPr>
        <sz val="11"/>
        <color rgb="FF000000"/>
        <rFont val="Calibri"/>
      </rPr>
      <t xml:space="preserve">
</t>
    </r>
    <r>
      <rPr>
        <sz val="11"/>
        <color rgb="FF000000"/>
        <rFont val="Calibri"/>
      </rPr>
      <t xml:space="preserve">auth required pam_faillock.so authfail dir=/var/log/faillock unlock_time=0 </t>
    </r>
    <r>
      <rPr>
        <sz val="11"/>
        <color rgb="FF000000"/>
        <rFont val="Calibri"/>
      </rPr>
      <t xml:space="preserve">
</t>
    </r>
    <r>
      <rPr>
        <sz val="11"/>
        <color rgb="FF000000"/>
        <rFont val="Calibri"/>
      </rPr>
      <t xml:space="preserve">account required pam_faillock.so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The "sssd" service must be restarted for the changes to take effect. To restart the "sssd" service, run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systemctl restart sssd.service</t>
    </r>
  </si>
  <si>
    <r>
      <rPr>
        <sz val="11"/>
        <color rgb="FF000000"/>
        <rFont val="Calibri"/>
      </rPr>
      <t xml:space="preserve">Verify the system prevents informative messages from being presented to the user pertaining to logon information with the following commands.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Note: This check applies to OL versions 8.0 and 8.1. If the system is OL version 8.2 or newer, this check is not applicable.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grep pam_faillock.so /etc/pam.d/password-auth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auth required pam_faillock.so preauth dir=/var/log/faillock silent audit deny=3 even_deny_root fail_interval=900 unlock_time=0 </t>
    </r>
    <r>
      <rPr>
        <sz val="11"/>
        <color rgb="FF000000"/>
        <rFont val="Calibri"/>
      </rPr>
      <t xml:space="preserve">
</t>
    </r>
    <r>
      <rPr>
        <sz val="11"/>
        <color rgb="FF000000"/>
        <rFont val="Calibri"/>
      </rPr>
      <t xml:space="preserve">auth required pam_faillock.so authfail dir=/var/log/faillock unlock_time=0 </t>
    </r>
    <r>
      <rPr>
        <sz val="11"/>
        <color rgb="FF000000"/>
        <rFont val="Calibri"/>
      </rPr>
      <t xml:space="preserve">
</t>
    </r>
    <r>
      <rPr>
        <sz val="11"/>
        <color rgb="FF000000"/>
        <rFont val="Calibri"/>
      </rPr>
      <t xml:space="preserve">account required pam_faillock.so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"silent" option is missing from the "preauth" line with the "pam_faillock.so" module,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grep pam_faillock.so /etc/pam.d/system-auth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auth required pam_faillock.so preauth dir=/var/log/faillock silent audit deny=3 even_deny_root fail_interval=900 unlock_time=0 </t>
    </r>
    <r>
      <rPr>
        <sz val="11"/>
        <color rgb="FF000000"/>
        <rFont val="Calibri"/>
      </rPr>
      <t xml:space="preserve">
</t>
    </r>
    <r>
      <rPr>
        <sz val="11"/>
        <color rgb="FF000000"/>
        <rFont val="Calibri"/>
      </rPr>
      <t xml:space="preserve">auth required pam_faillock.so authfail dir=/var/log/faillock unlock_time=0 </t>
    </r>
    <r>
      <rPr>
        <sz val="11"/>
        <color rgb="FF000000"/>
        <rFont val="Calibri"/>
      </rPr>
      <t xml:space="preserve">
</t>
    </r>
    <r>
      <rPr>
        <sz val="11"/>
        <color rgb="FF000000"/>
        <rFont val="Calibri"/>
      </rPr>
      <t xml:space="preserve">account required pam_faillock.so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"silent" option is missing from the "preauth" line with the "pam_faillock.so" module, this is a finding.</t>
    </r>
  </si>
  <si>
    <t>V-248661</t>
  </si>
  <si>
    <r>
      <rPr>
        <sz val="11"/>
        <rFont val="Calibri"/>
      </rPr>
      <t>OL 8 systems, versions 8.2 and above, must prevent system messages from being presented when three unsuccessful logon attempts occur.</t>
    </r>
  </si>
  <si>
    <r>
      <rPr>
        <sz val="11"/>
        <color rgb="FF000000"/>
        <rFont val="Calibri"/>
      </rPr>
      <t>Configure the operating system to prevent informative messages from being presented at logon attempts.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Add/modify the "/etc/security/faillock.conf" file to match the following line: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silent</t>
    </r>
  </si>
  <si>
    <r>
      <rPr>
        <sz val="11"/>
        <color rgb="FF000000"/>
        <rFont val="Calibri"/>
      </rPr>
      <t xml:space="preserve">By limiting the number of failed logon attempts, the risk of unauthorized system access via user password guessing, otherwise known as brute-force attacks, is reduced. Limits are imposed by locking the account.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In OL 8.2, the "/etc/security/faillock.conf" file was incorporated to centralize the configuration of the" pam_faillock.so" module. Also introduced is a "local_users_only" option that will only track failed user authentication attempts for local users in "/etc/passwd" and ignore centralized (AD, IdM, LDAP, etc.) users to allow the centralized platform to solely manage user lockout.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From "faillock.conf" man pages: Note that the default directory that "pam_faillock" uses is usually cleared on system boot so the access will be reenabled after system reboot. If that is undesirable, a different tally directory must be set with the "dir" option.</t>
    </r>
    <r>
      <rPr>
        <sz val="11"/>
        <color rgb="FF000000"/>
        <rFont val="Calibri"/>
      </rPr>
      <t xml:space="preserve">
</t>
    </r>
    <r>
      <rPr>
        <sz val="11"/>
        <color rgb="FF000000"/>
        <rFont val="Calibri"/>
      </rPr>
      <t>Satisfies: SRG-OS-000021-GPOS-00005, SRG-OS-000329-GPOS-00128</t>
    </r>
  </si>
  <si>
    <r>
      <rPr>
        <sz val="11"/>
        <color rgb="FF000000"/>
        <rFont val="Calibri"/>
      </rPr>
      <t xml:space="preserve">Note: This check applies to OL versions 8.2 or newer. If the system is OL version 8.0 or 8.1, this check is not applicable. </t>
    </r>
    <r>
      <rPr>
        <sz val="11"/>
        <color rgb="FF000000"/>
        <rFont val="Calibri"/>
      </rPr>
      <t xml:space="preserve">
</t>
    </r>
    <r>
      <rPr>
        <sz val="11"/>
        <color rgb="FF000000"/>
        <rFont val="Calibri"/>
      </rPr>
      <t xml:space="preserve">Verify the "/etc/security/faillock.conf" file is configured to prevent informative messages from being presented at logon attempts: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grep silent /etc/security/faillock.conf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silent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"silent" option is not set or is missing or commented out, this is a finding.</t>
    </r>
  </si>
  <si>
    <t>V-248662</t>
  </si>
  <si>
    <r>
      <rPr>
        <sz val="11"/>
        <rFont val="Calibri"/>
      </rPr>
      <t>OL 8 systems below version 8.2 must log user name information when unsuccessful logon attempts occur.</t>
    </r>
  </si>
  <si>
    <r>
      <rPr>
        <sz val="11"/>
        <color rgb="FF000000"/>
        <rFont val="Calibri"/>
      </rPr>
      <t xml:space="preserve">Configure the operating system to log user name information when unsuccessful logon attempts occur.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Add/modify the appropriate sections of the "/etc/pam.d/system-auth" and "/etc/pam.d/password-auth" files to match the following lines: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auth required pam_faillock.so preauth dir=/var/log/faillock silent audit deny=3 even_deny_root fail_interval=900 unlock_time=0 </t>
    </r>
    <r>
      <rPr>
        <sz val="11"/>
        <color rgb="FF000000"/>
        <rFont val="Calibri"/>
      </rPr>
      <t xml:space="preserve">
</t>
    </r>
    <r>
      <rPr>
        <sz val="11"/>
        <color rgb="FF000000"/>
        <rFont val="Calibri"/>
      </rPr>
      <t xml:space="preserve">auth required pam_faillock.so authfail dir=/var/log/faillock unlock_time=0 </t>
    </r>
    <r>
      <rPr>
        <sz val="11"/>
        <color rgb="FF000000"/>
        <rFont val="Calibri"/>
      </rPr>
      <t xml:space="preserve">
</t>
    </r>
    <r>
      <rPr>
        <sz val="11"/>
        <color rgb="FF000000"/>
        <rFont val="Calibri"/>
      </rPr>
      <t xml:space="preserve">account required pam_faillock.so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The "sssd" service must be restarted for the changes to take effect. To restart the "sssd" service, run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systemctl restart sssd.service</t>
    </r>
  </si>
  <si>
    <r>
      <rPr>
        <sz val="11"/>
        <color rgb="FF000000"/>
        <rFont val="Calibri"/>
      </rPr>
      <t xml:space="preserve">Verify the system logs user name information when unsuccessful logon attempts occur with the following commands.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Note: This check applies to OL versions 8.0 and 8.1. If the system is OL version 8.2 or newer, this check is not applicable.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grep pam_faillock.so /etc/pam.d/password-auth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auth required pam_faillock.so preauth dir=/var/log/faillock silent audit deny=3 even_deny_root fail_interval=900 unlock_time=0 </t>
    </r>
    <r>
      <rPr>
        <sz val="11"/>
        <color rgb="FF000000"/>
        <rFont val="Calibri"/>
      </rPr>
      <t xml:space="preserve">
</t>
    </r>
    <r>
      <rPr>
        <sz val="11"/>
        <color rgb="FF000000"/>
        <rFont val="Calibri"/>
      </rPr>
      <t xml:space="preserve">auth required pam_faillock.so authfail dir=/var/log/faillock unlock_time=0 </t>
    </r>
    <r>
      <rPr>
        <sz val="11"/>
        <color rgb="FF000000"/>
        <rFont val="Calibri"/>
      </rPr>
      <t xml:space="preserve">
</t>
    </r>
    <r>
      <rPr>
        <sz val="11"/>
        <color rgb="FF000000"/>
        <rFont val="Calibri"/>
      </rPr>
      <t xml:space="preserve">account required pam_faillock.so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"audit" option is missing from the "preauth" line with the "pam_faillock.so" module,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grep pam_faillock.so /etc/pam.d/system-auth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auth required pam_faillock.so preauth dir=/var/log/faillock silent audit deny=3 even_deny_root fail_interval=900 unlock_time=0 </t>
    </r>
    <r>
      <rPr>
        <sz val="11"/>
        <color rgb="FF000000"/>
        <rFont val="Calibri"/>
      </rPr>
      <t xml:space="preserve">
</t>
    </r>
    <r>
      <rPr>
        <sz val="11"/>
        <color rgb="FF000000"/>
        <rFont val="Calibri"/>
      </rPr>
      <t xml:space="preserve">auth required pam_faillock.so authfail dir=/var/log/faillock unlock_time=0 </t>
    </r>
    <r>
      <rPr>
        <sz val="11"/>
        <color rgb="FF000000"/>
        <rFont val="Calibri"/>
      </rPr>
      <t xml:space="preserve">
</t>
    </r>
    <r>
      <rPr>
        <sz val="11"/>
        <color rgb="FF000000"/>
        <rFont val="Calibri"/>
      </rPr>
      <t xml:space="preserve">account required pam_faillock.so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"audit" option is missing from the "preauth" line with the "pam_faillock.so" module, this is a finding.</t>
    </r>
  </si>
  <si>
    <t>V-248663</t>
  </si>
  <si>
    <r>
      <rPr>
        <sz val="11"/>
        <rFont val="Calibri"/>
      </rPr>
      <t>OL 8 systems, versions 8.2 and above, must log user name information when unsuccessful logon attempts occur.</t>
    </r>
  </si>
  <si>
    <r>
      <rPr>
        <sz val="11"/>
        <color rgb="FF000000"/>
        <rFont val="Calibri"/>
      </rPr>
      <t xml:space="preserve">Configure the operating system to log user name information when unsuccessful logon attempts occur.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Add/modify the "/etc/security/faillock.conf" file to match the following line: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audit</t>
    </r>
  </si>
  <si>
    <r>
      <rPr>
        <sz val="11"/>
        <color rgb="FF000000"/>
        <rFont val="Calibri"/>
      </rPr>
      <t xml:space="preserve">Note: This check applies to OL versions 8.2 or newer. If the system is OL version 8.0 or 8.1, this check is not applicable. </t>
    </r>
    <r>
      <rPr>
        <sz val="11"/>
        <color rgb="FF000000"/>
        <rFont val="Calibri"/>
      </rPr>
      <t xml:space="preserve">
</t>
    </r>
    <r>
      <rPr>
        <sz val="11"/>
        <color rgb="FF000000"/>
        <rFont val="Calibri"/>
      </rPr>
      <t xml:space="preserve">Verify the "/etc/security/faillock.conf" file is configured to log user name information when unsuccessful logon attempts occur: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grep audit /etc/security/faillock.conf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audit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"audit" option is not set, is missing or commented out, this is a finding.</t>
    </r>
  </si>
  <si>
    <t>V-248664</t>
  </si>
  <si>
    <r>
      <rPr>
        <sz val="11"/>
        <rFont val="Calibri"/>
      </rPr>
      <t>OL 8 systems below version 8.2 must include root when automatically locking an account until the locked account is released by an administrator when three unsuccessful logon attempts occur during a 15-minute time period.</t>
    </r>
  </si>
  <si>
    <r>
      <rPr>
        <sz val="11"/>
        <color rgb="FF000000"/>
        <rFont val="Calibri"/>
      </rPr>
      <t xml:space="preserve">Configure the operating system to include root when locking an account after three unsuccessful logon attempts occur in 15 minutes.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Add/modify the appropriate sections of the "/etc/pam.d/system-auth" and "/etc/pam.d/password-auth" files to match the following lines: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auth required pam_faillock.so preauth dir=/var/log/faillock silent audit deny=3 even_deny_root fail_interval=900 unlock_time=0 </t>
    </r>
    <r>
      <rPr>
        <sz val="11"/>
        <color rgb="FF000000"/>
        <rFont val="Calibri"/>
      </rPr>
      <t xml:space="preserve">
</t>
    </r>
    <r>
      <rPr>
        <sz val="11"/>
        <color rgb="FF000000"/>
        <rFont val="Calibri"/>
      </rPr>
      <t xml:space="preserve">auth required pam_faillock.so authfail dir=/var/log/faillock unlock_time=0 </t>
    </r>
    <r>
      <rPr>
        <sz val="11"/>
        <color rgb="FF000000"/>
        <rFont val="Calibri"/>
      </rPr>
      <t xml:space="preserve">
</t>
    </r>
    <r>
      <rPr>
        <sz val="11"/>
        <color rgb="FF000000"/>
        <rFont val="Calibri"/>
      </rPr>
      <t xml:space="preserve">account required pam_faillock.so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The "sssd" service must be restarted for the changes to take effect. To restart the "sssd" service, run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systemctl restart sssd.service</t>
    </r>
  </si>
  <si>
    <r>
      <rPr>
        <sz val="11"/>
        <color rgb="FF000000"/>
        <rFont val="Calibri"/>
      </rPr>
      <t xml:space="preserve">Verify the system includes the root account when locking an account after three unsuccessful logon attempts within a period of 15 minutes with the following commands.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Note: This check applies to OL versions 8.0 and 8.1. If the system is OL version 8.2 or newer, this check is not applicable.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grep pam_faillock.so /etc/pam.d/password-auth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auth required pam_faillock.so preauth dir=/var/log/faillock silent audit deny=3 even_deny_root fail_interval=900 unlock_time=0 </t>
    </r>
    <r>
      <rPr>
        <sz val="11"/>
        <color rgb="FF000000"/>
        <rFont val="Calibri"/>
      </rPr>
      <t xml:space="preserve">
</t>
    </r>
    <r>
      <rPr>
        <sz val="11"/>
        <color rgb="FF000000"/>
        <rFont val="Calibri"/>
      </rPr>
      <t xml:space="preserve">auth required pam_faillock.so authfail dir=/var/log/faillock unlock_time=0 </t>
    </r>
    <r>
      <rPr>
        <sz val="11"/>
        <color rgb="FF000000"/>
        <rFont val="Calibri"/>
      </rPr>
      <t xml:space="preserve">
</t>
    </r>
    <r>
      <rPr>
        <sz val="11"/>
        <color rgb="FF000000"/>
        <rFont val="Calibri"/>
      </rPr>
      <t xml:space="preserve">account required pam_faillock.so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"even_deny_root" option is missing from the "preauth" line with the "pam_faillock.so" module,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grep pam_faillock.so /etc/pam.d/system-auth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auth required pam_faillock.so preauth dir=/var/log/faillock silent audit deny=3 even_deny_root fail_interval=900 unlock_time=0 </t>
    </r>
    <r>
      <rPr>
        <sz val="11"/>
        <color rgb="FF000000"/>
        <rFont val="Calibri"/>
      </rPr>
      <t xml:space="preserve">
</t>
    </r>
    <r>
      <rPr>
        <sz val="11"/>
        <color rgb="FF000000"/>
        <rFont val="Calibri"/>
      </rPr>
      <t xml:space="preserve">auth required pam_faillock.so authfail dir=/var/log/faillock unlock_time=0 </t>
    </r>
    <r>
      <rPr>
        <sz val="11"/>
        <color rgb="FF000000"/>
        <rFont val="Calibri"/>
      </rPr>
      <t xml:space="preserve">
</t>
    </r>
    <r>
      <rPr>
        <sz val="11"/>
        <color rgb="FF000000"/>
        <rFont val="Calibri"/>
      </rPr>
      <t xml:space="preserve">account required pam_faillock.so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"even_deny_root" option is missing from the "preauth" line with the "pam_faillock.so" module, this is a finding.</t>
    </r>
  </si>
  <si>
    <t>V-248665</t>
  </si>
  <si>
    <r>
      <rPr>
        <sz val="11"/>
        <rFont val="Calibri"/>
      </rPr>
      <t>OL 8 systems, versions 8.2 and above, must include root when automatically locking an account until the locked account is released by an administrator when three unsuccessful logon attempts occur during a 15-minute time period.</t>
    </r>
  </si>
  <si>
    <r>
      <rPr>
        <sz val="11"/>
        <color rgb="FF000000"/>
        <rFont val="Calibri"/>
      </rPr>
      <t>Configure the operating system to include root when locking an account after three unsuccessful logon attempts occur in 15 minutes.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Add/modify the "/etc/security/faillock.conf" file to match the following line: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even_deny_root</t>
    </r>
  </si>
  <si>
    <r>
      <rPr>
        <sz val="11"/>
        <color rgb="FF000000"/>
        <rFont val="Calibri"/>
      </rPr>
      <t xml:space="preserve">By limiting the number of failed logon attempts, the risk of unauthorized system access via user password guessing, otherwise known as brute-force attacks, is reduced. Limits are imposed by locking the account.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In OL 8.2, the "/etc/security/faillock.conf" file was incorporated to centralize the configuration of the "pam_faillock.so" module. Also introduced is a "local_users_only" option that will only track failed user authentication attempts for local users in /etc/passwd and ignore centralized (AD, IdM, LDAP, etc.) users to allow the centralized platform to solely manage user lockout.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From "faillock.conf" man pages: Note that the default directory that "pam_faillock" uses is usually cleared on system boot so the access will be reenabled after system reboot. If that is undesirable, a different tally directory must be set with the "dir" option.</t>
    </r>
    <r>
      <rPr>
        <sz val="11"/>
        <color rgb="FF000000"/>
        <rFont val="Calibri"/>
      </rPr>
      <t xml:space="preserve">
</t>
    </r>
    <r>
      <rPr>
        <sz val="11"/>
        <color rgb="FF000000"/>
        <rFont val="Calibri"/>
      </rPr>
      <t>Satisfies: SRG-OS-000021-GPOS-00005, SRG-OS-000329-GPOS-00128</t>
    </r>
  </si>
  <si>
    <r>
      <rPr>
        <sz val="11"/>
        <color rgb="FF000000"/>
        <rFont val="Calibri"/>
      </rPr>
      <t xml:space="preserve">Note: This check applies to OL versions 8.2 or newer. If the system is OL version 8.0 or 8.1, this check is not applicable.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Verify the "/etc/security/faillock.conf" file is configured to log user name information when unsuccessful logon attempts occur: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grep even_deny_root /etc/security/faillock.conf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even_deny_root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"even_deny_root" option is not set or is missing or commented out, this is a finding.</t>
    </r>
  </si>
  <si>
    <t>V-248666</t>
  </si>
  <si>
    <r>
      <rPr>
        <sz val="11"/>
        <rFont val="Calibri"/>
      </rPr>
      <t>OL 8 must limit the number of concurrent sessions to 10 for all accounts and/or account types.</t>
    </r>
  </si>
  <si>
    <r>
      <rPr>
        <sz val="11"/>
        <color rgb="FF000000"/>
        <rFont val="Calibri"/>
      </rPr>
      <t xml:space="preserve">Configure OL 8 to limit the number of concurrent sessions to 10 for all accounts and/or account types.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the following line to the top of "/etc/security/limits.conf" or in a ".conf" file defined in "/etc/security/limits.d/":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hard maxlogins 10</t>
    </r>
  </si>
  <si>
    <r>
      <rPr>
        <sz val="11"/>
        <color rgb="FF000000"/>
        <rFont val="Calibri"/>
      </rPr>
      <t xml:space="preserve">Operating system management includes the ability to control the number of users and user sessions that use an operating system. Limiting the number of allowed users and sessions per user is helpful in reducing the risks related to denial-of-service attacks.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This requirement addresses concurrent sessions for information system accounts and does not address concurrent sessions by single users via multiple system accounts. The maximum number of concurrent sessions should be defined based on mission needs and the operational environment for each system.</t>
    </r>
  </si>
  <si>
    <r>
      <rPr>
        <sz val="11"/>
        <color rgb="FF000000"/>
        <rFont val="Calibri"/>
      </rPr>
      <t xml:space="preserve">Verify the operating system limits the number of concurrent sessions to 10 for all accounts and/or account types by issuing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grep "maxlogins" /etc/security/limits.conf /etc/security/limits.d/*.conf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hard maxlogins 10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This can be set as a global domain (with the * wildcard) but may be set differently for multiple domains.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"maxlogins" item is missing or commented out, or the value is not set to "10" or less for all domains that have the "maxlogins" item assigned, this is a finding.</t>
    </r>
  </si>
  <si>
    <t>V-248667</t>
  </si>
  <si>
    <r>
      <rPr>
        <sz val="11"/>
        <rFont val="Calibri"/>
      </rPr>
      <t>OL 8 must configure the use of the pam_faillock.so module in the /etc/pam.d/system-auth file.</t>
    </r>
  </si>
  <si>
    <r>
      <rPr>
        <sz val="11"/>
        <color rgb="FF000000"/>
        <rFont val="Calibri"/>
      </rPr>
      <t>Configure the operating system to include the use of the pam_faillock.so module in the /etc/pam.d/system-auth file.</t>
    </r>
    <r>
      <rPr>
        <sz val="11"/>
        <color rgb="FF000000"/>
        <rFont val="Calibri"/>
      </rPr>
      <t xml:space="preserve">
</t>
    </r>
    <r>
      <rPr>
        <sz val="11"/>
        <color rgb="FF000000"/>
        <rFont val="Calibri"/>
      </rPr>
      <t>Add/Modify the appropriate sections of the "/etc/pam.d/system-auth" file to match the following lines:</t>
    </r>
    <r>
      <rPr>
        <sz val="11"/>
        <color rgb="FF000000"/>
        <rFont val="Calibri"/>
      </rPr>
      <t xml:space="preserve">
</t>
    </r>
    <r>
      <rPr>
        <sz val="11"/>
        <color rgb="FF000000"/>
        <rFont val="Calibri"/>
      </rPr>
      <t>Note: The "preauth" line must be listed before pam_unix.so.</t>
    </r>
    <r>
      <rPr>
        <sz val="11"/>
        <color rgb="FF000000"/>
        <rFont val="Calibri"/>
      </rPr>
      <t xml:space="preserve">
</t>
    </r>
    <r>
      <rPr>
        <sz val="11"/>
        <color rgb="FF000000"/>
        <rFont val="Calibri"/>
      </rPr>
      <t>auth required pam_faillock.so preauth</t>
    </r>
    <r>
      <rPr>
        <sz val="11"/>
        <color rgb="FF000000"/>
        <rFont val="Calibri"/>
      </rPr>
      <t xml:space="preserve">
</t>
    </r>
    <r>
      <rPr>
        <sz val="11"/>
        <color rgb="FF000000"/>
        <rFont val="Calibri"/>
      </rPr>
      <t>auth required pam_faillock.so authfail</t>
    </r>
    <r>
      <rPr>
        <sz val="11"/>
        <color rgb="FF000000"/>
        <rFont val="Calibri"/>
      </rPr>
      <t xml:space="preserve">
</t>
    </r>
    <r>
      <rPr>
        <sz val="11"/>
        <color rgb="FF000000"/>
        <rFont val="Calibri"/>
      </rPr>
      <t>account required pam_faillock.so</t>
    </r>
  </si>
  <si>
    <r>
      <rPr>
        <sz val="11"/>
        <color rgb="FF000000"/>
        <rFont val="Calibri"/>
      </rPr>
      <t>By limiting the number of failed logon attempts, the risk of unauthorized system access via user password guessing, otherwise known as brute-force attacks, is reduced. Limits are imposed by locking the account.</t>
    </r>
    <r>
      <rPr>
        <sz val="11"/>
        <color rgb="FF000000"/>
        <rFont val="Calibri"/>
      </rPr>
      <t xml:space="preserve">
</t>
    </r>
    <r>
      <rPr>
        <sz val="11"/>
        <color rgb="FF000000"/>
        <rFont val="Calibri"/>
      </rPr>
      <t>In OL 8.2 the "/etc/security/faillock.conf" file was incorporated to centralize the configuration of the pam_faillock.so module.  Also introduced is a "local_users_only" option that will only track failed user authentication attempts for local users in /etc/passwd and ignore centralized (AD, IdM, LDAP, etc.) users to allow the centralized platform to solely manage user lockout.</t>
    </r>
    <r>
      <rPr>
        <sz val="11"/>
        <color rgb="FF000000"/>
        <rFont val="Calibri"/>
      </rPr>
      <t xml:space="preserve">
</t>
    </r>
    <r>
      <rPr>
        <sz val="11"/>
        <color rgb="FF000000"/>
        <rFont val="Calibri"/>
      </rPr>
      <t>From "faillock.conf" man pages: Note that the default directory that "pam_faillock" uses is usually cleared on system boot so the access will be reenabled after system reboot. If that is undesirable a different tally directory must be set with the "dir" option.</t>
    </r>
    <r>
      <rPr>
        <sz val="11"/>
        <color rgb="FF000000"/>
        <rFont val="Calibri"/>
      </rPr>
      <t xml:space="preserve">
</t>
    </r>
    <r>
      <rPr>
        <sz val="11"/>
        <color rgb="FF000000"/>
        <rFont val="Calibri"/>
      </rPr>
      <t>The preauth argument must be used when the module is called before the modules that ask for user credentials, such as the password.</t>
    </r>
    <r>
      <rPr>
        <sz val="11"/>
        <color rgb="FF000000"/>
        <rFont val="Calibri"/>
      </rPr>
      <t xml:space="preserve">
</t>
    </r>
    <r>
      <rPr>
        <sz val="11"/>
        <color rgb="FF000000"/>
        <rFont val="Calibri"/>
      </rPr>
      <t>Satisfies: SRG-OS-000021-GPOS-00005, SRG-OS-000329-GPOS-00128</t>
    </r>
  </si>
  <si>
    <r>
      <rPr>
        <sz val="11"/>
        <color rgb="FF000000"/>
        <rFont val="Calibri"/>
      </rPr>
      <t>Note: This check applies to OL versions 8.2 or newer, if the system is OL version 8.0 or 8.1, this check is not applicable.</t>
    </r>
    <r>
      <rPr>
        <sz val="11"/>
        <color rgb="FF000000"/>
        <rFont val="Calibri"/>
      </rPr>
      <t xml:space="preserve">
</t>
    </r>
    <r>
      <rPr>
        <sz val="11"/>
        <color rgb="FF000000"/>
        <rFont val="Calibri"/>
      </rPr>
      <t>Verify the pam_faillock.so module is present in the "/etc/pam.d/system-auth" file:</t>
    </r>
    <r>
      <rPr>
        <sz val="11"/>
        <color rgb="FF000000"/>
        <rFont val="Calibri"/>
      </rPr>
      <t xml:space="preserve">
</t>
    </r>
    <r>
      <rPr>
        <sz val="11"/>
        <color rgb="FF000000"/>
        <rFont val="Calibri"/>
      </rPr>
      <t>$ sudo grep pam_faillock.so /etc/pam.d/system-auth</t>
    </r>
    <r>
      <rPr>
        <sz val="11"/>
        <color rgb="FF000000"/>
        <rFont val="Calibri"/>
      </rPr>
      <t xml:space="preserve">
</t>
    </r>
    <r>
      <rPr>
        <sz val="11"/>
        <color rgb="FF000000"/>
        <rFont val="Calibri"/>
      </rPr>
      <t>auth               required                           pam_faillock.so preauth</t>
    </r>
    <r>
      <rPr>
        <sz val="11"/>
        <color rgb="FF000000"/>
        <rFont val="Calibri"/>
      </rPr>
      <t xml:space="preserve">
</t>
    </r>
    <r>
      <rPr>
        <sz val="11"/>
        <color rgb="FF000000"/>
        <rFont val="Calibri"/>
      </rPr>
      <t>auth               required                           pam_faillock.so authfail</t>
    </r>
    <r>
      <rPr>
        <sz val="11"/>
        <color rgb="FF000000"/>
        <rFont val="Calibri"/>
      </rPr>
      <t xml:space="preserve">
</t>
    </r>
    <r>
      <rPr>
        <sz val="11"/>
        <color rgb="FF000000"/>
        <rFont val="Calibri"/>
      </rPr>
      <t>account          required                           pam_faillock.so</t>
    </r>
    <r>
      <rPr>
        <sz val="11"/>
        <color rgb="FF000000"/>
        <rFont val="Calibri"/>
      </rPr>
      <t xml:space="preserve">
</t>
    </r>
    <r>
      <rPr>
        <sz val="11"/>
        <color rgb="FF000000"/>
        <rFont val="Calibri"/>
      </rPr>
      <t>If the pam_faillock.so module is not present in the "/etc/pam.d/system-auth" file with the "preauth" line listed before pam_unix.so, this is a finding.</t>
    </r>
  </si>
  <si>
    <t>V-248668</t>
  </si>
  <si>
    <r>
      <rPr>
        <sz val="11"/>
        <rFont val="Calibri"/>
      </rPr>
      <t>OL 8 must configure the use of the pam_faillock.so module in the /etc/pam.d/password-auth file.</t>
    </r>
  </si>
  <si>
    <r>
      <rPr>
        <sz val="11"/>
        <color rgb="FF000000"/>
        <rFont val="Calibri"/>
      </rPr>
      <t>Configure the operating system to include the use of the pam_faillock.so module in the /etc/pam.d/password-auth file.</t>
    </r>
    <r>
      <rPr>
        <sz val="11"/>
        <color rgb="FF000000"/>
        <rFont val="Calibri"/>
      </rPr>
      <t xml:space="preserve">
</t>
    </r>
    <r>
      <rPr>
        <sz val="11"/>
        <color rgb="FF000000"/>
        <rFont val="Calibri"/>
      </rPr>
      <t>Add/Modify the appropriate sections of the "/etc/pam.d/password-auth" file to match the following lines:</t>
    </r>
    <r>
      <rPr>
        <sz val="11"/>
        <color rgb="FF000000"/>
        <rFont val="Calibri"/>
      </rPr>
      <t xml:space="preserve">
</t>
    </r>
    <r>
      <rPr>
        <sz val="11"/>
        <color rgb="FF000000"/>
        <rFont val="Calibri"/>
      </rPr>
      <t>Note: The "preauth" line must be listed before pam_unix.so.</t>
    </r>
    <r>
      <rPr>
        <sz val="11"/>
        <color rgb="FF000000"/>
        <rFont val="Calibri"/>
      </rPr>
      <t xml:space="preserve">
</t>
    </r>
    <r>
      <rPr>
        <sz val="11"/>
        <color rgb="FF000000"/>
        <rFont val="Calibri"/>
      </rPr>
      <t>auth required pam_faillock.so preauth</t>
    </r>
    <r>
      <rPr>
        <sz val="11"/>
        <color rgb="FF000000"/>
        <rFont val="Calibri"/>
      </rPr>
      <t xml:space="preserve">
</t>
    </r>
    <r>
      <rPr>
        <sz val="11"/>
        <color rgb="FF000000"/>
        <rFont val="Calibri"/>
      </rPr>
      <t>auth required pam_faillock.so authfail</t>
    </r>
    <r>
      <rPr>
        <sz val="11"/>
        <color rgb="FF000000"/>
        <rFont val="Calibri"/>
      </rPr>
      <t xml:space="preserve">
</t>
    </r>
    <r>
      <rPr>
        <sz val="11"/>
        <color rgb="FF000000"/>
        <rFont val="Calibri"/>
      </rPr>
      <t>account required pam_faillock.so</t>
    </r>
  </si>
  <si>
    <r>
      <rPr>
        <sz val="11"/>
        <color rgb="FF000000"/>
        <rFont val="Calibri"/>
      </rPr>
      <t>Note: This check applies to OL versions 8.2 or newer, if the system is OL version 8.0 or 8.1, this check is not applicable.</t>
    </r>
    <r>
      <rPr>
        <sz val="11"/>
        <color rgb="FF000000"/>
        <rFont val="Calibri"/>
      </rPr>
      <t xml:space="preserve">
</t>
    </r>
    <r>
      <rPr>
        <sz val="11"/>
        <color rgb="FF000000"/>
        <rFont val="Calibri"/>
      </rPr>
      <t>Verify the pam_faillock.so module is present in the "/etc/pam.d/password-auth" file:</t>
    </r>
    <r>
      <rPr>
        <sz val="11"/>
        <color rgb="FF000000"/>
        <rFont val="Calibri"/>
      </rPr>
      <t xml:space="preserve">
</t>
    </r>
    <r>
      <rPr>
        <sz val="11"/>
        <color rgb="FF000000"/>
        <rFont val="Calibri"/>
      </rPr>
      <t>$ sudo grep pam_faillock.so /etc/pam.d/password-auth</t>
    </r>
    <r>
      <rPr>
        <sz val="11"/>
        <color rgb="FF000000"/>
        <rFont val="Calibri"/>
      </rPr>
      <t xml:space="preserve">
</t>
    </r>
    <r>
      <rPr>
        <sz val="11"/>
        <color rgb="FF000000"/>
        <rFont val="Calibri"/>
      </rPr>
      <t>auth               required                            pam_faillock.so preauth</t>
    </r>
    <r>
      <rPr>
        <sz val="11"/>
        <color rgb="FF000000"/>
        <rFont val="Calibri"/>
      </rPr>
      <t xml:space="preserve">
</t>
    </r>
    <r>
      <rPr>
        <sz val="11"/>
        <color rgb="FF000000"/>
        <rFont val="Calibri"/>
      </rPr>
      <t>auth               required                            pam_faillock.so authfail</t>
    </r>
    <r>
      <rPr>
        <sz val="11"/>
        <color rgb="FF000000"/>
        <rFont val="Calibri"/>
      </rPr>
      <t xml:space="preserve">
</t>
    </r>
    <r>
      <rPr>
        <sz val="11"/>
        <color rgb="FF000000"/>
        <rFont val="Calibri"/>
      </rPr>
      <t>account          required                            pam_faillock.so</t>
    </r>
    <r>
      <rPr>
        <sz val="11"/>
        <color rgb="FF000000"/>
        <rFont val="Calibri"/>
      </rPr>
      <t xml:space="preserve">
</t>
    </r>
    <r>
      <rPr>
        <sz val="11"/>
        <color rgb="FF000000"/>
        <rFont val="Calibri"/>
      </rPr>
      <t>If the pam_faillock.so module is not present in the "/etc/pam.d/password-auth" file with the "preauth" line listed before pam_unix.so, this is a finding.</t>
    </r>
  </si>
  <si>
    <t>V-248669</t>
  </si>
  <si>
    <r>
      <rPr>
        <sz val="11"/>
        <rFont val="Calibri"/>
      </rPr>
      <t>OL 8 systems, versions 8.2 and above, must configure SELinux context type to allow the use of a non-default faillock tally directory.</t>
    </r>
  </si>
  <si>
    <r>
      <rPr>
        <sz val="11"/>
        <color rgb="FF000000"/>
        <rFont val="Calibri"/>
      </rPr>
      <t>Configure OL 8 to allow the use of a non-default faillock tally directory while SELinux enforces a targeted policy.</t>
    </r>
    <r>
      <rPr>
        <sz val="11"/>
        <color rgb="FF000000"/>
        <rFont val="Calibri"/>
      </rPr>
      <t xml:space="preserve">
</t>
    </r>
    <r>
      <rPr>
        <sz val="11"/>
        <color rgb="FF000000"/>
        <rFont val="Calibri"/>
      </rPr>
      <t>Create a non-default faillock tally directory (if it does not already exist) with the following example:</t>
    </r>
    <r>
      <rPr>
        <sz val="11"/>
        <color rgb="FF000000"/>
        <rFont val="Calibri"/>
      </rPr>
      <t xml:space="preserve">
</t>
    </r>
    <r>
      <rPr>
        <sz val="11"/>
        <color rgb="FF000000"/>
        <rFont val="Calibri"/>
      </rPr>
      <t>$ sudo mkdir /var/log/faillock</t>
    </r>
    <r>
      <rPr>
        <sz val="11"/>
        <color rgb="FF000000"/>
        <rFont val="Calibri"/>
      </rPr>
      <t xml:space="preserve">
</t>
    </r>
    <r>
      <rPr>
        <sz val="11"/>
        <color rgb="FF000000"/>
        <rFont val="Calibri"/>
      </rPr>
      <t>Update the /etc/selinux/targeted/contexts/files/file_contexts.local with "faillog_t" context type for the non-default faillock tally directory with the following command:</t>
    </r>
    <r>
      <rPr>
        <sz val="11"/>
        <color rgb="FF000000"/>
        <rFont val="Calibri"/>
      </rPr>
      <t xml:space="preserve">
</t>
    </r>
    <r>
      <rPr>
        <sz val="11"/>
        <color rgb="FF000000"/>
        <rFont val="Calibri"/>
      </rPr>
      <t xml:space="preserve">$ sudo semanage fcontext -a -t faillog_t "/var/log/faillock(/.*)?" </t>
    </r>
    <r>
      <rPr>
        <sz val="11"/>
        <color rgb="FF000000"/>
        <rFont val="Calibri"/>
      </rPr>
      <t xml:space="preserve">
</t>
    </r>
    <r>
      <rPr>
        <sz val="11"/>
        <color rgb="FF000000"/>
        <rFont val="Calibri"/>
      </rPr>
      <t xml:space="preserve">Next, update the context type of the non-default faillock directory/subdirectories and files with the following command: </t>
    </r>
    <r>
      <rPr>
        <sz val="11"/>
        <color rgb="FF000000"/>
        <rFont val="Calibri"/>
      </rPr>
      <t xml:space="preserve">
</t>
    </r>
    <r>
      <rPr>
        <sz val="11"/>
        <color rgb="FF000000"/>
        <rFont val="Calibri"/>
      </rPr>
      <t>$ sudo restorecon -R -v /var/log/faillock</t>
    </r>
  </si>
  <si>
    <r>
      <rPr>
        <sz val="11"/>
        <color rgb="FF000000"/>
        <rFont val="Calibri"/>
      </rPr>
      <t>By limiting the number of failed logon attempts, the risk of unauthorized system access via user password guessing, otherwise known as brute-force attacks, is reduced. Limits are imposed by locking the account.</t>
    </r>
    <r>
      <rPr>
        <sz val="11"/>
        <color rgb="FF000000"/>
        <rFont val="Calibri"/>
      </rPr>
      <t xml:space="preserve">
</t>
    </r>
    <r>
      <rPr>
        <sz val="11"/>
        <color rgb="FF000000"/>
        <rFont val="Calibri"/>
      </rPr>
      <t>From "faillock.conf" man pages: Note that the default directory that "pam_faillock" uses is usually cleared on system boot so the access will be re-enabled after system reboot. If that is undesirable, a different tally directory must be set with the "dir" option.</t>
    </r>
    <r>
      <rPr>
        <sz val="11"/>
        <color rgb="FF000000"/>
        <rFont val="Calibri"/>
      </rPr>
      <t xml:space="preserve">
</t>
    </r>
    <r>
      <rPr>
        <sz val="11"/>
        <color rgb="FF000000"/>
        <rFont val="Calibri"/>
      </rPr>
      <t>SELinux, enforcing a targeted policy, will require any non-default tally directory's security context type to match the default directory's security context type. Without updating the security context type, the pam_faillock module will not write failed login attempts to the non-default tally directory.</t>
    </r>
    <r>
      <rPr>
        <sz val="11"/>
        <color rgb="FF000000"/>
        <rFont val="Calibri"/>
      </rPr>
      <t xml:space="preserve">
</t>
    </r>
    <r>
      <rPr>
        <sz val="11"/>
        <color rgb="FF000000"/>
        <rFont val="Calibri"/>
      </rPr>
      <t>Satisfies: SRG-OS-000021-GPOS-00005, SRG-OS-000329-GPOS-00128</t>
    </r>
  </si>
  <si>
    <r>
      <rPr>
        <sz val="11"/>
        <color rgb="FF000000"/>
        <rFont val="Calibri"/>
      </rPr>
      <t>If the system does not have SELinux enabled and enforcing a targeted policy, or if the pam_faillock module is not configured for use, this requirement is not applicable.</t>
    </r>
    <r>
      <rPr>
        <sz val="11"/>
        <color rgb="FF000000"/>
        <rFont val="Calibri"/>
      </rPr>
      <t xml:space="preserve">
</t>
    </r>
    <r>
      <rPr>
        <sz val="11"/>
        <color rgb="FF000000"/>
        <rFont val="Calibri"/>
      </rPr>
      <t>Note: This check applies to OL versions 8.2 or newer. If the system is OL version 8.0 or 8.1, this check is not applicable.</t>
    </r>
    <r>
      <rPr>
        <sz val="11"/>
        <color rgb="FF000000"/>
        <rFont val="Calibri"/>
      </rPr>
      <t xml:space="preserve">
</t>
    </r>
    <r>
      <rPr>
        <sz val="11"/>
        <color rgb="FF000000"/>
        <rFont val="Calibri"/>
      </rPr>
      <t>Verify the location of the non-default tally directory for the pam_faillock module with the following command:</t>
    </r>
    <r>
      <rPr>
        <sz val="11"/>
        <color rgb="FF000000"/>
        <rFont val="Calibri"/>
      </rPr>
      <t xml:space="preserve">
</t>
    </r>
    <r>
      <rPr>
        <sz val="11"/>
        <color rgb="FF000000"/>
        <rFont val="Calibri"/>
      </rPr>
      <t>$ sudo grep -w dir /etc/security/faillock.conf</t>
    </r>
    <r>
      <rPr>
        <sz val="11"/>
        <color rgb="FF000000"/>
        <rFont val="Calibri"/>
      </rPr>
      <t xml:space="preserve">
</t>
    </r>
    <r>
      <rPr>
        <sz val="11"/>
        <color rgb="FF000000"/>
        <rFont val="Calibri"/>
      </rPr>
      <t>dir = /var/log/faillock</t>
    </r>
    <r>
      <rPr>
        <sz val="11"/>
        <color rgb="FF000000"/>
        <rFont val="Calibri"/>
      </rPr>
      <t xml:space="preserve">
</t>
    </r>
    <r>
      <rPr>
        <sz val="11"/>
        <color rgb="FF000000"/>
        <rFont val="Calibri"/>
      </rPr>
      <t>Check the security context type of the non-default tally directory with the following command:</t>
    </r>
    <r>
      <rPr>
        <sz val="11"/>
        <color rgb="FF000000"/>
        <rFont val="Calibri"/>
      </rPr>
      <t xml:space="preserve">
</t>
    </r>
    <r>
      <rPr>
        <sz val="11"/>
        <color rgb="FF000000"/>
        <rFont val="Calibri"/>
      </rPr>
      <t>$ sudo ls -Zd /var/log/faillock</t>
    </r>
    <r>
      <rPr>
        <sz val="11"/>
        <color rgb="FF000000"/>
        <rFont val="Calibri"/>
      </rPr>
      <t xml:space="preserve">
</t>
    </r>
    <r>
      <rPr>
        <sz val="11"/>
        <color rgb="FF000000"/>
        <rFont val="Calibri"/>
      </rPr>
      <t>unconfined_u:object_r:faillog_t:s0 /var/log/faillock</t>
    </r>
    <r>
      <rPr>
        <sz val="11"/>
        <color rgb="FF000000"/>
        <rFont val="Calibri"/>
      </rPr>
      <t xml:space="preserve">
</t>
    </r>
    <r>
      <rPr>
        <sz val="11"/>
        <color rgb="FF000000"/>
        <rFont val="Calibri"/>
      </rPr>
      <t>If the security context type of the non-default tally directory is not "faillog_t", this is a finding.</t>
    </r>
  </si>
  <si>
    <t>V-248670</t>
  </si>
  <si>
    <r>
      <rPr>
        <sz val="11"/>
        <rFont val="Calibri"/>
      </rPr>
      <t>OL 8 systems below version 8.2 must configure SELinux context type to allow the use of a non-default faillock tally directory.</t>
    </r>
  </si>
  <si>
    <r>
      <rPr>
        <sz val="11"/>
        <color rgb="FF000000"/>
        <rFont val="Calibri"/>
      </rPr>
      <t>Configure OL 8 to allow the use of a non-default faillock tally directory while SELinux enforces a targeted policy.</t>
    </r>
    <r>
      <rPr>
        <sz val="11"/>
        <color rgb="FF000000"/>
        <rFont val="Calibri"/>
      </rPr>
      <t xml:space="preserve">
</t>
    </r>
    <r>
      <rPr>
        <sz val="11"/>
        <color rgb="FF000000"/>
        <rFont val="Calibri"/>
      </rPr>
      <t>Update the /etc/selinux/targeted/contexts/files/file_contexts.local with "faillog_t" context type for the non-default faillock tally directory with the following command:</t>
    </r>
    <r>
      <rPr>
        <sz val="11"/>
        <color rgb="FF000000"/>
        <rFont val="Calibri"/>
      </rPr>
      <t xml:space="preserve">
</t>
    </r>
    <r>
      <rPr>
        <sz val="11"/>
        <color rgb="FF000000"/>
        <rFont val="Calibri"/>
      </rPr>
      <t xml:space="preserve">$ sudo semanage fcontext -a -t faillog_t "/var/log/faillock(/.*)?" </t>
    </r>
    <r>
      <rPr>
        <sz val="11"/>
        <color rgb="FF000000"/>
        <rFont val="Calibri"/>
      </rPr>
      <t xml:space="preserve">
</t>
    </r>
    <r>
      <rPr>
        <sz val="11"/>
        <color rgb="FF000000"/>
        <rFont val="Calibri"/>
      </rPr>
      <t xml:space="preserve">Next, update the context type of the non-default faillock directory/subdirectories and files with the following command: </t>
    </r>
    <r>
      <rPr>
        <sz val="11"/>
        <color rgb="FF000000"/>
        <rFont val="Calibri"/>
      </rPr>
      <t xml:space="preserve">
</t>
    </r>
    <r>
      <rPr>
        <sz val="11"/>
        <color rgb="FF000000"/>
        <rFont val="Calibri"/>
      </rPr>
      <t>$ sudo restorecon -R -v /var/log/faillock</t>
    </r>
  </si>
  <si>
    <r>
      <rPr>
        <sz val="11"/>
        <color rgb="FF000000"/>
        <rFont val="Calibri"/>
      </rPr>
      <t>By limiting the number of failed logon attempts, the risk of unauthorized system access via user password guessing, otherwise known as brute-force attacks, is reduced. Limits are imposed by locking the account.</t>
    </r>
    <r>
      <rPr>
        <sz val="11"/>
        <color rgb="FF000000"/>
        <rFont val="Calibri"/>
      </rPr>
      <t xml:space="preserve">
</t>
    </r>
    <r>
      <rPr>
        <sz val="11"/>
        <color rgb="FF000000"/>
        <rFont val="Calibri"/>
      </rPr>
      <t xml:space="preserve">From "Pam_Faillock" man pages: Note that the default directory that "pam_faillock" uses is usually cleared on system boot so the access will be reenabled after system reboot. If that is undesirable, a different tally directory must be set with the "dir" option. </t>
    </r>
    <r>
      <rPr>
        <sz val="11"/>
        <color rgb="FF000000"/>
        <rFont val="Calibri"/>
      </rPr>
      <t xml:space="preserve">
</t>
    </r>
    <r>
      <rPr>
        <sz val="11"/>
        <color rgb="FF000000"/>
        <rFont val="Calibri"/>
      </rPr>
      <t>SELinux, enforcing a targeted policy, will require any non-default tally directory's security context type to match the default directory's security context type. Without updating the security context type, the pam_faillock module will not write failed login attempts to the non-default tally directory.</t>
    </r>
    <r>
      <rPr>
        <sz val="11"/>
        <color rgb="FF000000"/>
        <rFont val="Calibri"/>
      </rPr>
      <t xml:space="preserve">
</t>
    </r>
    <r>
      <rPr>
        <sz val="11"/>
        <color rgb="FF000000"/>
        <rFont val="Calibri"/>
      </rPr>
      <t>Satisfies: SRG-OS-000021-GPOS-00005, SRG-OS-000329-GPOS-00128</t>
    </r>
  </si>
  <si>
    <r>
      <rPr>
        <sz val="11"/>
        <color rgb="FF000000"/>
        <rFont val="Calibri"/>
      </rPr>
      <t>If the system does not have SELinux enabled and enforcing a targeted policy, or if the pam_faillock module is not configured for use, this requirement is not applicable.</t>
    </r>
    <r>
      <rPr>
        <sz val="11"/>
        <color rgb="FF000000"/>
        <rFont val="Calibri"/>
      </rPr>
      <t xml:space="preserve">
</t>
    </r>
    <r>
      <rPr>
        <sz val="11"/>
        <color rgb="FF000000"/>
        <rFont val="Calibri"/>
      </rPr>
      <t>Note: This check applies to OL versions 8.0 and 8.1. If the system is OL version 8.2 or newer, this check is not applicable.</t>
    </r>
    <r>
      <rPr>
        <sz val="11"/>
        <color rgb="FF000000"/>
        <rFont val="Calibri"/>
      </rPr>
      <t xml:space="preserve">
</t>
    </r>
    <r>
      <rPr>
        <sz val="11"/>
        <color rgb="FF000000"/>
        <rFont val="Calibri"/>
      </rPr>
      <t>Verify the location of the non-default tally directory for the pam_faillock module with the following command:</t>
    </r>
    <r>
      <rPr>
        <sz val="11"/>
        <color rgb="FF000000"/>
        <rFont val="Calibri"/>
      </rPr>
      <t xml:space="preserve">
</t>
    </r>
    <r>
      <rPr>
        <sz val="11"/>
        <color rgb="FF000000"/>
        <rFont val="Calibri"/>
      </rPr>
      <t>$ sudo grep -w dir /etc/pam.d/password-auth</t>
    </r>
    <r>
      <rPr>
        <sz val="11"/>
        <color rgb="FF000000"/>
        <rFont val="Calibri"/>
      </rPr>
      <t xml:space="preserve">
</t>
    </r>
    <r>
      <rPr>
        <sz val="11"/>
        <color rgb="FF000000"/>
        <rFont val="Calibri"/>
      </rPr>
      <t>auth   required   pam_faillock.so preauth dir=/var/log/faillock</t>
    </r>
    <r>
      <rPr>
        <sz val="11"/>
        <color rgb="FF000000"/>
        <rFont val="Calibri"/>
      </rPr>
      <t xml:space="preserve">
</t>
    </r>
    <r>
      <rPr>
        <sz val="11"/>
        <color rgb="FF000000"/>
        <rFont val="Calibri"/>
      </rPr>
      <t>auth   required   pam_faillock.so authfail dir=/var/log/faillock</t>
    </r>
    <r>
      <rPr>
        <sz val="11"/>
        <color rgb="FF000000"/>
        <rFont val="Calibri"/>
      </rPr>
      <t xml:space="preserve">
</t>
    </r>
    <r>
      <rPr>
        <sz val="11"/>
        <color rgb="FF000000"/>
        <rFont val="Calibri"/>
      </rPr>
      <t>Check the security context type of the non-default tally directory with the following command:</t>
    </r>
    <r>
      <rPr>
        <sz val="11"/>
        <color rgb="FF000000"/>
        <rFont val="Calibri"/>
      </rPr>
      <t xml:space="preserve">
</t>
    </r>
    <r>
      <rPr>
        <sz val="11"/>
        <color rgb="FF000000"/>
        <rFont val="Calibri"/>
      </rPr>
      <t>$ sudo ls -Zd /var/log/faillock</t>
    </r>
    <r>
      <rPr>
        <sz val="11"/>
        <color rgb="FF000000"/>
        <rFont val="Calibri"/>
      </rPr>
      <t xml:space="preserve">
</t>
    </r>
    <r>
      <rPr>
        <sz val="11"/>
        <color rgb="FF000000"/>
        <rFont val="Calibri"/>
      </rPr>
      <t>unconfined_u:object_r:faillog_t:s0 /var/log/faillock</t>
    </r>
    <r>
      <rPr>
        <sz val="11"/>
        <color rgb="FF000000"/>
        <rFont val="Calibri"/>
      </rPr>
      <t xml:space="preserve">
</t>
    </r>
    <r>
      <rPr>
        <sz val="11"/>
        <color rgb="FF000000"/>
        <rFont val="Calibri"/>
      </rPr>
      <t>If the security context type of the non-default tally directory is not "faillog_t", this is a finding.</t>
    </r>
  </si>
  <si>
    <t>V-248671</t>
  </si>
  <si>
    <r>
      <rPr>
        <sz val="11"/>
        <rFont val="Calibri"/>
      </rPr>
      <t>OL 8 must enable a user session lock until that user reestablishes access using established identification and authentication procedures for graphical user sessions.</t>
    </r>
  </si>
  <si>
    <r>
      <rPr>
        <sz val="11"/>
        <color rgb="FF000000"/>
        <rFont val="Calibri"/>
      </rPr>
      <t xml:space="preserve">Configure OL 8 to enable a user's session lock until that user reestablishes access using established identification and authentication procedures.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Create a database to contain the system-wide screensaver settings (if it does not already exist) with the following example: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vi /etc/dconf/db/local.d/00-screensaver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Edit the "[org/gnome/desktop/screensaver]" section of the database file and add or update the following lines: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Set this to true to lock the screen when the screensaver activates </t>
    </r>
    <r>
      <rPr>
        <sz val="11"/>
        <color rgb="FF000000"/>
        <rFont val="Calibri"/>
      </rPr>
      <t xml:space="preserve">
</t>
    </r>
    <r>
      <rPr>
        <sz val="11"/>
        <color rgb="FF000000"/>
        <rFont val="Calibri"/>
      </rPr>
      <t xml:space="preserve">lock-enabled=true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Update the system databases: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dconf update</t>
    </r>
  </si>
  <si>
    <r>
      <rPr>
        <sz val="11"/>
        <color rgb="FF000000"/>
        <rFont val="Calibri"/>
      </rPr>
      <t>To establish acceptance of the application usage policy, a click-through banner at system logon is required. The system must prevent further activity until the user executes a positive action to manifest agreement by clicking on a box indicating "OK".</t>
    </r>
    <r>
      <rPr>
        <sz val="11"/>
        <color rgb="FF000000"/>
        <rFont val="Calibri"/>
      </rPr>
      <t xml:space="preserve">
</t>
    </r>
    <r>
      <rPr>
        <sz val="11"/>
        <color rgb="FF000000"/>
        <rFont val="Calibri"/>
      </rPr>
      <t>Satisfies: SRG-OS-000028-GPOS-00009, SRG-OS-000030-GPOS-00011</t>
    </r>
  </si>
  <si>
    <r>
      <rPr>
        <sz val="11"/>
        <color rgb="FF000000"/>
        <rFont val="Calibri"/>
      </rPr>
      <t xml:space="preserve">Note: This requirement assumes the use of the OL 8 default graphical user interface, Gnome Shell. If the system does not have any graphical user interface installed, this requirement is Not Applicable.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Verify the operating system enables a user's session lock until that user reestablishes access using established identification and authentication procedures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gsettings get org.gnome.desktop.screensaver lock-enabled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true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setting is "false", this is a finding.</t>
    </r>
  </si>
  <si>
    <t>V-248672</t>
  </si>
  <si>
    <r>
      <rPr>
        <sz val="11"/>
        <rFont val="Calibri"/>
      </rPr>
      <t>OL 8 must initiate a session lock for graphical user interfaces when the screensaver is activated.</t>
    </r>
  </si>
  <si>
    <r>
      <rPr>
        <sz val="11"/>
        <color rgb="FF000000"/>
        <rFont val="Calibri"/>
      </rPr>
      <t>Configure the operating system to initiate a session lock for graphical user interfaces when a screensaver is activated.</t>
    </r>
    <r>
      <rPr>
        <sz val="11"/>
        <color rgb="FF000000"/>
        <rFont val="Calibri"/>
      </rPr>
      <t xml:space="preserve">
</t>
    </r>
    <r>
      <rPr>
        <sz val="11"/>
        <color rgb="FF000000"/>
        <rFont val="Calibri"/>
      </rPr>
      <t xml:space="preserve">Create a database to contain the system-wide screensaver settings (if it does not already exist) with the following command: </t>
    </r>
    <r>
      <rPr>
        <sz val="11"/>
        <color rgb="FF000000"/>
        <rFont val="Calibri"/>
      </rPr>
      <t xml:space="preserve">
</t>
    </r>
    <r>
      <rPr>
        <sz val="11"/>
        <color rgb="FF000000"/>
        <rFont val="Calibri"/>
      </rPr>
      <t>Note: The example below is using the database "local" for the system, so if the system is using another database in "/etc/dconf/profile/user", the file should be created under the appropriate subdirectory.</t>
    </r>
    <r>
      <rPr>
        <sz val="11"/>
        <color rgb="FF000000"/>
        <rFont val="Calibri"/>
      </rPr>
      <t xml:space="preserve">
</t>
    </r>
    <r>
      <rPr>
        <sz val="11"/>
        <color rgb="FF000000"/>
        <rFont val="Calibri"/>
      </rPr>
      <t>$ sudo touch /etc/dconf/db/local.d/00-screensaver</t>
    </r>
    <r>
      <rPr>
        <sz val="11"/>
        <color rgb="FF000000"/>
        <rFont val="Calibri"/>
      </rPr>
      <t xml:space="preserve">
</t>
    </r>
    <r>
      <rPr>
        <sz val="11"/>
        <color rgb="FF000000"/>
        <rFont val="Calibri"/>
      </rPr>
      <t>[org/gnome/desktop/screensaver]</t>
    </r>
    <r>
      <rPr>
        <sz val="11"/>
        <color rgb="FF000000"/>
        <rFont val="Calibri"/>
      </rPr>
      <t xml:space="preserve">
</t>
    </r>
    <r>
      <rPr>
        <sz val="11"/>
        <color rgb="FF000000"/>
        <rFont val="Calibri"/>
      </rPr>
      <t>lock-delay=uint32 5</t>
    </r>
    <r>
      <rPr>
        <sz val="11"/>
        <color rgb="FF000000"/>
        <rFont val="Calibri"/>
      </rPr>
      <t xml:space="preserve">
</t>
    </r>
    <r>
      <rPr>
        <sz val="11"/>
        <color rgb="FF000000"/>
        <rFont val="Calibri"/>
      </rPr>
      <t>The "uint32" must be included along with the integer key values as shown.</t>
    </r>
    <r>
      <rPr>
        <sz val="11"/>
        <color rgb="FF000000"/>
        <rFont val="Calibri"/>
      </rPr>
      <t xml:space="preserve">
</t>
    </r>
    <r>
      <rPr>
        <sz val="11"/>
        <color rgb="FF000000"/>
        <rFont val="Calibri"/>
      </rPr>
      <t>Update the system databases:</t>
    </r>
    <r>
      <rPr>
        <sz val="11"/>
        <color rgb="FF000000"/>
        <rFont val="Calibri"/>
      </rPr>
      <t xml:space="preserve">
</t>
    </r>
    <r>
      <rPr>
        <sz val="11"/>
        <color rgb="FF000000"/>
        <rFont val="Calibri"/>
      </rPr>
      <t>$ sudo dconf update</t>
    </r>
  </si>
  <si>
    <r>
      <rPr>
        <sz val="11"/>
        <color rgb="FF000000"/>
        <rFont val="Calibri"/>
      </rPr>
      <t>A session time-out lock is a temporary action taken when a user stops work and moves away from the immediate physical vicinity of the information system but does not log out because of the temporary nature of the absence. Rather than relying on the user to manually lock their operating system session prior to vacating the vicinity, operating systems need to be able to identify when a user's session has idled and take action to initiate the session lock.</t>
    </r>
    <r>
      <rPr>
        <sz val="11"/>
        <color rgb="FF000000"/>
        <rFont val="Calibri"/>
      </rPr>
      <t xml:space="preserve">
</t>
    </r>
    <r>
      <rPr>
        <sz val="11"/>
        <color rgb="FF000000"/>
        <rFont val="Calibri"/>
      </rPr>
      <t>The session lock is implemented at the point where session activity can be determined and/or controlled.</t>
    </r>
    <r>
      <rPr>
        <sz val="11"/>
        <color rgb="FF000000"/>
        <rFont val="Calibri"/>
      </rPr>
      <t xml:space="preserve">
</t>
    </r>
    <r>
      <rPr>
        <sz val="11"/>
        <color rgb="FF000000"/>
        <rFont val="Calibri"/>
      </rPr>
      <t>Satisfies: SRG-OS-000029-GPOS-00010, SRG-OS-000031-GPOS-00012</t>
    </r>
  </si>
  <si>
    <r>
      <rPr>
        <sz val="11"/>
        <color rgb="FF000000"/>
        <rFont val="Calibri"/>
      </rPr>
      <t>Note: This requirement assumes the use of the OL 8 default graphical user interface, Gnome Shell. If the system does not have any graphical user interface installed, this requirement is Not Applicable.</t>
    </r>
    <r>
      <rPr>
        <sz val="11"/>
        <color rgb="FF000000"/>
        <rFont val="Calibri"/>
      </rPr>
      <t xml:space="preserve">
</t>
    </r>
    <r>
      <rPr>
        <sz val="11"/>
        <color rgb="FF000000"/>
        <rFont val="Calibri"/>
      </rPr>
      <t>Verify the operating system initiates a session lock a for graphical user interfaces when the screensaver is activated with the following command:</t>
    </r>
    <r>
      <rPr>
        <sz val="11"/>
        <color rgb="FF000000"/>
        <rFont val="Calibri"/>
      </rPr>
      <t xml:space="preserve">
</t>
    </r>
    <r>
      <rPr>
        <sz val="11"/>
        <color rgb="FF000000"/>
        <rFont val="Calibri"/>
      </rPr>
      <t>$ sudo gsettings get org.gnome.desktop.screensaver lock-delay</t>
    </r>
    <r>
      <rPr>
        <sz val="11"/>
        <color rgb="FF000000"/>
        <rFont val="Calibri"/>
      </rPr>
      <t xml:space="preserve">
</t>
    </r>
    <r>
      <rPr>
        <sz val="11"/>
        <color rgb="FF000000"/>
        <rFont val="Calibri"/>
      </rPr>
      <t>uint32 5</t>
    </r>
    <r>
      <rPr>
        <sz val="11"/>
        <color rgb="FF000000"/>
        <rFont val="Calibri"/>
      </rPr>
      <t xml:space="preserve">
</t>
    </r>
    <r>
      <rPr>
        <sz val="11"/>
        <color rgb="FF000000"/>
        <rFont val="Calibri"/>
      </rPr>
      <t>If the "uint32" setting is missing, or is not set to "5" or less, this is a finding.</t>
    </r>
  </si>
  <si>
    <t>V-248673</t>
  </si>
  <si>
    <r>
      <rPr>
        <sz val="11"/>
        <rFont val="Calibri"/>
      </rPr>
      <t>OL 8 must disable the user list at logon for graphical user interfaces.</t>
    </r>
  </si>
  <si>
    <r>
      <rPr>
        <sz val="11"/>
        <color rgb="FF000000"/>
        <rFont val="Calibri"/>
      </rPr>
      <t>Configure the operating system to disable the user list at logon for graphical user interfaces.</t>
    </r>
    <r>
      <rPr>
        <sz val="11"/>
        <color rgb="FF000000"/>
        <rFont val="Calibri"/>
      </rPr>
      <t xml:space="preserve">
</t>
    </r>
    <r>
      <rPr>
        <sz val="11"/>
        <color rgb="FF000000"/>
        <rFont val="Calibri"/>
      </rPr>
      <t xml:space="preserve">Create a database to contain the system-wide screensaver settings (if it does not already exist) with the following command: </t>
    </r>
    <r>
      <rPr>
        <sz val="11"/>
        <color rgb="FF000000"/>
        <rFont val="Calibri"/>
      </rPr>
      <t xml:space="preserve">
</t>
    </r>
    <r>
      <rPr>
        <sz val="11"/>
        <color rgb="FF000000"/>
        <rFont val="Calibri"/>
      </rPr>
      <t>Note: The example below is using the database "local" for the system, so if the system is using another database in "/etc/dconf/profile/user", the file should be created under the appropriate subdirectory.</t>
    </r>
    <r>
      <rPr>
        <sz val="11"/>
        <color rgb="FF000000"/>
        <rFont val="Calibri"/>
      </rPr>
      <t xml:space="preserve">
</t>
    </r>
    <r>
      <rPr>
        <sz val="11"/>
        <color rgb="FF000000"/>
        <rFont val="Calibri"/>
      </rPr>
      <t>$ sudo touch /etc/dconf/db/local.d/02-login-screen</t>
    </r>
    <r>
      <rPr>
        <sz val="11"/>
        <color rgb="FF000000"/>
        <rFont val="Calibri"/>
      </rPr>
      <t xml:space="preserve">
</t>
    </r>
    <r>
      <rPr>
        <sz val="11"/>
        <color rgb="FF000000"/>
        <rFont val="Calibri"/>
      </rPr>
      <t>[org/gnome/login-screen]</t>
    </r>
    <r>
      <rPr>
        <sz val="11"/>
        <color rgb="FF000000"/>
        <rFont val="Calibri"/>
      </rPr>
      <t xml:space="preserve">
</t>
    </r>
    <r>
      <rPr>
        <sz val="11"/>
        <color rgb="FF000000"/>
        <rFont val="Calibri"/>
      </rPr>
      <t>disable-user-list=true</t>
    </r>
    <r>
      <rPr>
        <sz val="11"/>
        <color rgb="FF000000"/>
        <rFont val="Calibri"/>
      </rPr>
      <t xml:space="preserve">
</t>
    </r>
    <r>
      <rPr>
        <sz val="11"/>
        <color rgb="FF000000"/>
        <rFont val="Calibri"/>
      </rPr>
      <t>Update the system databases:</t>
    </r>
    <r>
      <rPr>
        <sz val="11"/>
        <color rgb="FF000000"/>
        <rFont val="Calibri"/>
      </rPr>
      <t xml:space="preserve">
</t>
    </r>
    <r>
      <rPr>
        <sz val="11"/>
        <color rgb="FF000000"/>
        <rFont val="Calibri"/>
      </rPr>
      <t>$ sudo dconf update</t>
    </r>
  </si>
  <si>
    <r>
      <rPr>
        <sz val="11"/>
        <color rgb="FF000000"/>
        <rFont val="Calibri"/>
      </rPr>
      <t>Leaving the user list enabled is a security risk since it allows anyone with physical access to the system to enumerate known user accounts without authenticated access to the system.</t>
    </r>
  </si>
  <si>
    <r>
      <rPr>
        <sz val="11"/>
        <color rgb="FF000000"/>
        <rFont val="Calibri"/>
      </rPr>
      <t>Note: This requirement assumes the use of the OL 8 default graphical user interface, Gnome Shell. If the system does not have any graphical user interface installed, this requirement is Not Applicable.</t>
    </r>
    <r>
      <rPr>
        <sz val="11"/>
        <color rgb="FF000000"/>
        <rFont val="Calibri"/>
      </rPr>
      <t xml:space="preserve">
</t>
    </r>
    <r>
      <rPr>
        <sz val="11"/>
        <color rgb="FF000000"/>
        <rFont val="Calibri"/>
      </rPr>
      <t>Verify the operating system disables the user logon list for graphical user interfaces with the following command:</t>
    </r>
    <r>
      <rPr>
        <sz val="11"/>
        <color rgb="FF000000"/>
        <rFont val="Calibri"/>
      </rPr>
      <t xml:space="preserve">
</t>
    </r>
    <r>
      <rPr>
        <sz val="11"/>
        <color rgb="FF000000"/>
        <rFont val="Calibri"/>
      </rPr>
      <t>$ sudo gsettings get org.gnome.login-screen disable-user-list</t>
    </r>
    <r>
      <rPr>
        <sz val="11"/>
        <color rgb="FF000000"/>
        <rFont val="Calibri"/>
      </rPr>
      <t xml:space="preserve">
</t>
    </r>
    <r>
      <rPr>
        <sz val="11"/>
        <color rgb="FF000000"/>
        <rFont val="Calibri"/>
      </rPr>
      <t>true</t>
    </r>
    <r>
      <rPr>
        <sz val="11"/>
        <color rgb="FF000000"/>
        <rFont val="Calibri"/>
      </rPr>
      <t xml:space="preserve">
</t>
    </r>
    <r>
      <rPr>
        <sz val="11"/>
        <color rgb="FF000000"/>
        <rFont val="Calibri"/>
      </rPr>
      <t>If the setting is "false", this is a finding.</t>
    </r>
  </si>
  <si>
    <t>V-248678</t>
  </si>
  <si>
    <r>
      <rPr>
        <sz val="11"/>
        <rFont val="Calibri"/>
      </rPr>
      <t>OL 8 must enable a user session lock until that user reestablishes access using established identification and authentication procedures for command line sessions.</t>
    </r>
  </si>
  <si>
    <r>
      <rPr>
        <sz val="11"/>
        <color rgb="FF000000"/>
        <rFont val="Calibri"/>
      </rPr>
      <t xml:space="preserve">Install the "vlock" package, if it is not already installed, by running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yum install kbd.x86_64</t>
    </r>
  </si>
  <si>
    <r>
      <rPr>
        <sz val="11"/>
        <color rgb="FF000000"/>
        <rFont val="Calibri"/>
      </rPr>
      <t xml:space="preserve">A session lock is a temporary action taken when a user stops work and moves away from the immediate physical vicinity of the information system but does not want to log out because of the temporary nature of the absence.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The session lock is implemented at the point where session activity can be determined. Rather than be forced to wait for a period of time to expire before the user session can be locked, OL 8 needs to provide users with the ability to manually invoke a session lock so users may secure their session should the need arise for them to temporarily vacate the immediate physical vicinity.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Systemd, a core component of OL 8, has a variety of dependencies needed to function. One of those packages is the Keytable files and keyboard utilities (kbd.x86_64). This package provides the "vlock" binary, a utility used to lock one or several user virtual console sessions.</t>
    </r>
    <r>
      <rPr>
        <sz val="11"/>
        <color rgb="FF000000"/>
        <rFont val="Calibri"/>
      </rPr>
      <t xml:space="preserve">
</t>
    </r>
    <r>
      <rPr>
        <sz val="11"/>
        <color rgb="FF000000"/>
        <rFont val="Calibri"/>
      </rPr>
      <t>Satisfies: SRG-OS-000028-GPOS-00009, SRG-OS-000030-GPOS-00011</t>
    </r>
  </si>
  <si>
    <r>
      <rPr>
        <sz val="11"/>
        <color rgb="FF000000"/>
        <rFont val="Calibri"/>
      </rPr>
      <t xml:space="preserve">Verify OL 8 has the "vlock" package installed by running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grep vlock /usr/bin/*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Binary file /usr/bin/vlock matches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"vlock" is not installed, this is a finding.</t>
    </r>
  </si>
  <si>
    <t>V-248679</t>
  </si>
  <si>
    <r>
      <rPr>
        <sz val="11"/>
        <rFont val="Calibri"/>
      </rPr>
      <t>OL 8 must be able to initiate directly a session lock for all connection types using smartcard when the smartcard is removed.</t>
    </r>
  </si>
  <si>
    <r>
      <rPr>
        <sz val="11"/>
        <color rgb="FF000000"/>
        <rFont val="Calibri"/>
      </rPr>
      <t xml:space="preserve">Configure OL 8 to enable a user's session lock until that user reestablishes access using established identification and authentication procedures.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Select/create an "authselect" profile and incorporate the "with-smartcard-lock-on-removal" feature as in the following example: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authselect select sssd with-smartcard with-smartcard-lock-on-removal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Alternatively, the "dconf" settings can be edited in the "/etc/dconf/db/*" location.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Edit or add the "[org/gnome/settings-daemon/peripherals/smartcard]" section of the database file and add or update the following line: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removal-action='lock-screen'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Update the system databases: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dconf update</t>
    </r>
  </si>
  <si>
    <r>
      <rPr>
        <sz val="11"/>
        <color rgb="FF000000"/>
        <rFont val="Calibri"/>
      </rPr>
      <t xml:space="preserve">A session lock is a temporary action taken when a user stops work and moves away from the immediate physical vicinity of the information system but does not want to log out because of the temporary nature of the absence.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The session lock is implemented at the point where session activity can be determined.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Regardless of where the session lock is determined and implemented, once invoked, the session lock must remain in place until the user reauthenticates. No other activity aside from reauthentication must unlock the system.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OL 8 includes "authselect" as a tool to configure system identity, authentication sources, and providers by selecting a specific profile. A profile is a set of files that describes the resulting system configuration. When a profile is selected, "authselect" will create the "nsswitch.conf" and "PAM" stack to use identity and authentication sources defined by the profile.</t>
    </r>
    <r>
      <rPr>
        <sz val="11"/>
        <color rgb="FF000000"/>
        <rFont val="Calibri"/>
      </rPr>
      <t xml:space="preserve">
</t>
    </r>
    <r>
      <rPr>
        <sz val="11"/>
        <color rgb="FF000000"/>
        <rFont val="Calibri"/>
      </rPr>
      <t>Satisfies: SRG-OS-000028-GPOS-00009, SRG-OS-000030-GPOS-00011</t>
    </r>
  </si>
  <si>
    <r>
      <rPr>
        <sz val="11"/>
        <color rgb="FF000000"/>
        <rFont val="Calibri"/>
      </rPr>
      <t>Verify the operating system enables a user's session lock until that user reestablishes access using established identification and authentication procedures with the following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This requirement assumes the use of the OL 8 default graphical user interface, Gnome Shell. If the system does not have any graphical user interface installed, this requirement is Not Applicable.</t>
    </r>
    <r>
      <rPr>
        <sz val="11"/>
        <color rgb="FF000000"/>
        <rFont val="Calibri"/>
      </rPr>
      <t xml:space="preserve">
</t>
    </r>
    <r>
      <rPr>
        <sz val="11"/>
        <color rgb="FF000000"/>
        <rFont val="Calibri"/>
      </rPr>
      <t>$ sudo grep -r removal-action /etc/dconf/db/*</t>
    </r>
    <r>
      <rPr>
        <sz val="11"/>
        <color rgb="FF000000"/>
        <rFont val="Calibri"/>
      </rPr>
      <t xml:space="preserve">
</t>
    </r>
    <r>
      <rPr>
        <sz val="11"/>
        <color rgb="FF000000"/>
        <rFont val="Calibri"/>
      </rPr>
      <t>/etc/dconf/db/distro.d/20-authselect:removal-action='lock-screen'</t>
    </r>
    <r>
      <rPr>
        <sz val="11"/>
        <color rgb="FF000000"/>
        <rFont val="Calibri"/>
      </rPr>
      <t xml:space="preserve">
</t>
    </r>
    <r>
      <rPr>
        <sz val="11"/>
        <color rgb="FF000000"/>
        <rFont val="Calibri"/>
      </rPr>
      <t>If the "removal-action='lock-screen'" setting is missing or commented out from the "dconf" database files, this is a finding.</t>
    </r>
  </si>
  <si>
    <t>V-248680</t>
  </si>
  <si>
    <r>
      <rPr>
        <sz val="11"/>
        <rFont val="Calibri"/>
      </rPr>
      <t>OL 8 must automatically lock graphical user sessions after 15 minutes of inactivity.</t>
    </r>
  </si>
  <si>
    <r>
      <rPr>
        <sz val="11"/>
        <color rgb="FF000000"/>
        <rFont val="Calibri"/>
      </rPr>
      <t xml:space="preserve">Configure OL 8 to initiate a screensaver after a 10-minute period of inactivity for graphical user interfaces.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Create a database to contain the systemwide screensaver settings (if it does not already exist)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touch /etc/dconf/db/local.d/00-screensaver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Edit "/etc/dconf/db/local.d/00-screensaver" and add or update the following lines: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[org/gnome/desktop/session] </t>
    </r>
    <r>
      <rPr>
        <sz val="11"/>
        <color rgb="FF000000"/>
        <rFont val="Calibri"/>
      </rPr>
      <t xml:space="preserve">
</t>
    </r>
    <r>
      <rPr>
        <sz val="11"/>
        <color rgb="FF000000"/>
        <rFont val="Calibri"/>
      </rPr>
      <t xml:space="preserve"># Set the lock time out to 600 seconds before the session is considered idle </t>
    </r>
    <r>
      <rPr>
        <sz val="11"/>
        <color rgb="FF000000"/>
        <rFont val="Calibri"/>
      </rPr>
      <t xml:space="preserve">
</t>
    </r>
    <r>
      <rPr>
        <sz val="11"/>
        <color rgb="FF000000"/>
        <rFont val="Calibri"/>
      </rPr>
      <t xml:space="preserve">idle-delay=uint32 600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Update the system databases: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dconf update</t>
    </r>
  </si>
  <si>
    <r>
      <rPr>
        <sz val="11"/>
        <color rgb="FF000000"/>
        <rFont val="Calibri"/>
      </rPr>
      <t xml:space="preserve">A session time-out lock is a temporary action taken when a user stops work and moves away from the immediate physical vicinity of the information system but does not log out because of the temporary nature of the absence. Rather than relying on the user to manually lock their operating system session prior to vacating the vicinity, operating systems must be able to identify when a user's session has idled and take action to initiate the session lock.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 session lock is implemented at the point where session activity can be determined and/or controlled.</t>
    </r>
    <r>
      <rPr>
        <sz val="11"/>
        <color rgb="FF000000"/>
        <rFont val="Calibri"/>
      </rPr>
      <t xml:space="preserve">
</t>
    </r>
    <r>
      <rPr>
        <sz val="11"/>
        <color rgb="FF000000"/>
        <rFont val="Calibri"/>
      </rPr>
      <t>Satisfies: SRG-OS-000029-GPOS-00010, SRG-OS-000031-GPOS-00012</t>
    </r>
  </si>
  <si>
    <r>
      <rPr>
        <sz val="11"/>
        <color rgb="FF000000"/>
        <rFont val="Calibri"/>
      </rPr>
      <t xml:space="preserve">Note: This requirement assumes the use of the OL 8 default graphical user interface, Gnome Shell. If the system does not have any graphical user interface installed, this requirement is Not Applicable.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Verify OL 8 initiates a session lock after a 10-minute period of inactivity for graphical user interfaces with the following commands: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gsettings get org.gnome.desktop.session idle-delay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uint32 600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"idle-delay" is set to "0" or a value greater than "600", this is a finding.</t>
    </r>
  </si>
  <si>
    <t>V-248682</t>
  </si>
  <si>
    <r>
      <rPr>
        <sz val="11"/>
        <rFont val="Calibri"/>
      </rPr>
      <t>OL 8 must prevent a user from overriding the session lock-delay setting for the graphical user interface.</t>
    </r>
  </si>
  <si>
    <r>
      <rPr>
        <sz val="11"/>
        <color rgb="FF000000"/>
        <rFont val="Calibri"/>
      </rPr>
      <t xml:space="preserve">Configure OL 8 to prevent a user from overriding settings for graphical user interfaces.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Create a database to contain the system-wide screensaver settings (if it does not already exist)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Note: The example below is using the database "local" for the system, so if the system is using another database in "/etc/dconf/profile/user", the file should be created under the appropriate subdirectory.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touch /etc/dconf/db/local.d/locks/session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the following setting to prevent non-privileged users from modifying it: </t>
    </r>
    <r>
      <rPr>
        <sz val="11"/>
        <color rgb="FF000000"/>
        <rFont val="Calibri"/>
      </rPr>
      <t xml:space="preserve">
</t>
    </r>
    <r>
      <rPr>
        <sz val="11"/>
        <color rgb="FF000000"/>
        <rFont val="Calibri"/>
      </rPr>
      <t>/org/gnome/desktop/screensaver/lock-delay</t>
    </r>
  </si>
  <si>
    <r>
      <rPr>
        <sz val="11"/>
        <color rgb="FF000000"/>
        <rFont val="Calibri"/>
      </rPr>
      <t xml:space="preserve">A session time-out lock is a temporary action taken when a user stops work and moves away from the immediate physical vicinity of the information system but does not log out because of the temporary nature of the absence. Rather than relying on the user to manually lock their operating system session prior to vacating the vicinity, operating systems need to be able to identify when a user's session has idled and take action to initiate the session lock.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The session lock is implemented at the point where session activity can be determined and/or controlled.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Implementing session settings will have little value if a user is able to manipulate these settings from the defaults prescribed in the other requirements of this implementation guide.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Locking these settings from non-privileged users is crucial to maintaining a protected baseline.</t>
    </r>
    <r>
      <rPr>
        <sz val="11"/>
        <color rgb="FF000000"/>
        <rFont val="Calibri"/>
      </rPr>
      <t xml:space="preserve">
</t>
    </r>
    <r>
      <rPr>
        <sz val="11"/>
        <color rgb="FF000000"/>
        <rFont val="Calibri"/>
      </rPr>
      <t>Satisfies: SRG-OS-000029-GPOS-00010, SRG-OS-000031-GPOS-00012</t>
    </r>
  </si>
  <si>
    <r>
      <rPr>
        <sz val="11"/>
        <color rgb="FF000000"/>
        <rFont val="Calibri"/>
      </rPr>
      <t xml:space="preserve">Note: This requirement assumes the use of the OL 8 default graphical user interface, Gnome Shell. If the system does not have any graphical user interface installed, this requirement is Not Applicable. </t>
    </r>
    <r>
      <rPr>
        <sz val="11"/>
        <color rgb="FF000000"/>
        <rFont val="Calibri"/>
      </rPr>
      <t xml:space="preserve">
</t>
    </r>
    <r>
      <rPr>
        <sz val="11"/>
        <color rgb="FF000000"/>
        <rFont val="Calibri"/>
      </rPr>
      <t xml:space="preserve">Verify the operating system prevents a user from overriding settings for graphical user interfaces.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Determine which profile the system database is using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grep system-db /etc/dconf/profile/user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system-db:local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Check that graphical settings are locked from non-privileged user modification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Note: The example below is using the database "local" for the system, so the path is "/etc/dconf/db/local.d". This path must be modified if a database other than "local" is being used.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grep -i lock-delay /etc/dconf/db/local.d/locks/*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/org/gnome/desktop/screensaver/lock-delay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command does not return at least the example result, this is a finding.</t>
    </r>
  </si>
  <si>
    <t>V-248683</t>
  </si>
  <si>
    <r>
      <rPr>
        <sz val="11"/>
        <rFont val="Calibri"/>
      </rPr>
      <t>OL 8 must prevent a user from overriding the session idle-delay setting for the graphical user interface.</t>
    </r>
  </si>
  <si>
    <r>
      <rPr>
        <sz val="11"/>
        <color rgb="FF000000"/>
        <rFont val="Calibri"/>
      </rPr>
      <t xml:space="preserve">Configure OL 8 to prevent a user from overriding settings for graphical user interfaces.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Create a database to contain the system-wide screensaver settings (if it does not already exist)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Note: The example below is using the database "local" for the system, so if the system is using another database in "/etc/dconf/profile/user", the file should be created under the appropriate subdirectory.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touch /etc/dconf/db/local.d/locks/session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the following setting to prevent non-privileged users from modifying it: </t>
    </r>
    <r>
      <rPr>
        <sz val="11"/>
        <color rgb="FF000000"/>
        <rFont val="Calibri"/>
      </rPr>
      <t xml:space="preserve">
</t>
    </r>
    <r>
      <rPr>
        <sz val="11"/>
        <color rgb="FF000000"/>
        <rFont val="Calibri"/>
      </rPr>
      <t>/org/gnome/desktop/screensaver/idle-delay</t>
    </r>
  </si>
  <si>
    <r>
      <rPr>
        <sz val="11"/>
        <color rgb="FF000000"/>
        <rFont val="Calibri"/>
      </rPr>
      <t xml:space="preserve">Note: This requirement assumes the use of the OL 8 default graphical user interface, Gnome Shell. If the system does not have any graphical user interface installed, this requirement is Not Applicable. </t>
    </r>
    <r>
      <rPr>
        <sz val="11"/>
        <color rgb="FF000000"/>
        <rFont val="Calibri"/>
      </rPr>
      <t xml:space="preserve">
</t>
    </r>
    <r>
      <rPr>
        <sz val="11"/>
        <color rgb="FF000000"/>
        <rFont val="Calibri"/>
      </rPr>
      <t xml:space="preserve">Verify the operating system prevents a user from overriding settings for graphical user interfaces.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Determine which profile the system database is using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grep system-db /etc/dconf/profile/user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system-db:local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Check that graphical settings are locked from non-privileged user modification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Note: The example below is using the database "local" for the system, so the path is "/etc/dconf/db/local.d". This path must be modified if a database other than "local" is being used.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grep -i idle /etc/dconf/db/local.d/locks/*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/org/gnome/desktop/screensaver/idle-delay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command does not return at least the example result, this is a finding.</t>
    </r>
  </si>
  <si>
    <t>V-248684</t>
  </si>
  <si>
    <r>
      <rPr>
        <sz val="11"/>
        <rFont val="Calibri"/>
      </rPr>
      <t>OL 8 must prevent a user from overriding the session lock-enabled setting for the graphical user interface.</t>
    </r>
  </si>
  <si>
    <r>
      <rPr>
        <sz val="11"/>
        <color rgb="FF000000"/>
        <rFont val="Calibri"/>
      </rPr>
      <t xml:space="preserve">Configure OL 8 to prevent a user from overriding settings for graphical user interfaces.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Create a database to contain the system-wide screensaver settings (if it does not already exist)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Note: The example below is using the database "local" for the system, so if the system is using another database in "/etc/dconf/profile/user", the file should be created under the appropriate subdirectory.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touch /etc/dconf/db/local.d/locks/session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the following setting to prevent non-privileged users from modifying it: </t>
    </r>
    <r>
      <rPr>
        <sz val="11"/>
        <color rgb="FF000000"/>
        <rFont val="Calibri"/>
      </rPr>
      <t xml:space="preserve">
</t>
    </r>
    <r>
      <rPr>
        <sz val="11"/>
        <color rgb="FF000000"/>
        <rFont val="Calibri"/>
      </rPr>
      <t>/org/gnome/desktop/screensaver/lock-enabled</t>
    </r>
  </si>
  <si>
    <r>
      <rPr>
        <sz val="11"/>
        <color rgb="FF000000"/>
        <rFont val="Calibri"/>
      </rPr>
      <t xml:space="preserve">Note: This requirement assumes the use of the OL 8 default graphical user interface, Gnome Shell. If the system does not have any graphical user interface installed, this requirement is Not Applicable. </t>
    </r>
    <r>
      <rPr>
        <sz val="11"/>
        <color rgb="FF000000"/>
        <rFont val="Calibri"/>
      </rPr>
      <t xml:space="preserve">
</t>
    </r>
    <r>
      <rPr>
        <sz val="11"/>
        <color rgb="FF000000"/>
        <rFont val="Calibri"/>
      </rPr>
      <t xml:space="preserve">Verify the operating system prevents a user from overriding settings for graphical user interfaces.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Determine which profile the system database is using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grep system-db /etc/dconf/profile/user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system-db:local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Check that graphical settings are locked from non-privileged user modification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Note: The example below is using the database "local" for the system, so the path is "/etc/dconf/db/local.d". This path must be modified if a database other than "local" is being used.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grep -i lock-enabled /etc/dconf/db/local.d/locks/*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/org/gnome/desktop/screensaver/lock-enabled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command does not return at least the example result, this is a finding.</t>
    </r>
  </si>
  <si>
    <t>V-248685</t>
  </si>
  <si>
    <r>
      <rPr>
        <sz val="11"/>
        <rFont val="Calibri"/>
      </rPr>
      <t>OL 8 must map the authenticated identity to the user or group account for PKI-based authentication.</t>
    </r>
  </si>
  <si>
    <r>
      <rPr>
        <sz val="11"/>
        <color rgb="FF000000"/>
        <rFont val="Calibri"/>
      </rPr>
      <t xml:space="preserve">Configure OL 8 to map the authenticated identity to the user or group account by adding or modifying the "certmap" section of the "/etc/sssd/sssd.conf" file based on the following example: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[certmap/testing.test/rule_name] </t>
    </r>
    <r>
      <rPr>
        <sz val="11"/>
        <color rgb="FF000000"/>
        <rFont val="Calibri"/>
      </rPr>
      <t xml:space="preserve">
</t>
    </r>
    <r>
      <rPr>
        <sz val="11"/>
        <color rgb="FF000000"/>
        <rFont val="Calibri"/>
      </rPr>
      <t xml:space="preserve">matchrule =&lt;SAN&gt;.*EDIPI@mil </t>
    </r>
    <r>
      <rPr>
        <sz val="11"/>
        <color rgb="FF000000"/>
        <rFont val="Calibri"/>
      </rPr>
      <t xml:space="preserve">
</t>
    </r>
    <r>
      <rPr>
        <sz val="11"/>
        <color rgb="FF000000"/>
        <rFont val="Calibri"/>
      </rPr>
      <t xml:space="preserve">maprule = (userCertificate;binary={cert!bin}) </t>
    </r>
    <r>
      <rPr>
        <sz val="11"/>
        <color rgb="FF000000"/>
        <rFont val="Calibri"/>
      </rPr>
      <t xml:space="preserve">
</t>
    </r>
    <r>
      <rPr>
        <sz val="11"/>
        <color rgb="FF000000"/>
        <rFont val="Calibri"/>
      </rPr>
      <t xml:space="preserve">domains = testing.test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The "sssd" service must be restarted for the changes to take effect. To restart the "sssd" service, run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systemctl restart sssd.service</t>
    </r>
  </si>
  <si>
    <r>
      <rPr>
        <sz val="11"/>
        <color rgb="FF000000"/>
        <rFont val="Calibri"/>
      </rPr>
      <t xml:space="preserve">Without mapping the certificate used to authenticate to the user account, the ability to determine the identity of the individual user or group will not be available for forensic analysis.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There are various methods of mapping certificates to user/group accounts for OL 8. For the purposes of this requirement, the check and fix will account for Active Directory mapping. Some of the other possible methods include joining the system to a domain and using an idM server, or a local system mapping, where the system is not part of a domain.</t>
    </r>
  </si>
  <si>
    <r>
      <rPr>
        <sz val="11"/>
        <color rgb="FF000000"/>
        <rFont val="Calibri"/>
      </rPr>
      <t>Verify the certificate of the user or group is mapped to the corresponding user or group in the "sssd.conf" file with the following command:</t>
    </r>
    <r>
      <rPr>
        <sz val="11"/>
        <color rgb="FF000000"/>
        <rFont val="Calibri"/>
      </rPr>
      <t xml:space="preserve">
</t>
    </r>
    <r>
      <rPr>
        <sz val="11"/>
        <color rgb="FF000000"/>
        <rFont val="Calibri"/>
      </rPr>
      <t>Note: If the System Administrator demonstrates the use of an approved alternate multifactor authentication method, this requirement is not applicable.</t>
    </r>
    <r>
      <rPr>
        <sz val="11"/>
        <color rgb="FF000000"/>
        <rFont val="Calibri"/>
      </rPr>
      <t xml:space="preserve">
</t>
    </r>
    <r>
      <rPr>
        <sz val="11"/>
        <color rgb="FF000000"/>
        <rFont val="Calibri"/>
      </rPr>
      <t>$ sudo cat /etc/sssd/sssd.conf</t>
    </r>
    <r>
      <rPr>
        <sz val="11"/>
        <color rgb="FF000000"/>
        <rFont val="Calibri"/>
      </rPr>
      <t xml:space="preserve">
</t>
    </r>
    <r>
      <rPr>
        <sz val="11"/>
        <color rgb="FF000000"/>
        <rFont val="Calibri"/>
      </rPr>
      <t>[sssd]</t>
    </r>
    <r>
      <rPr>
        <sz val="11"/>
        <color rgb="FF000000"/>
        <rFont val="Calibri"/>
      </rPr>
      <t xml:space="preserve">
</t>
    </r>
    <r>
      <rPr>
        <sz val="11"/>
        <color rgb="FF000000"/>
        <rFont val="Calibri"/>
      </rPr>
      <t>config_file_version = 2</t>
    </r>
    <r>
      <rPr>
        <sz val="11"/>
        <color rgb="FF000000"/>
        <rFont val="Calibri"/>
      </rPr>
      <t xml:space="preserve">
</t>
    </r>
    <r>
      <rPr>
        <sz val="11"/>
        <color rgb="FF000000"/>
        <rFont val="Calibri"/>
      </rPr>
      <t>services = pam, sudo, ssh</t>
    </r>
    <r>
      <rPr>
        <sz val="11"/>
        <color rgb="FF000000"/>
        <rFont val="Calibri"/>
      </rPr>
      <t xml:space="preserve">
</t>
    </r>
    <r>
      <rPr>
        <sz val="11"/>
        <color rgb="FF000000"/>
        <rFont val="Calibri"/>
      </rPr>
      <t>domains = testing.test</t>
    </r>
    <r>
      <rPr>
        <sz val="11"/>
        <color rgb="FF000000"/>
        <rFont val="Calibri"/>
      </rPr>
      <t xml:space="preserve">
</t>
    </r>
    <r>
      <rPr>
        <sz val="11"/>
        <color rgb="FF000000"/>
        <rFont val="Calibri"/>
      </rPr>
      <t>[pam]</t>
    </r>
    <r>
      <rPr>
        <sz val="11"/>
        <color rgb="FF000000"/>
        <rFont val="Calibri"/>
      </rPr>
      <t xml:space="preserve">
</t>
    </r>
    <r>
      <rPr>
        <sz val="11"/>
        <color rgb="FF000000"/>
        <rFont val="Calibri"/>
      </rPr>
      <t>pam_cert_auth = True</t>
    </r>
    <r>
      <rPr>
        <sz val="11"/>
        <color rgb="FF000000"/>
        <rFont val="Calibri"/>
      </rPr>
      <t xml:space="preserve">
</t>
    </r>
    <r>
      <rPr>
        <sz val="11"/>
        <color rgb="FF000000"/>
        <rFont val="Calibri"/>
      </rPr>
      <t>[domain/testing.test]</t>
    </r>
    <r>
      <rPr>
        <sz val="11"/>
        <color rgb="FF000000"/>
        <rFont val="Calibri"/>
      </rPr>
      <t xml:space="preserve">
</t>
    </r>
    <r>
      <rPr>
        <sz val="11"/>
        <color rgb="FF000000"/>
        <rFont val="Calibri"/>
      </rPr>
      <t>id_provider = ldap</t>
    </r>
    <r>
      <rPr>
        <sz val="11"/>
        <color rgb="FF000000"/>
        <rFont val="Calibri"/>
      </rPr>
      <t xml:space="preserve">
</t>
    </r>
    <r>
      <rPr>
        <sz val="11"/>
        <color rgb="FF000000"/>
        <rFont val="Calibri"/>
      </rPr>
      <t>[certmap/testing.test/rule_name]</t>
    </r>
    <r>
      <rPr>
        <sz val="11"/>
        <color rgb="FF000000"/>
        <rFont val="Calibri"/>
      </rPr>
      <t xml:space="preserve">
</t>
    </r>
    <r>
      <rPr>
        <sz val="11"/>
        <color rgb="FF000000"/>
        <rFont val="Calibri"/>
      </rPr>
      <t>matchrule =&lt;SAN&gt;.*EDIPI@mil</t>
    </r>
    <r>
      <rPr>
        <sz val="11"/>
        <color rgb="FF000000"/>
        <rFont val="Calibri"/>
      </rPr>
      <t xml:space="preserve">
</t>
    </r>
    <r>
      <rPr>
        <sz val="11"/>
        <color rgb="FF000000"/>
        <rFont val="Calibri"/>
      </rPr>
      <t>maprule = (userCertificate;binary={cert!bin})</t>
    </r>
    <r>
      <rPr>
        <sz val="11"/>
        <color rgb="FF000000"/>
        <rFont val="Calibri"/>
      </rPr>
      <t xml:space="preserve">
</t>
    </r>
    <r>
      <rPr>
        <sz val="11"/>
        <color rgb="FF000000"/>
        <rFont val="Calibri"/>
      </rPr>
      <t>domains = testing.test</t>
    </r>
    <r>
      <rPr>
        <sz val="11"/>
        <color rgb="FF000000"/>
        <rFont val="Calibri"/>
      </rPr>
      <t xml:space="preserve">
</t>
    </r>
    <r>
      <rPr>
        <sz val="11"/>
        <color rgb="FF000000"/>
        <rFont val="Calibri"/>
      </rPr>
      <t>If the "certmap" section does not exist, this is a finding.</t>
    </r>
  </si>
  <si>
    <t>V-248686</t>
  </si>
  <si>
    <r>
      <rPr>
        <sz val="11"/>
        <rFont val="Calibri"/>
      </rPr>
      <t>OL 8 must ensure the password complexity module is enabled in the password-auth file.</t>
    </r>
  </si>
  <si>
    <r>
      <rPr>
        <sz val="11"/>
        <color rgb="FF000000"/>
        <rFont val="Calibri"/>
      </rPr>
      <t>Configure the operating system to use "pwquality" to enforce password complexity rules.</t>
    </r>
    <r>
      <rPr>
        <sz val="11"/>
        <color rgb="FF000000"/>
        <rFont val="Calibri"/>
      </rPr>
      <t xml:space="preserve">
</t>
    </r>
    <r>
      <rPr>
        <sz val="11"/>
        <color rgb="FF000000"/>
        <rFont val="Calibri"/>
      </rPr>
      <t>Add the following line to the "/etc/pam.d/password-auth" file (or modify the line to have the required value):</t>
    </r>
    <r>
      <rPr>
        <sz val="11"/>
        <color rgb="FF000000"/>
        <rFont val="Calibri"/>
      </rPr>
      <t xml:space="preserve">
</t>
    </r>
    <r>
      <rPr>
        <sz val="11"/>
        <color rgb="FF000000"/>
        <rFont val="Calibri"/>
      </rPr>
      <t xml:space="preserve">     password requisite pam_pwquality.so</t>
    </r>
  </si>
  <si>
    <r>
      <rPr>
        <sz val="11"/>
        <color rgb="FF000000"/>
        <rFont val="Calibri"/>
      </rPr>
      <t xml:space="preserve">Use of a complex password helps to increase the time and resources required to compromise the password. Password complexity, or strength, is a measure of the effectiveness of a password in resisting attempts at guessing and brute-force attacks. Use of "pwquality" enforces complex password construction configuration and has the ability to limit brute-force attacks on the system.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OL 8 uses "pwquality" as a mechanism to enforce password complexity. This is set in both of the following: </t>
    </r>
    <r>
      <rPr>
        <sz val="11"/>
        <color rgb="FF000000"/>
        <rFont val="Calibri"/>
      </rPr>
      <t xml:space="preserve">
</t>
    </r>
    <r>
      <rPr>
        <sz val="11"/>
        <color rgb="FF000000"/>
        <rFont val="Calibri"/>
      </rPr>
      <t xml:space="preserve">/etc/pam.d/password-auth </t>
    </r>
    <r>
      <rPr>
        <sz val="11"/>
        <color rgb="FF000000"/>
        <rFont val="Calibri"/>
      </rPr>
      <t xml:space="preserve">
</t>
    </r>
    <r>
      <rPr>
        <sz val="11"/>
        <color rgb="FF000000"/>
        <rFont val="Calibri"/>
      </rPr>
      <t xml:space="preserve">/etc/pam.d/system-auth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Satisfies: SRG-OS-000069-GPOS-00037, SRG-OS-000070-GPOS-00038</t>
    </r>
  </si>
  <si>
    <r>
      <rPr>
        <sz val="11"/>
        <color rgb="FF000000"/>
        <rFont val="Calibri"/>
      </rPr>
      <t xml:space="preserve">Verify the operating system uses "pwquality" to enforce the password complexity rules. </t>
    </r>
    <r>
      <rPr>
        <sz val="11"/>
        <color rgb="FF000000"/>
        <rFont val="Calibri"/>
      </rPr>
      <t xml:space="preserve">
</t>
    </r>
    <r>
      <rPr>
        <sz val="11"/>
        <color rgb="FF000000"/>
        <rFont val="Calibri"/>
      </rPr>
      <t>Check for the use of "pwquality" in the password-auth file with the following command:</t>
    </r>
    <r>
      <rPr>
        <sz val="11"/>
        <color rgb="FF000000"/>
        <rFont val="Calibri"/>
      </rPr>
      <t xml:space="preserve">
</t>
    </r>
    <r>
      <rPr>
        <sz val="11"/>
        <color rgb="FF000000"/>
        <rFont val="Calibri"/>
      </rPr>
      <t xml:space="preserve">     $ sudo cat /etc/pam.d/password-auth | grep pam_pwquality</t>
    </r>
    <r>
      <rPr>
        <sz val="11"/>
        <color rgb="FF000000"/>
        <rFont val="Calibri"/>
      </rPr>
      <t xml:space="preserve">
</t>
    </r>
    <r>
      <rPr>
        <sz val="11"/>
        <color rgb="FF000000"/>
        <rFont val="Calibri"/>
      </rPr>
      <t xml:space="preserve">     password requisite pam_pwquality.so </t>
    </r>
    <r>
      <rPr>
        <sz val="11"/>
        <color rgb="FF000000"/>
        <rFont val="Calibri"/>
      </rPr>
      <t xml:space="preserve">
</t>
    </r>
    <r>
      <rPr>
        <sz val="11"/>
        <color rgb="FF000000"/>
        <rFont val="Calibri"/>
      </rPr>
      <t>If the command does not return a line containing the value "pam_pwquality.so" as shown, or the line is commented out, this is a finding.</t>
    </r>
  </si>
  <si>
    <t>V-248687</t>
  </si>
  <si>
    <r>
      <rPr>
        <sz val="11"/>
        <rFont val="Calibri"/>
      </rPr>
      <t>OL 8 must enforce password complexity by requiring that at least one uppercase character be used.</t>
    </r>
  </si>
  <si>
    <r>
      <rPr>
        <sz val="11"/>
        <color rgb="FF000000"/>
        <rFont val="Calibri"/>
      </rPr>
      <t>Configure OL 8 to enforce password complexity by requiring that at least one uppercase character be used by setting the "ucredit" option.</t>
    </r>
    <r>
      <rPr>
        <sz val="11"/>
        <color rgb="FF000000"/>
        <rFont val="Calibri"/>
      </rPr>
      <t xml:space="preserve">
</t>
    </r>
    <r>
      <rPr>
        <sz val="11"/>
        <color rgb="FF000000"/>
        <rFont val="Calibri"/>
      </rPr>
      <t>Add or update the following line in the "/etc/security/pwquality.conf" file or a configuration file in the "/etc/security/pwquality.conf.d/" directory:</t>
    </r>
    <r>
      <rPr>
        <sz val="11"/>
        <color rgb="FF000000"/>
        <rFont val="Calibri"/>
      </rPr>
      <t xml:space="preserve">
</t>
    </r>
    <r>
      <rPr>
        <sz val="11"/>
        <color rgb="FF000000"/>
        <rFont val="Calibri"/>
      </rPr>
      <t>ucredit = -1</t>
    </r>
    <r>
      <rPr>
        <sz val="11"/>
        <color rgb="FF000000"/>
        <rFont val="Calibri"/>
      </rPr>
      <t xml:space="preserve">
</t>
    </r>
    <r>
      <rPr>
        <sz val="11"/>
        <color rgb="FF000000"/>
        <rFont val="Calibri"/>
      </rPr>
      <t>Remove any configurations that conflict with the above value.</t>
    </r>
  </si>
  <si>
    <r>
      <rPr>
        <sz val="11"/>
        <color rgb="FF000000"/>
        <rFont val="Calibri"/>
      </rPr>
      <t xml:space="preserve">Use of a complex password helps to increase the time and resources required to compromise the password. Password complexity, or strength, is a measure of the effectiveness of a password in resisting attempts at guessing and brute-force attacks.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Password complexity is one factor of several that determines how long it takes to crack a password. The more complex the password, the greater the number of possible combinations that need to be tested before the password is compromised.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OL 8 uses pwquality as a mechanism to enforce password complexity. Note that in order to require uppercase characters without degrading the "minlen" value, the credit value must be expressed as a negative number in "/etc/security/pwquality.conf".</t>
    </r>
    <r>
      <rPr>
        <sz val="11"/>
        <color rgb="FF000000"/>
        <rFont val="Calibri"/>
      </rPr>
      <t xml:space="preserve">
</t>
    </r>
    <r>
      <rPr>
        <sz val="11"/>
        <color rgb="FF000000"/>
        <rFont val="Calibri"/>
      </rPr>
      <t>Satisfies: SRG-OS-000069-GPOS-00037, SRG-OS-000070-GPOS-00038</t>
    </r>
  </si>
  <si>
    <r>
      <rPr>
        <sz val="11"/>
        <color rgb="FF000000"/>
        <rFont val="Calibri"/>
      </rPr>
      <t xml:space="preserve">Verify the value for "ucredit" in "/etc/security/pwquality.conf" or "/etc/security/pwquality.conf.d/*.conf" files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grep -r ucredit /etc/security/pwquality.conf*</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/etc/security/pwquality.conf:ucredit = -1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value of "ucredit" is a positive number or is commented out, this is a finding.</t>
    </r>
    <r>
      <rPr>
        <sz val="11"/>
        <color rgb="FF000000"/>
        <rFont val="Calibri"/>
      </rPr>
      <t xml:space="preserve">
</t>
    </r>
    <r>
      <rPr>
        <sz val="11"/>
        <color rgb="FF000000"/>
        <rFont val="Calibri"/>
      </rPr>
      <t>If conflicting results are returned, this is a finding.</t>
    </r>
  </si>
  <si>
    <t>V-248688</t>
  </si>
  <si>
    <r>
      <rPr>
        <sz val="11"/>
        <rFont val="Calibri"/>
      </rPr>
      <t>OL 8 must enforce password complexity by requiring that at least one lowercase character be used.</t>
    </r>
  </si>
  <si>
    <r>
      <rPr>
        <sz val="11"/>
        <color rgb="FF000000"/>
        <rFont val="Calibri"/>
      </rPr>
      <t>Configure OL 8 to enforce password complexity by requiring that at least one lowercase character be used by setting the "lcredit" option.</t>
    </r>
    <r>
      <rPr>
        <sz val="11"/>
        <color rgb="FF000000"/>
        <rFont val="Calibri"/>
      </rPr>
      <t xml:space="preserve">
</t>
    </r>
    <r>
      <rPr>
        <sz val="11"/>
        <color rgb="FF000000"/>
        <rFont val="Calibri"/>
      </rPr>
      <t>Add or update the following line in the "/etc/security/pwquality.conf" file or a configuration file in the "/etc/security/pwquality.conf.d/" directory:</t>
    </r>
    <r>
      <rPr>
        <sz val="11"/>
        <color rgb="FF000000"/>
        <rFont val="Calibri"/>
      </rPr>
      <t xml:space="preserve">
</t>
    </r>
    <r>
      <rPr>
        <sz val="11"/>
        <color rgb="FF000000"/>
        <rFont val="Calibri"/>
      </rPr>
      <t>lcredit = -1</t>
    </r>
    <r>
      <rPr>
        <sz val="11"/>
        <color rgb="FF000000"/>
        <rFont val="Calibri"/>
      </rPr>
      <t xml:space="preserve">
</t>
    </r>
    <r>
      <rPr>
        <sz val="11"/>
        <color rgb="FF000000"/>
        <rFont val="Calibri"/>
      </rPr>
      <t>Remove any configurations that conflict with the above value.</t>
    </r>
  </si>
  <si>
    <r>
      <rPr>
        <sz val="11"/>
        <color rgb="FF000000"/>
        <rFont val="Calibri"/>
      </rPr>
      <t xml:space="preserve">Use of a complex password helps to increase the time and resources required to compromise the password. Password complexity, or strength, is a measure of the effectiveness of a password in resisting attempts at guessing and brute-force attacks.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Password complexity is one factor of several that determines how long it takes to crack a password. The more complex the password, the greater the number of possible combinations that need to be tested before the password is compromised.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OL 8 uses pwquality as a mechanism to enforce password complexity. Note that in order to require lowercase characters without degrading the "minlen" value, the credit value must be expressed as a negative number in "/etc/security/pwquality.conf".</t>
    </r>
  </si>
  <si>
    <r>
      <rPr>
        <sz val="11"/>
        <color rgb="FF000000"/>
        <rFont val="Calibri"/>
      </rPr>
      <t xml:space="preserve">Verify the value for "lcredit" in "/etc/security/pwquality.conf" or "/etc/security/pwquality.conf.d/*.conf" files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grep -r lcredit /etc/security/pwquality.conf*</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/etc/security/pwquality.conf:lcredit = -1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value of "lcredit" is a positive number or is commented out, this is a finding.</t>
    </r>
    <r>
      <rPr>
        <sz val="11"/>
        <color rgb="FF000000"/>
        <rFont val="Calibri"/>
      </rPr>
      <t xml:space="preserve">
</t>
    </r>
    <r>
      <rPr>
        <sz val="11"/>
        <color rgb="FF000000"/>
        <rFont val="Calibri"/>
      </rPr>
      <t>If conflicting results are returned, this is a finding.</t>
    </r>
  </si>
  <si>
    <t>V-248689</t>
  </si>
  <si>
    <r>
      <rPr>
        <sz val="11"/>
        <rFont val="Calibri"/>
      </rPr>
      <t>OL 8 must enforce password complexity by requiring that at least one numeric character be used.</t>
    </r>
  </si>
  <si>
    <r>
      <rPr>
        <sz val="11"/>
        <color rgb="FF000000"/>
        <rFont val="Calibri"/>
      </rPr>
      <t>Configure OL 8 to enforce password complexity by requiring that at least one numeric character be used by setting the "dcredit" option.</t>
    </r>
    <r>
      <rPr>
        <sz val="11"/>
        <color rgb="FF000000"/>
        <rFont val="Calibri"/>
      </rPr>
      <t xml:space="preserve">
</t>
    </r>
    <r>
      <rPr>
        <sz val="11"/>
        <color rgb="FF000000"/>
        <rFont val="Calibri"/>
      </rPr>
      <t>Add or update the following line in the "/etc/security/pwquality.conf" file or a configuration file in the "/etc/security/pwquality.conf.d/" directory:</t>
    </r>
    <r>
      <rPr>
        <sz val="11"/>
        <color rgb="FF000000"/>
        <rFont val="Calibri"/>
      </rPr>
      <t xml:space="preserve">
</t>
    </r>
    <r>
      <rPr>
        <sz val="11"/>
        <color rgb="FF000000"/>
        <rFont val="Calibri"/>
      </rPr>
      <t>dcredit = -1</t>
    </r>
    <r>
      <rPr>
        <sz val="11"/>
        <color rgb="FF000000"/>
        <rFont val="Calibri"/>
      </rPr>
      <t xml:space="preserve">
</t>
    </r>
    <r>
      <rPr>
        <sz val="11"/>
        <color rgb="FF000000"/>
        <rFont val="Calibri"/>
      </rPr>
      <t>Remove any configurations that conflict with the above value.</t>
    </r>
  </si>
  <si>
    <r>
      <rPr>
        <sz val="11"/>
        <color rgb="FF000000"/>
        <rFont val="Calibri"/>
      </rPr>
      <t xml:space="preserve">Use of a complex password helps to increase the time and resources required to compromise the password. Password complexity, or strength, is a measure of the effectiveness of a password in resisting attempts at guessing and brute-force attacks.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Password complexity is one factor of several that determines how long it takes to crack a password. The more complex the password, the greater the number of possible combinations that need to be tested before the password is compromised.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OL 8 uses "pwquality" as a mechanism to enforce password complexity. Note that in order to require numeric characters without degrading the minlen value, the credit value must be expressed as a negative number in "/etc/security/pwquality.conf".</t>
    </r>
  </si>
  <si>
    <r>
      <rPr>
        <sz val="11"/>
        <color rgb="FF000000"/>
        <rFont val="Calibri"/>
      </rPr>
      <t xml:space="preserve">Verify the value for "dcredit" in "/etc/security/pwquality.conf" or "/etc/security/pwquality.conf.d/*.conf" files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grep -r dcredit /etc/security/pwquality.conf*</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/etc/security/pwquality.conf:dcredit = -1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value of "dcredit" is a positive number or is commented out, this is a finding.</t>
    </r>
    <r>
      <rPr>
        <sz val="11"/>
        <color rgb="FF000000"/>
        <rFont val="Calibri"/>
      </rPr>
      <t xml:space="preserve">
</t>
    </r>
    <r>
      <rPr>
        <sz val="11"/>
        <color rgb="FF000000"/>
        <rFont val="Calibri"/>
      </rPr>
      <t>If conflicting results are returned, this is a finding.</t>
    </r>
  </si>
  <si>
    <t>V-248690</t>
  </si>
  <si>
    <r>
      <rPr>
        <sz val="11"/>
        <rFont val="Calibri"/>
      </rPr>
      <t>OL 8 must require the maximum number of repeating characters of the same character class be limited to four when passwords are changed.</t>
    </r>
  </si>
  <si>
    <r>
      <rPr>
        <sz val="11"/>
        <color rgb="FF000000"/>
        <rFont val="Calibri"/>
      </rPr>
      <t>Configure OL 8 to require the change of the number of repeating characters of the same character class when passwords are changed by setting the "maxclassrepeat" option.</t>
    </r>
    <r>
      <rPr>
        <sz val="11"/>
        <color rgb="FF000000"/>
        <rFont val="Calibri"/>
      </rPr>
      <t xml:space="preserve">
</t>
    </r>
    <r>
      <rPr>
        <sz val="11"/>
        <color rgb="FF000000"/>
        <rFont val="Calibri"/>
      </rPr>
      <t>Add or update the following line in the "/etc/security/pwquality.conf" file or a configuration file in the "/etc/security/pwquality.conf.d/" directory:</t>
    </r>
    <r>
      <rPr>
        <sz val="11"/>
        <color rgb="FF000000"/>
        <rFont val="Calibri"/>
      </rPr>
      <t xml:space="preserve">
</t>
    </r>
    <r>
      <rPr>
        <sz val="11"/>
        <color rgb="FF000000"/>
        <rFont val="Calibri"/>
      </rPr>
      <t>maxclassrepeat = 4</t>
    </r>
    <r>
      <rPr>
        <sz val="11"/>
        <color rgb="FF000000"/>
        <rFont val="Calibri"/>
      </rPr>
      <t xml:space="preserve">
</t>
    </r>
    <r>
      <rPr>
        <sz val="11"/>
        <color rgb="FF000000"/>
        <rFont val="Calibri"/>
      </rPr>
      <t>Remove any configurations that conflict with the above value.</t>
    </r>
  </si>
  <si>
    <r>
      <rPr>
        <sz val="11"/>
        <color rgb="FF000000"/>
        <rFont val="Calibri"/>
      </rPr>
      <t xml:space="preserve">Use of a complex password helps to increase the time and resources required to compromise the password. Password complexity, or strength, is a measure of the effectiveness of a password in resisting attempts at guessing and brute-force attacks.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Password complexity is one factor of several that determines how long it takes to crack a password. The more complex the password, the greater the number of possible combinations that need to be tested before the password is compromised.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OL 8 uses "pwquality" as a mechanism to enforce password complexity. The "maxclassrepeat" option sets the maximum number of allowed same consecutive characters in the same class in the new password.</t>
    </r>
  </si>
  <si>
    <r>
      <rPr>
        <sz val="11"/>
        <color rgb="FF000000"/>
        <rFont val="Calibri"/>
      </rPr>
      <t xml:space="preserve">Check for the value of the "maxclassrepeat" option in "/etc/security/pwquality.conf" or "/etc/security/pwquality.conf.d/*.conf" files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grep -r maxclassrepeat /etc/security/pwquality.conf*</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/etc/security/pwquality.conf:maxclassrepeat = 4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value of "maxclassrepeat" is set to "0", more than "4" or is commented out, this is a finding.</t>
    </r>
    <r>
      <rPr>
        <sz val="11"/>
        <color rgb="FF000000"/>
        <rFont val="Calibri"/>
      </rPr>
      <t xml:space="preserve">
</t>
    </r>
    <r>
      <rPr>
        <sz val="11"/>
        <color rgb="FF000000"/>
        <rFont val="Calibri"/>
      </rPr>
      <t>If conflicting results are returned, this is a finding.</t>
    </r>
  </si>
  <si>
    <t>V-248691</t>
  </si>
  <si>
    <r>
      <rPr>
        <sz val="11"/>
        <rFont val="Calibri"/>
      </rPr>
      <t>OL 8 must require the maximum number of repeating characters be limited to three when passwords are changed.</t>
    </r>
  </si>
  <si>
    <r>
      <rPr>
        <sz val="11"/>
        <color rgb="FF000000"/>
        <rFont val="Calibri"/>
      </rPr>
      <t>Configure OL 8 to require the change of the number of repeating consecutive characters when passwords are changed by setting the "maxrepeat" option.</t>
    </r>
    <r>
      <rPr>
        <sz val="11"/>
        <color rgb="FF000000"/>
        <rFont val="Calibri"/>
      </rPr>
      <t xml:space="preserve">
</t>
    </r>
    <r>
      <rPr>
        <sz val="11"/>
        <color rgb="FF000000"/>
        <rFont val="Calibri"/>
      </rPr>
      <t>Add or update the following line in the "/etc/security/pwquality.conf" file or a configuration file in the "/etc/security/pwquality.conf.d/" directory:</t>
    </r>
    <r>
      <rPr>
        <sz val="11"/>
        <color rgb="FF000000"/>
        <rFont val="Calibri"/>
      </rPr>
      <t xml:space="preserve">
</t>
    </r>
    <r>
      <rPr>
        <sz val="11"/>
        <color rgb="FF000000"/>
        <rFont val="Calibri"/>
      </rPr>
      <t>maxrepeat = 3</t>
    </r>
    <r>
      <rPr>
        <sz val="11"/>
        <color rgb="FF000000"/>
        <rFont val="Calibri"/>
      </rPr>
      <t xml:space="preserve">
</t>
    </r>
    <r>
      <rPr>
        <sz val="11"/>
        <color rgb="FF000000"/>
        <rFont val="Calibri"/>
      </rPr>
      <t>Remove any configurations that conflict with the above value.</t>
    </r>
  </si>
  <si>
    <r>
      <rPr>
        <sz val="11"/>
        <color rgb="FF000000"/>
        <rFont val="Calibri"/>
      </rPr>
      <t xml:space="preserve">Use of a complex password helps to increase the time and resources required to compromise the password. Password complexity, or strength, is a measure of the effectiveness of a password in resisting attempts at guessing and brute-force attacks.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Password complexity is one factor of several that determines how long it takes to crack a password. The more complex the password, the greater the number of possible combinations that need to be tested before the password is compromised.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OL 8 uses "pwquality" as a mechanism to enforce password complexity. The "maxrepeat" option sets the maximum number of allowed same consecutive characters in a new password.</t>
    </r>
  </si>
  <si>
    <r>
      <rPr>
        <sz val="11"/>
        <color rgb="FF000000"/>
        <rFont val="Calibri"/>
      </rPr>
      <t xml:space="preserve">Check for the value of the "maxrepeat" option in "/etc/security/pwquality.conf" or "/etc/security/pwquality.conf.d/*.conf" files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grep -r maxrepeat /etc/security/pwquality.conf*</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/etc/security/pwquality.conf:maxrepeat = 3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value of "maxrepeat" is set to more than "3" or is commented out, this is a finding.</t>
    </r>
    <r>
      <rPr>
        <sz val="11"/>
        <color rgb="FF000000"/>
        <rFont val="Calibri"/>
      </rPr>
      <t xml:space="preserve">
</t>
    </r>
    <r>
      <rPr>
        <sz val="11"/>
        <color rgb="FF000000"/>
        <rFont val="Calibri"/>
      </rPr>
      <t>If conflicting results are returned, this is a finding.</t>
    </r>
  </si>
  <si>
    <t>V-248692</t>
  </si>
  <si>
    <r>
      <rPr>
        <sz val="11"/>
        <rFont val="Calibri"/>
      </rPr>
      <t>OL 8 must require the change of at least four character classes when passwords are changed.</t>
    </r>
  </si>
  <si>
    <r>
      <rPr>
        <sz val="11"/>
        <color rgb="FF000000"/>
        <rFont val="Calibri"/>
      </rPr>
      <t>Configure OL 8 to require the change of at least four character classes when passwords are changed by setting the "minclass" option.</t>
    </r>
    <r>
      <rPr>
        <sz val="11"/>
        <color rgb="FF000000"/>
        <rFont val="Calibri"/>
      </rPr>
      <t xml:space="preserve">
</t>
    </r>
    <r>
      <rPr>
        <sz val="11"/>
        <color rgb="FF000000"/>
        <rFont val="Calibri"/>
      </rPr>
      <t>Add or update the following line in the "/etc/security/pwquality.conf" file or a configuration file in the "/etc/security/pwquality.conf.d/" directory:</t>
    </r>
    <r>
      <rPr>
        <sz val="11"/>
        <color rgb="FF000000"/>
        <rFont val="Calibri"/>
      </rPr>
      <t xml:space="preserve">
</t>
    </r>
    <r>
      <rPr>
        <sz val="11"/>
        <color rgb="FF000000"/>
        <rFont val="Calibri"/>
      </rPr>
      <t>minclass = 4</t>
    </r>
    <r>
      <rPr>
        <sz val="11"/>
        <color rgb="FF000000"/>
        <rFont val="Calibri"/>
      </rPr>
      <t xml:space="preserve">
</t>
    </r>
    <r>
      <rPr>
        <sz val="11"/>
        <color rgb="FF000000"/>
        <rFont val="Calibri"/>
      </rPr>
      <t>Remove any configurations that conflict with the above value.</t>
    </r>
  </si>
  <si>
    <r>
      <rPr>
        <sz val="11"/>
        <color rgb="FF000000"/>
        <rFont val="Calibri"/>
      </rPr>
      <t xml:space="preserve">Use of a complex password helps to increase the time and resources required to compromise the password. Password complexity, or strength, is a measure of the effectiveness of a password in resisting attempts at guessing and brute-force attacks.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Password complexity is one factor of several that determines how long it takes to crack a password. The more complex the password, the greater the number of possible combinations that need to be tested before the password is compromised.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OL 8 uses "pwquality" as a mechanism to enforce password complexity. The "minclass" option sets the minimum number of required classes of characters for the new password (digits, uppercase, lowercase, others).</t>
    </r>
  </si>
  <si>
    <r>
      <rPr>
        <sz val="11"/>
        <color rgb="FF000000"/>
        <rFont val="Calibri"/>
      </rPr>
      <t xml:space="preserve">Verify the value of the "minclass" option in "/etc/security/pwquality.conf" or "/etc/security/pwquality.conf.d/*.conf" files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grep -r minclass /etc/security/pwquality.conf*</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/etc/security/pwquality.conf:minclass = 4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value of "minclass" is set to less than "4" or is commented out, this is a finding.</t>
    </r>
    <r>
      <rPr>
        <sz val="11"/>
        <color rgb="FF000000"/>
        <rFont val="Calibri"/>
      </rPr>
      <t xml:space="preserve">
</t>
    </r>
    <r>
      <rPr>
        <sz val="11"/>
        <color rgb="FF000000"/>
        <rFont val="Calibri"/>
      </rPr>
      <t>If conflicting results are returned, this is a finding.</t>
    </r>
  </si>
  <si>
    <t>V-248693</t>
  </si>
  <si>
    <r>
      <rPr>
        <sz val="11"/>
        <rFont val="Calibri"/>
      </rPr>
      <t>OL 8 must require the change of at least eight characters when passwords are changed.</t>
    </r>
  </si>
  <si>
    <r>
      <rPr>
        <sz val="11"/>
        <color rgb="FF000000"/>
        <rFont val="Calibri"/>
      </rPr>
      <t>Configure OL 8 to require the change of at least eight of the total number of characters when passwords are changed by setting the "difok" option.</t>
    </r>
    <r>
      <rPr>
        <sz val="11"/>
        <color rgb="FF000000"/>
        <rFont val="Calibri"/>
      </rPr>
      <t xml:space="preserve">
</t>
    </r>
    <r>
      <rPr>
        <sz val="11"/>
        <color rgb="FF000000"/>
        <rFont val="Calibri"/>
      </rPr>
      <t>Add or update the following line in the "/etc/security/pwquality.conf" file or a configuration file in the "/etc/security/pwquality.conf.d/" directory:</t>
    </r>
    <r>
      <rPr>
        <sz val="11"/>
        <color rgb="FF000000"/>
        <rFont val="Calibri"/>
      </rPr>
      <t xml:space="preserve">
</t>
    </r>
    <r>
      <rPr>
        <sz val="11"/>
        <color rgb="FF000000"/>
        <rFont val="Calibri"/>
      </rPr>
      <t>difok = 8</t>
    </r>
    <r>
      <rPr>
        <sz val="11"/>
        <color rgb="FF000000"/>
        <rFont val="Calibri"/>
      </rPr>
      <t xml:space="preserve">
</t>
    </r>
    <r>
      <rPr>
        <sz val="11"/>
        <color rgb="FF000000"/>
        <rFont val="Calibri"/>
      </rPr>
      <t>Remove any configurations that conflict with the above value.</t>
    </r>
  </si>
  <si>
    <r>
      <rPr>
        <sz val="11"/>
        <color rgb="FF000000"/>
        <rFont val="Calibri"/>
      </rPr>
      <t xml:space="preserve">Use of a complex password helps to increase the time and resources required to compromise the password. Password complexity, or strength, is a measure of the effectiveness of a password in resisting attempts at guessing and brute-force attacks.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Password complexity is one factor of several that determines how long it takes to crack a password. The more complex the password, the greater the number of possible combinations that need to be tested before the password is compromised.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OL 8 uses "pwquality" as a mechanism to enforce password complexity. The "difok" option sets the number of characters in a password that must not be present in the old password.</t>
    </r>
  </si>
  <si>
    <r>
      <rPr>
        <sz val="11"/>
        <color rgb="FF000000"/>
        <rFont val="Calibri"/>
      </rPr>
      <t xml:space="preserve">Verify the value of the "difok" option in "/etc/security/pwquality.conf" or "/etc/security/pwquality.conf.d/*.conf" files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grep -r difok /etc/security/pwquality.conf*</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/etc/security/pwquality.conf:difok = 8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value of "difok" is set to less than "8" or is commented out, this is a finding.</t>
    </r>
    <r>
      <rPr>
        <sz val="11"/>
        <color rgb="FF000000"/>
        <rFont val="Calibri"/>
      </rPr>
      <t xml:space="preserve">
</t>
    </r>
    <r>
      <rPr>
        <sz val="11"/>
        <color rgb="FF000000"/>
        <rFont val="Calibri"/>
      </rPr>
      <t>If conflicting results are returned, this is a finding.</t>
    </r>
  </si>
  <si>
    <t>V-248694</t>
  </si>
  <si>
    <r>
      <rPr>
        <sz val="11"/>
        <rFont val="Calibri"/>
      </rPr>
      <t xml:space="preserve">OL 8 passwords for new users or password changes must have a 24 hours/one day minimum password lifetime restriction in </t>
    </r>
    <r>
      <rPr>
        <sz val="11"/>
        <color rgb="FF000000"/>
        <rFont val="Calibri"/>
      </rPr>
      <t>"</t>
    </r>
    <r>
      <rPr>
        <b/>
        <sz val="11"/>
        <color rgb="FF000000"/>
        <rFont val="Calibri"/>
      </rPr>
      <t>/etc/shadow</t>
    </r>
    <r>
      <rPr>
        <sz val="11"/>
        <color rgb="FF000000"/>
        <rFont val="Calibri"/>
      </rPr>
      <t>"</t>
    </r>
    <r>
      <rPr>
        <sz val="11"/>
        <color rgb="FF000000"/>
        <rFont val="Calibri"/>
      </rPr>
      <t>.</t>
    </r>
  </si>
  <si>
    <r>
      <rPr>
        <sz val="11"/>
        <color rgb="FF000000"/>
        <rFont val="Calibri"/>
      </rPr>
      <t xml:space="preserve">Configure non-compliant accounts to enforce a 24 hours/one day minimum password lifetime: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chage -m 1 [user]</t>
    </r>
  </si>
  <si>
    <r>
      <rPr>
        <sz val="11"/>
        <color rgb="FF000000"/>
        <rFont val="Calibri"/>
      </rPr>
      <t>Enforcing a minimum password lifetime helps to prevent repeated password changes to defeat the password reuse or history enforcement requirement. If users are allowed to immediately and continually change their password, the password could be repeatedly changed in a short period of time to defeat the organization's policy regarding password reuse.</t>
    </r>
  </si>
  <si>
    <r>
      <rPr>
        <sz val="11"/>
        <color rgb="FF000000"/>
        <rFont val="Calibri"/>
      </rPr>
      <t xml:space="preserve">Verify the minimum time period between password changes for each user account is one day or greater.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awk -F: '$4 &lt; 1 {print $1 " " $4}' /etc/shadow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any results are returned that are not associated with a system account, this is a finding.</t>
    </r>
  </si>
  <si>
    <t>V-248695</t>
  </si>
  <si>
    <r>
      <rPr>
        <sz val="11"/>
        <rFont val="Calibri"/>
      </rPr>
      <t xml:space="preserve">OL 8 passwords for new users or password changes must have a 24 hours/one day minimum password lifetime restriction in </t>
    </r>
    <r>
      <rPr>
        <sz val="11"/>
        <color rgb="FF000000"/>
        <rFont val="Calibri"/>
      </rPr>
      <t>"</t>
    </r>
    <r>
      <rPr>
        <b/>
        <sz val="11"/>
        <color rgb="FF000000"/>
        <rFont val="Calibri"/>
      </rPr>
      <t>/etc/login.defs</t>
    </r>
    <r>
      <rPr>
        <sz val="11"/>
        <color rgb="FF000000"/>
        <rFont val="Calibri"/>
      </rPr>
      <t>"</t>
    </r>
    <r>
      <rPr>
        <sz val="11"/>
        <color rgb="FF000000"/>
        <rFont val="Calibri"/>
      </rPr>
      <t>.</t>
    </r>
  </si>
  <si>
    <r>
      <rPr>
        <sz val="11"/>
        <color rgb="FF000000"/>
        <rFont val="Calibri"/>
      </rPr>
      <t xml:space="preserve">Configure OL 8 to enforce 24 hours/one day as the minimum password lifetime.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the following line in "/etc/login.defs" (or modify the line to have the required value):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PASS_MIN_DAYS 1</t>
    </r>
  </si>
  <si>
    <r>
      <rPr>
        <sz val="11"/>
        <color rgb="FF000000"/>
        <rFont val="Calibri"/>
      </rPr>
      <t xml:space="preserve">Verify the operating system enforces 24 hours/one day as the minimum password lifetime for new user accounts.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Check for the value of "PASS_MIN_DAYS" in "/etc/login.defs"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grep -i pass_min_days /etc/login.defs </t>
    </r>
    <r>
      <rPr>
        <sz val="11"/>
        <color rgb="FF000000"/>
        <rFont val="Calibri"/>
      </rPr>
      <t xml:space="preserve">
</t>
    </r>
    <r>
      <rPr>
        <sz val="11"/>
        <color rgb="FF000000"/>
        <rFont val="Calibri"/>
      </rPr>
      <t xml:space="preserve">PASS_MIN_DAYS 1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"PASS_MIN_DAYS" parameter value is not "1" or greater or is commented out, this is a finding.</t>
    </r>
  </si>
  <si>
    <t>V-248696</t>
  </si>
  <si>
    <r>
      <rPr>
        <sz val="11"/>
        <rFont val="Calibri"/>
      </rPr>
      <t>OL 8 user account passwords must have a 60-day maximum password lifetime restriction.</t>
    </r>
  </si>
  <si>
    <r>
      <rPr>
        <sz val="11"/>
        <color rgb="FF000000"/>
        <rFont val="Calibri"/>
      </rPr>
      <t xml:space="preserve">Configure OL 8 to enforce a 60-day maximum password lifetime.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line in the "/etc/login.defs"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PASS_MAX_DAYS 60</t>
    </r>
  </si>
  <si>
    <r>
      <rPr>
        <sz val="11"/>
        <color rgb="FF000000"/>
        <rFont val="Calibri"/>
      </rPr>
      <t>Any password, no matter how complex, can eventually be cracked. Therefore, passwords need to be changed periodically. If OL 8 does not limit the lifetime of passwords and force users to change their passwords, there is the risk that OL 8 passwords could be compromised.</t>
    </r>
  </si>
  <si>
    <r>
      <rPr>
        <sz val="11"/>
        <color rgb="FF000000"/>
        <rFont val="Calibri"/>
      </rPr>
      <t>Verify that OL 8 enforces a 60-day maximum password lifetime for new user accounts by running the following command:</t>
    </r>
    <r>
      <rPr>
        <sz val="11"/>
        <color rgb="FF000000"/>
        <rFont val="Calibri"/>
      </rPr>
      <t xml:space="preserve">
</t>
    </r>
    <r>
      <rPr>
        <sz val="11"/>
        <color rgb="FF000000"/>
        <rFont val="Calibri"/>
      </rPr>
      <t>$ sudo grep -i pass_max_days /etc/login.defs</t>
    </r>
    <r>
      <rPr>
        <sz val="11"/>
        <color rgb="FF000000"/>
        <rFont val="Calibri"/>
      </rPr>
      <t xml:space="preserve">
</t>
    </r>
    <r>
      <rPr>
        <sz val="11"/>
        <color rgb="FF000000"/>
        <rFont val="Calibri"/>
      </rPr>
      <t>PASS_MAX_DAYS 60</t>
    </r>
    <r>
      <rPr>
        <sz val="11"/>
        <color rgb="FF000000"/>
        <rFont val="Calibri"/>
      </rPr>
      <t xml:space="preserve">
</t>
    </r>
    <r>
      <rPr>
        <sz val="11"/>
        <color rgb="FF000000"/>
        <rFont val="Calibri"/>
      </rPr>
      <t>If the "PASS_MAX_DAYS" parameter value is greater than "60", or commented out, this is a finding.</t>
    </r>
  </si>
  <si>
    <t>V-248697</t>
  </si>
  <si>
    <r>
      <rPr>
        <sz val="11"/>
        <rFont val="Calibri"/>
      </rPr>
      <t>OL 8 user account passwords must be configured so that existing passwords are restricted to a 60-day maximum lifetime.</t>
    </r>
  </si>
  <si>
    <r>
      <rPr>
        <sz val="11"/>
        <color rgb="FF000000"/>
        <rFont val="Calibri"/>
      </rPr>
      <t xml:space="preserve">Configure non-compliant accounts to enforce a 60-day maximum password lifetime restriction.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chage -M 60 [user]</t>
    </r>
  </si>
  <si>
    <r>
      <rPr>
        <sz val="11"/>
        <color rgb="FF000000"/>
        <rFont val="Calibri"/>
      </rPr>
      <t xml:space="preserve">Verify the maximum time period for existing passwords is restricted to 60 days with the following commands: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awk -F: '$5 &gt; 60 {print $1 " " $5}' /etc/shadow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awk -F: '$5 &lt;= 0 {print $1 " " $5}' /etc/shadow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any results are returned that are not associated with a system account, this is a finding.</t>
    </r>
  </si>
  <si>
    <t>V-248699</t>
  </si>
  <si>
    <r>
      <rPr>
        <sz val="11"/>
        <rFont val="Calibri"/>
      </rPr>
      <t>OL 8 passwords must have a minimum of 15 characters.</t>
    </r>
  </si>
  <si>
    <r>
      <rPr>
        <sz val="11"/>
        <color rgb="FF000000"/>
        <rFont val="Calibri"/>
      </rPr>
      <t>Configure OL 8 to enforce a minimum 15-character password length.</t>
    </r>
    <r>
      <rPr>
        <sz val="11"/>
        <color rgb="FF000000"/>
        <rFont val="Calibri"/>
      </rPr>
      <t xml:space="preserve">
</t>
    </r>
    <r>
      <rPr>
        <sz val="11"/>
        <color rgb="FF000000"/>
        <rFont val="Calibri"/>
      </rPr>
      <t>Add or update the following line in the "/etc/security/pwquality.conf" file or a configuration file in the "/etc/security/pwquality.conf.d/" directory:</t>
    </r>
    <r>
      <rPr>
        <sz val="11"/>
        <color rgb="FF000000"/>
        <rFont val="Calibri"/>
      </rPr>
      <t xml:space="preserve">
</t>
    </r>
    <r>
      <rPr>
        <sz val="11"/>
        <color rgb="FF000000"/>
        <rFont val="Calibri"/>
      </rPr>
      <t>minlen = 15</t>
    </r>
    <r>
      <rPr>
        <sz val="11"/>
        <color rgb="FF000000"/>
        <rFont val="Calibri"/>
      </rPr>
      <t xml:space="preserve">
</t>
    </r>
    <r>
      <rPr>
        <sz val="11"/>
        <color rgb="FF000000"/>
        <rFont val="Calibri"/>
      </rPr>
      <t>Remove any configurations that conflict with the above value.</t>
    </r>
  </si>
  <si>
    <r>
      <rPr>
        <sz val="11"/>
        <color rgb="FF000000"/>
        <rFont val="Calibri"/>
      </rPr>
      <t xml:space="preserve">Password complexity, or strength, is a measure of the effectiveness of a password in resisting attempts at guessing and brute-force attacks. Password length is one factor of several that helps to determine strength and how long it takes to crack a password. Use of more characters in a password helps to increase exponentially the time and/or resources required to compromise the password.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OL 8 uses "pwquality" as a mechanism to enforce password complexity. Configurations are set in the "etc/security/pwquality.conf"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 "minlen", sometimes noted as minimum length, acts as a "score" of complexity based on the credit components of the "pwquality" module. By setting the credit components to a negative value, not only will those components be required, but they will not count toward the total "score" of "minlen". This will enable "minlen" to require a 15-character minimum.</t>
    </r>
  </si>
  <si>
    <r>
      <rPr>
        <sz val="11"/>
        <color rgb="FF000000"/>
        <rFont val="Calibri"/>
      </rPr>
      <t xml:space="preserve">Verify the operating system enforces a minimum 15-character password length. The "minlen" option sets the minimum number of characters in a new password.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Check for the value of the "minlen" option in "/etc/security/pwquality.conf" or "/etc/security/pwquality.conf.d/*.conf" files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grep -r minlen /etc/security/pwquality.conf*</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/etc/security/pwquality.conf:minlen = 15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command does not return a "minlen" value of 15 or greater or is commented out, this is a finding.</t>
    </r>
    <r>
      <rPr>
        <sz val="11"/>
        <color rgb="FF000000"/>
        <rFont val="Calibri"/>
      </rPr>
      <t xml:space="preserve">
</t>
    </r>
    <r>
      <rPr>
        <sz val="11"/>
        <color rgb="FF000000"/>
        <rFont val="Calibri"/>
      </rPr>
      <t>If conflicting results are returned, this is a finding.</t>
    </r>
  </si>
  <si>
    <t>V-248701</t>
  </si>
  <si>
    <r>
      <rPr>
        <sz val="11"/>
        <rFont val="Calibri"/>
      </rPr>
      <t>OL 8 duplicate User IDs (UIDs) must not exist for interactive users.</t>
    </r>
  </si>
  <si>
    <r>
      <rPr>
        <sz val="11"/>
        <color rgb="FF000000"/>
        <rFont val="Calibri"/>
      </rPr>
      <t>Edit the file "/etc/passwd" and provide each interactive user account that has a duplicate UID with a unique UID.</t>
    </r>
  </si>
  <si>
    <r>
      <rPr>
        <sz val="11"/>
        <color rgb="FF000000"/>
        <rFont val="Calibri"/>
      </rPr>
      <t xml:space="preserve">To ensure accountability and prevent unauthenticated access, interactive users must be identified and authenticated to prevent potential misuse and compromise of the system.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Interactive users include organizational employees or individuals the organization deems to have equivalent status of employees (e.g., contractors). Interactive users (and processes acting on behalf of users) must be uniquely identified and authenticated to all accesses, except for the following: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1) Accesses explicitly identified and documented by the organization. Organizations document specific user actions that can be performed on the information system without identification or authentication; 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2) Accesses that occur through authorized use of group authenticators without individual authentication. Organizations may require unique identification of individuals in group accounts (e.g., shared privilege accounts) or for detailed accountability of individual activity.</t>
    </r>
    <r>
      <rPr>
        <sz val="11"/>
        <color rgb="FF000000"/>
        <rFont val="Calibri"/>
      </rPr>
      <t xml:space="preserve">
</t>
    </r>
    <r>
      <rPr>
        <sz val="11"/>
        <color rgb="FF000000"/>
        <rFont val="Calibri"/>
      </rPr>
      <t>Satisfies: SRG-OS-000042-GPOS-00020, SRG-OS-000104-GPOS-00051, SRG-OS-000121-GPOS-00062</t>
    </r>
  </si>
  <si>
    <r>
      <rPr>
        <sz val="11"/>
        <color rgb="FF000000"/>
        <rFont val="Calibri"/>
      </rPr>
      <t xml:space="preserve">Verify that OL 8 contains no duplicate UIDs for interactive users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awk -F ":" 'list[$3]++{print $1, $3}' /etc/passwd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output is produced and the accounts listed are interactive user accounts, this is a finding.</t>
    </r>
  </si>
  <si>
    <t>V-248702</t>
  </si>
  <si>
    <r>
      <rPr>
        <sz val="11"/>
        <rFont val="Calibri"/>
      </rPr>
      <t>OL 8 must implement multifactor authentication for access to interactive accounts.</t>
    </r>
  </si>
  <si>
    <r>
      <rPr>
        <sz val="11"/>
        <color rgb="FF000000"/>
        <rFont val="Calibri"/>
      </rPr>
      <t>Configure OL 8 to use multifactor authentication for local access to accounts.</t>
    </r>
    <r>
      <rPr>
        <sz val="11"/>
        <color rgb="FF000000"/>
        <rFont val="Calibri"/>
      </rPr>
      <t xml:space="preserve">
</t>
    </r>
    <r>
      <rPr>
        <sz val="11"/>
        <color rgb="FF000000"/>
        <rFont val="Calibri"/>
      </rPr>
      <t>Add or update the "pam_cert_auth" setting in the "/etc/sssd/sssd.conf" file to match the following line:</t>
    </r>
    <r>
      <rPr>
        <sz val="11"/>
        <color rgb="FF000000"/>
        <rFont val="Calibri"/>
      </rPr>
      <t xml:space="preserve">
</t>
    </r>
    <r>
      <rPr>
        <sz val="11"/>
        <color rgb="FF000000"/>
        <rFont val="Calibri"/>
      </rPr>
      <t xml:space="preserve">     [pam]</t>
    </r>
    <r>
      <rPr>
        <sz val="11"/>
        <color rgb="FF000000"/>
        <rFont val="Calibri"/>
      </rPr>
      <t xml:space="preserve">
</t>
    </r>
    <r>
      <rPr>
        <sz val="11"/>
        <color rgb="FF000000"/>
        <rFont val="Calibri"/>
      </rPr>
      <t xml:space="preserve">     pam_cert_auth = True</t>
    </r>
    <r>
      <rPr>
        <sz val="11"/>
        <color rgb="FF000000"/>
        <rFont val="Calibri"/>
      </rPr>
      <t xml:space="preserve">
</t>
    </r>
    <r>
      <rPr>
        <sz val="11"/>
        <color rgb="FF000000"/>
        <rFont val="Calibri"/>
      </rPr>
      <t>Add or update "pam_sss.so" with "try_cert_auth" or "require_cert_auth" in the "/etc/pam.d/system-auth" and "/etc/pam.d/smartcard-auth" files based on the following examples:</t>
    </r>
    <r>
      <rPr>
        <sz val="11"/>
        <color rgb="FF000000"/>
        <rFont val="Calibri"/>
      </rPr>
      <t xml:space="preserve">
</t>
    </r>
    <r>
      <rPr>
        <sz val="11"/>
        <color rgb="FF000000"/>
        <rFont val="Calibri"/>
      </rPr>
      <t xml:space="preserve">     /etc/pam.d/smartcard-auth:auth sufficient pam_sss.so try_cert_auth</t>
    </r>
    <r>
      <rPr>
        <sz val="11"/>
        <color rgb="FF000000"/>
        <rFont val="Calibri"/>
      </rPr>
      <t xml:space="preserve">
</t>
    </r>
    <r>
      <rPr>
        <sz val="11"/>
        <color rgb="FF000000"/>
        <rFont val="Calibri"/>
      </rPr>
      <t xml:space="preserve">     /etc/pam.d/system-auth:auth [success=done authinfo_unavail=ignore ignore=ignore default=die] pam_sss.so try_cert_auth</t>
    </r>
    <r>
      <rPr>
        <sz val="11"/>
        <color rgb="FF000000"/>
        <rFont val="Calibri"/>
      </rPr>
      <t xml:space="preserve">
</t>
    </r>
    <r>
      <rPr>
        <sz val="11"/>
        <color rgb="FF000000"/>
        <rFont val="Calibri"/>
      </rPr>
      <t>The "sssd" service must be restarted for the changes to take effect. To restart the "sssd" service, run the following command:</t>
    </r>
    <r>
      <rPr>
        <sz val="11"/>
        <color rgb="FF000000"/>
        <rFont val="Calibri"/>
      </rPr>
      <t xml:space="preserve">
</t>
    </r>
    <r>
      <rPr>
        <sz val="11"/>
        <color rgb="FF000000"/>
        <rFont val="Calibri"/>
      </rPr>
      <t xml:space="preserve">     $ sudo systemctl restart sssd.service</t>
    </r>
  </si>
  <si>
    <r>
      <rPr>
        <sz val="11"/>
        <color rgb="FF000000"/>
        <rFont val="Calibri"/>
      </rPr>
      <t xml:space="preserve">Using an authentication device, such as a Common Access Card (CAC) or token that is separate from the information system, ensures that even if the information system is compromised, that compromise will not affect credentials stored on the authentication device.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Multifactor solutions that require devices separate from information systems gaining access include, for example, hardware tokens providing time-based or challenge-response authenticators and smart cards such as the U.S. Government Personal Identity Verification card and the DOD CAC.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There are various methods of implementing multifactor authentication for OL 8. Some methods include a local system multifactor account mapping or joining the system to a domain and using an idM server or Microsoft Windows Active Directory server. Any of these methods will require that the client operating system handle the multifactor authentication correctly.</t>
    </r>
    <r>
      <rPr>
        <sz val="11"/>
        <color rgb="FF000000"/>
        <rFont val="Calibri"/>
      </rPr>
      <t xml:space="preserve">
</t>
    </r>
    <r>
      <rPr>
        <sz val="11"/>
        <color rgb="FF000000"/>
        <rFont val="Calibri"/>
      </rPr>
      <t>Satisfies: SRG-OS-000105-GPOS-00052, SRG-OS-000106-GPOS-00053, SRG-OS-000107-GPOS-00054, SRG-OS-000108-GPOS-00055</t>
    </r>
  </si>
  <si>
    <r>
      <rPr>
        <sz val="11"/>
        <color rgb="FF000000"/>
        <rFont val="Calibri"/>
      </rPr>
      <t>Verify OL 8 uses multifactor authentication for local access to accounts.</t>
    </r>
    <r>
      <rPr>
        <sz val="11"/>
        <color rgb="FF000000"/>
        <rFont val="Calibri"/>
      </rPr>
      <t xml:space="preserve">
</t>
    </r>
    <r>
      <rPr>
        <sz val="11"/>
        <color rgb="FF000000"/>
        <rFont val="Calibri"/>
      </rPr>
      <t>Note: If the system administrator (SA) demonstrates the use of an approved alternate multifactor authentication method, this requirement is Not Applicable.</t>
    </r>
    <r>
      <rPr>
        <sz val="11"/>
        <color rgb="FF000000"/>
        <rFont val="Calibri"/>
      </rPr>
      <t xml:space="preserve">
</t>
    </r>
    <r>
      <rPr>
        <sz val="11"/>
        <color rgb="FF000000"/>
        <rFont val="Calibri"/>
      </rPr>
      <t>Check that the "pam_cert_auth" setting is set to "true" in the "/etc/sssd/sssd.conf" file.</t>
    </r>
    <r>
      <rPr>
        <sz val="11"/>
        <color rgb="FF000000"/>
        <rFont val="Calibri"/>
      </rPr>
      <t xml:space="preserve">
</t>
    </r>
    <r>
      <rPr>
        <sz val="11"/>
        <color rgb="FF000000"/>
        <rFont val="Calibri"/>
      </rPr>
      <t>Check that the "try_cert_auth" or "require_cert_auth" options are configured in both "/etc/pam.d/system-auth" and "/etc/pam.d/smartcard-auth" files with the following command:</t>
    </r>
    <r>
      <rPr>
        <sz val="11"/>
        <color rgb="FF000000"/>
        <rFont val="Calibri"/>
      </rPr>
      <t xml:space="preserve">
</t>
    </r>
    <r>
      <rPr>
        <sz val="11"/>
        <color rgb="FF000000"/>
        <rFont val="Calibri"/>
      </rPr>
      <t xml:space="preserve">     $ sudo grep -ir cert_auth /etc/sssd/sssd.conf /etc/sssd/conf.d/*.conf /etc/pam.d/*</t>
    </r>
    <r>
      <rPr>
        <sz val="11"/>
        <color rgb="FF000000"/>
        <rFont val="Calibri"/>
      </rPr>
      <t xml:space="preserve">
</t>
    </r>
    <r>
      <rPr>
        <sz val="11"/>
        <color rgb="FF000000"/>
        <rFont val="Calibri"/>
      </rPr>
      <t xml:space="preserve">     /etc/sssd/sssd.conf:pam_cert_auth = True</t>
    </r>
    <r>
      <rPr>
        <sz val="11"/>
        <color rgb="FF000000"/>
        <rFont val="Calibri"/>
      </rPr>
      <t xml:space="preserve">
</t>
    </r>
    <r>
      <rPr>
        <sz val="11"/>
        <color rgb="FF000000"/>
        <rFont val="Calibri"/>
      </rPr>
      <t xml:space="preserve">     /etc/pam.d/smartcard-auth:auth sufficient pam_sss.so try_cert_auth</t>
    </r>
    <r>
      <rPr>
        <sz val="11"/>
        <color rgb="FF000000"/>
        <rFont val="Calibri"/>
      </rPr>
      <t xml:space="preserve">
</t>
    </r>
    <r>
      <rPr>
        <sz val="11"/>
        <color rgb="FF000000"/>
        <rFont val="Calibri"/>
      </rPr>
      <t xml:space="preserve">     /etc/pam.d/system-auth:auth [success=done authinfo_unavail=ignore ignore=ignore default=die] pam_sss.so try_cert_auth</t>
    </r>
    <r>
      <rPr>
        <sz val="11"/>
        <color rgb="FF000000"/>
        <rFont val="Calibri"/>
      </rPr>
      <t xml:space="preserve">
</t>
    </r>
    <r>
      <rPr>
        <sz val="11"/>
        <color rgb="FF000000"/>
        <rFont val="Calibri"/>
      </rPr>
      <t>If "pam_cert_auth" is not set to "true" in "/etc/sssd/sssd.conf", this is a finding.</t>
    </r>
    <r>
      <rPr>
        <sz val="11"/>
        <color rgb="FF000000"/>
        <rFont val="Calibri"/>
      </rPr>
      <t xml:space="preserve">
</t>
    </r>
    <r>
      <rPr>
        <sz val="11"/>
        <color rgb="FF000000"/>
        <rFont val="Calibri"/>
      </rPr>
      <t>If "pam_sss.so" is not set to "try_cert_auth" or "require_cert_auth" in both the "/etc/pam.d/smartcard-auth" and "/etc/pam.d/system-auth" files, this is a finding.</t>
    </r>
  </si>
  <si>
    <t>V-248703</t>
  </si>
  <si>
    <r>
      <rPr>
        <sz val="11"/>
        <rFont val="Calibri"/>
      </rPr>
      <t>The OL 8 system-auth file must disable access to the system for account identifiers (individuals, groups, roles, and devices) with 35 days of inactivity.</t>
    </r>
  </si>
  <si>
    <r>
      <rPr>
        <sz val="11"/>
        <color rgb="FF000000"/>
        <rFont val="Calibri"/>
      </rPr>
      <t xml:space="preserve">Configure OL 8 to disable access to the system for account identifiers with 35 days of inactivity.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Add/Modify the following line to "/etc/pam.d/system-auth" above the "pam_unix.so" statement: </t>
    </r>
    <r>
      <rPr>
        <sz val="11"/>
        <color rgb="FF000000"/>
        <rFont val="Calibri"/>
      </rPr>
      <t xml:space="preserve">
</t>
    </r>
    <r>
      <rPr>
        <sz val="11"/>
        <color rgb="FF000000"/>
        <rFont val="Calibri"/>
      </rPr>
      <t>auth      required      pam_lastlog.so inactive=35</t>
    </r>
    <r>
      <rPr>
        <sz val="11"/>
        <color rgb="FF000000"/>
        <rFont val="Calibri"/>
      </rPr>
      <t xml:space="preserve">
</t>
    </r>
    <r>
      <rPr>
        <sz val="11"/>
        <color rgb="FF000000"/>
        <rFont val="Calibri"/>
      </rPr>
      <t>Note: The DOD recommendation is 35 days, but a lower value is acceptable.</t>
    </r>
  </si>
  <si>
    <r>
      <rPr>
        <sz val="11"/>
        <color rgb="FF000000"/>
        <rFont val="Calibri"/>
      </rPr>
      <t xml:space="preserve">Inactive identifiers pose a risk to systems and applications because attackers may exploit an inactive identifier and potentially obtain undetected access to the system. Owners of inactive accounts will not notice if unauthorized access to their user account has been obtained.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OL 8 needs to track periods of inactivity and disable application identifiers after 35 days of inactivity.</t>
    </r>
  </si>
  <si>
    <r>
      <rPr>
        <sz val="11"/>
        <color rgb="FF000000"/>
        <rFont val="Calibri"/>
      </rPr>
      <t xml:space="preserve">Verify the account identifiers (individuals, groups, roles, and devices) are disabled after 35 days of inactivity by checking the account inactivity value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grep 'inactive\|pam_unix' /etc/pam.d/system-auth | grep -w auth</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auth      required      pam_lastlog.so inactive=35</t>
    </r>
    <r>
      <rPr>
        <sz val="11"/>
        <color rgb="FF000000"/>
        <rFont val="Calibri"/>
      </rPr>
      <t xml:space="preserve">
</t>
    </r>
    <r>
      <rPr>
        <sz val="11"/>
        <color rgb="FF000000"/>
        <rFont val="Calibri"/>
      </rPr>
      <t xml:space="preserve">auth      sufficient     pam_unix.so </t>
    </r>
    <r>
      <rPr>
        <sz val="11"/>
        <color rgb="FF000000"/>
        <rFont val="Calibri"/>
      </rPr>
      <t xml:space="preserve">
</t>
    </r>
    <r>
      <rPr>
        <sz val="11"/>
        <color rgb="FF000000"/>
        <rFont val="Calibri"/>
      </rPr>
      <t>If the pam_lastlog.so module is listed below the pam_unix.so module in the "system-auth" file, this is a finding.</t>
    </r>
    <r>
      <rPr>
        <sz val="11"/>
        <color rgb="FF000000"/>
        <rFont val="Calibri"/>
      </rPr>
      <t xml:space="preserve">
</t>
    </r>
    <r>
      <rPr>
        <sz val="11"/>
        <color rgb="FF000000"/>
        <rFont val="Calibri"/>
      </rPr>
      <t>If the value of "inactive" is set to zero, a negative number, or is greater than 35, this is a finding.</t>
    </r>
    <r>
      <rPr>
        <sz val="11"/>
        <color rgb="FF000000"/>
        <rFont val="Calibri"/>
      </rPr>
      <t xml:space="preserve">
</t>
    </r>
    <r>
      <rPr>
        <sz val="11"/>
        <color rgb="FF000000"/>
        <rFont val="Calibri"/>
      </rPr>
      <t>If the line is commented out or missing, ask the administrator to indicate how the system disables access for account identifiers. If there is no evidence that the system is disabling access for account identifiers after 35 days of inactivity, this is a finding.</t>
    </r>
  </si>
  <si>
    <t>V-248704</t>
  </si>
  <si>
    <r>
      <rPr>
        <sz val="11"/>
        <rFont val="Calibri"/>
      </rPr>
      <t>The OL 8 password-auth file must disable access to the system for account identifiers (individuals, groups, roles, and devices) with 35 days of inactivity.</t>
    </r>
  </si>
  <si>
    <r>
      <rPr>
        <sz val="11"/>
        <color rgb="FF000000"/>
        <rFont val="Calibri"/>
      </rPr>
      <t xml:space="preserve">Configure OL 8 to disable access to the system for account identifiers with 35 days of inactivity.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Add/Modify the following line to "/etc/pam.d/password-auth" above the "pam_unix.so" statement: </t>
    </r>
    <r>
      <rPr>
        <sz val="11"/>
        <color rgb="FF000000"/>
        <rFont val="Calibri"/>
      </rPr>
      <t xml:space="preserve">
</t>
    </r>
    <r>
      <rPr>
        <sz val="11"/>
        <color rgb="FF000000"/>
        <rFont val="Calibri"/>
      </rPr>
      <t>auth      required      pam_lastlog.so inactive=35</t>
    </r>
    <r>
      <rPr>
        <sz val="11"/>
        <color rgb="FF000000"/>
        <rFont val="Calibri"/>
      </rPr>
      <t xml:space="preserve">
</t>
    </r>
    <r>
      <rPr>
        <sz val="11"/>
        <color rgb="FF000000"/>
        <rFont val="Calibri"/>
      </rPr>
      <t>Note: The DOD recommendation is 35 days, but a lower value is acceptable.</t>
    </r>
  </si>
  <si>
    <r>
      <rPr>
        <sz val="11"/>
        <color rgb="FF000000"/>
        <rFont val="Calibri"/>
      </rPr>
      <t xml:space="preserve">Verify the account identifiers (individuals, groups, roles, and devices) are disabled after 35 days of inactivity by checking the account inactivity value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grep 'inactive\|pam_unix' /etc/pam.d/password-auth | grep -w auth</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auth      required      pam_lastlog.so inactive=35</t>
    </r>
    <r>
      <rPr>
        <sz val="11"/>
        <color rgb="FF000000"/>
        <rFont val="Calibri"/>
      </rPr>
      <t xml:space="preserve">
</t>
    </r>
    <r>
      <rPr>
        <sz val="11"/>
        <color rgb="FF000000"/>
        <rFont val="Calibri"/>
      </rPr>
      <t xml:space="preserve">auth      sufficient     pam_unix.so </t>
    </r>
    <r>
      <rPr>
        <sz val="11"/>
        <color rgb="FF000000"/>
        <rFont val="Calibri"/>
      </rPr>
      <t xml:space="preserve">
</t>
    </r>
    <r>
      <rPr>
        <sz val="11"/>
        <color rgb="FF000000"/>
        <rFont val="Calibri"/>
      </rPr>
      <t>If the pam_lastlog.so module is listed below the pam_unix.so module in the "password-auth" file, this is a finding.</t>
    </r>
    <r>
      <rPr>
        <sz val="11"/>
        <color rgb="FF000000"/>
        <rFont val="Calibri"/>
      </rPr>
      <t xml:space="preserve">
</t>
    </r>
    <r>
      <rPr>
        <sz val="11"/>
        <color rgb="FF000000"/>
        <rFont val="Calibri"/>
      </rPr>
      <t>If the value of "inactive" is set to zero, a negative number, or is greater than 35, this is a finding.</t>
    </r>
    <r>
      <rPr>
        <sz val="11"/>
        <color rgb="FF000000"/>
        <rFont val="Calibri"/>
      </rPr>
      <t xml:space="preserve">
</t>
    </r>
    <r>
      <rPr>
        <sz val="11"/>
        <color rgb="FF000000"/>
        <rFont val="Calibri"/>
      </rPr>
      <t>If the line is commented out or missing, ask the administrator to indicate how the system disables access for account identifiers. If there is no evidence that the system is disabling access for account identifiers after 35 days of inactivity, this is a finding.</t>
    </r>
  </si>
  <si>
    <t>V-248706</t>
  </si>
  <si>
    <r>
      <rPr>
        <sz val="11"/>
        <rFont val="Calibri"/>
      </rPr>
      <t>The OL 8 lastlog command must be owned by root.</t>
    </r>
  </si>
  <si>
    <r>
      <rPr>
        <sz val="11"/>
        <color rgb="FF000000"/>
        <rFont val="Calibri"/>
      </rPr>
      <t xml:space="preserve">Configure the "lastlog" command for OL 8 to be owned by root with the following command:   </t>
    </r>
    <r>
      <rPr>
        <sz val="11"/>
        <color rgb="FF000000"/>
        <rFont val="Calibri"/>
      </rPr>
      <t xml:space="preserve">
</t>
    </r>
    <r>
      <rPr>
        <sz val="11"/>
        <color rgb="FF000000"/>
        <rFont val="Calibri"/>
      </rPr>
      <t>$ sudo chown root /usr/bin/lastlog</t>
    </r>
  </si>
  <si>
    <r>
      <rPr>
        <sz val="11"/>
        <color rgb="FF000000"/>
        <rFont val="Calibri"/>
      </rPr>
      <t>Unauthorized disclosure of the contents of the /var/log/lastlog file can reveal system data to attackers, thus compromising its confidentiality.</t>
    </r>
  </si>
  <si>
    <r>
      <rPr>
        <sz val="11"/>
        <color rgb="FF000000"/>
        <rFont val="Calibri"/>
      </rPr>
      <t xml:space="preserve">Verify the "lastlog" command is owned by root with the following command:  </t>
    </r>
    <r>
      <rPr>
        <sz val="11"/>
        <color rgb="FF000000"/>
        <rFont val="Calibri"/>
      </rPr>
      <t xml:space="preserve">
</t>
    </r>
    <r>
      <rPr>
        <sz val="11"/>
        <color rgb="FF000000"/>
        <rFont val="Calibri"/>
      </rPr>
      <t xml:space="preserve">$ sudo ls -l /usr/bin/lastlog </t>
    </r>
    <r>
      <rPr>
        <sz val="11"/>
        <color rgb="FF000000"/>
        <rFont val="Calibri"/>
      </rPr>
      <t xml:space="preserve">
</t>
    </r>
    <r>
      <rPr>
        <sz val="11"/>
        <color rgb="FF000000"/>
        <rFont val="Calibri"/>
      </rPr>
      <t xml:space="preserve">-rwxr-x---. 1  root  root  21200 Nov  4   22:51  /usr/bin/lastlog </t>
    </r>
    <r>
      <rPr>
        <sz val="11"/>
        <color rgb="FF000000"/>
        <rFont val="Calibri"/>
      </rPr>
      <t xml:space="preserve">
</t>
    </r>
    <r>
      <rPr>
        <sz val="11"/>
        <color rgb="FF000000"/>
        <rFont val="Calibri"/>
      </rPr>
      <t>If the "lastlog" command is not owned by root, this is a finding.</t>
    </r>
  </si>
  <si>
    <t>V-248707</t>
  </si>
  <si>
    <r>
      <rPr>
        <sz val="11"/>
        <rFont val="Calibri"/>
      </rPr>
      <t>The OL 8 lastlog command must be group-owned by root.</t>
    </r>
  </si>
  <si>
    <r>
      <rPr>
        <sz val="11"/>
        <color rgb="FF000000"/>
        <rFont val="Calibri"/>
      </rPr>
      <t xml:space="preserve">Configure the "lastlog" command for OL 8 to be group-owned by root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chgrp root /usr/bin/lastlog</t>
    </r>
  </si>
  <si>
    <r>
      <rPr>
        <sz val="11"/>
        <color rgb="FF000000"/>
        <rFont val="Calibri"/>
      </rPr>
      <t xml:space="preserve">Verify the "lastlog" command is group-owned by root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ls -l /usr/bin/lastlog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-rwxr-x---. 1  root  root  21200 Nov  4   22:51  /usr/bin/lastlog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"lastlog" command is not group-owned by root, this is a finding.</t>
    </r>
  </si>
  <si>
    <t>V-248708</t>
  </si>
  <si>
    <r>
      <rPr>
        <sz val="11"/>
        <rFont val="Calibri"/>
      </rPr>
      <t>OL 8 must automatically expire temporary accounts within 72 hours.</t>
    </r>
  </si>
  <si>
    <r>
      <rPr>
        <sz val="11"/>
        <color rgb="FF000000"/>
        <rFont val="Calibri"/>
      </rPr>
      <t>Configure the operating system to expire temporary accounts after 72 hours with the following command:</t>
    </r>
    <r>
      <rPr>
        <sz val="11"/>
        <color rgb="FF000000"/>
        <rFont val="Calibri"/>
      </rPr>
      <t xml:space="preserve">
</t>
    </r>
    <r>
      <rPr>
        <sz val="11"/>
        <color rgb="FF000000"/>
        <rFont val="Calibri"/>
      </rPr>
      <t xml:space="preserve">     $ sudo chage -E $(date -d +3days +%Y-%m-%d) &lt;temporary_account_name&gt;</t>
    </r>
  </si>
  <si>
    <r>
      <rPr>
        <sz val="11"/>
        <color rgb="FF000000"/>
        <rFont val="Calibri"/>
      </rPr>
      <t>Temporary accounts are privileged or nonprivileged accounts that are established during pressing circumstances, such as new software or hardware configuration or an incident response, where the need for prompt account activation requires bypassing normal account authorization procedures. If any inactive temporary accounts are left enabled on the system and are not either manually removed or automatically expired within 72 hours, the security posture of the system will be degraded and exposed to expoitation by unauthorized users or insider threat actors.</t>
    </r>
    <r>
      <rPr>
        <sz val="11"/>
        <color rgb="FF000000"/>
        <rFont val="Calibri"/>
      </rPr>
      <t xml:space="preserve">
</t>
    </r>
    <r>
      <rPr>
        <sz val="11"/>
        <color rgb="FF000000"/>
        <rFont val="Calibri"/>
      </rPr>
      <t>Temporary accounts are different from emergency accounts. Emergency accounts, also known as "last resort" or "break glass" accounts, are local logon accounts enabled on the system for emergency use by authorized system administrators to manage a system when standard logon methods are failing or not available. Emergency accounts are not subject to manual removal or scheduled expiration requirements.</t>
    </r>
    <r>
      <rPr>
        <sz val="11"/>
        <color rgb="FF000000"/>
        <rFont val="Calibri"/>
      </rPr>
      <t xml:space="preserve">
</t>
    </r>
    <r>
      <rPr>
        <sz val="11"/>
        <color rgb="FF000000"/>
        <rFont val="Calibri"/>
      </rPr>
      <t>The automatic expiration of temporary accounts may be extended as needed by the circumstances but it must not be extended indefinitely. A documented permanent account should be established for privileged users who need long-term maintenance accounts.</t>
    </r>
  </si>
  <si>
    <r>
      <rPr>
        <sz val="11"/>
        <color rgb="FF000000"/>
        <rFont val="Calibri"/>
      </rPr>
      <t>Verify temporary accounts have been provisioned with an expiration date of 72 hours.</t>
    </r>
    <r>
      <rPr>
        <sz val="11"/>
        <color rgb="FF000000"/>
        <rFont val="Calibri"/>
      </rPr>
      <t xml:space="preserve">
</t>
    </r>
    <r>
      <rPr>
        <sz val="11"/>
        <color rgb="FF000000"/>
        <rFont val="Calibri"/>
      </rPr>
      <t>For every existing temporary account, run the following command to obtain its account expiration information:</t>
    </r>
    <r>
      <rPr>
        <sz val="11"/>
        <color rgb="FF000000"/>
        <rFont val="Calibri"/>
      </rPr>
      <t xml:space="preserve">
</t>
    </r>
    <r>
      <rPr>
        <sz val="11"/>
        <color rgb="FF000000"/>
        <rFont val="Calibri"/>
      </rPr>
      <t xml:space="preserve">     $ sudo chage -l &lt;temporary_account_name&gt; | grep -i "account expires"</t>
    </r>
    <r>
      <rPr>
        <sz val="11"/>
        <color rgb="FF000000"/>
        <rFont val="Calibri"/>
      </rPr>
      <t xml:space="preserve">
</t>
    </r>
    <r>
      <rPr>
        <sz val="11"/>
        <color rgb="FF000000"/>
        <rFont val="Calibri"/>
      </rPr>
      <t>Verify each of these accounts has an expiration date set within 72 hours.</t>
    </r>
    <r>
      <rPr>
        <sz val="11"/>
        <color rgb="FF000000"/>
        <rFont val="Calibri"/>
      </rPr>
      <t xml:space="preserve">
</t>
    </r>
    <r>
      <rPr>
        <sz val="11"/>
        <color rgb="FF000000"/>
        <rFont val="Calibri"/>
      </rPr>
      <t>If any temporary accounts have no expiration date set or do not expire within 72 hours, this is a finding.</t>
    </r>
  </si>
  <si>
    <t>V-248709</t>
  </si>
  <si>
    <r>
      <rPr>
        <sz val="11"/>
        <rFont val="Calibri"/>
      </rPr>
      <t>All OL 8 passwords must contain at least one special character.</t>
    </r>
  </si>
  <si>
    <r>
      <rPr>
        <sz val="11"/>
        <color rgb="FF000000"/>
        <rFont val="Calibri"/>
      </rPr>
      <t>Configure OL 8 to enforce password complexity by requiring that at least one special character be used by setting the "ocredit" option.</t>
    </r>
    <r>
      <rPr>
        <sz val="11"/>
        <color rgb="FF000000"/>
        <rFont val="Calibri"/>
      </rPr>
      <t xml:space="preserve">
</t>
    </r>
    <r>
      <rPr>
        <sz val="11"/>
        <color rgb="FF000000"/>
        <rFont val="Calibri"/>
      </rPr>
      <t>Add or update the following line in the "/etc/security/pwquality.conf" file or a configuration file in the "/etc/security/pwquality.conf.d/" directory:</t>
    </r>
    <r>
      <rPr>
        <sz val="11"/>
        <color rgb="FF000000"/>
        <rFont val="Calibri"/>
      </rPr>
      <t xml:space="preserve">
</t>
    </r>
    <r>
      <rPr>
        <sz val="11"/>
        <color rgb="FF000000"/>
        <rFont val="Calibri"/>
      </rPr>
      <t>ocredit = -1</t>
    </r>
    <r>
      <rPr>
        <sz val="11"/>
        <color rgb="FF000000"/>
        <rFont val="Calibri"/>
      </rPr>
      <t xml:space="preserve">
</t>
    </r>
    <r>
      <rPr>
        <sz val="11"/>
        <color rgb="FF000000"/>
        <rFont val="Calibri"/>
      </rPr>
      <t>Remove any configurations that conflict with the above value.</t>
    </r>
  </si>
  <si>
    <r>
      <rPr>
        <sz val="11"/>
        <color rgb="FF000000"/>
        <rFont val="Calibri"/>
      </rPr>
      <t xml:space="preserve">Use of a complex password helps to increase the time and resources required to compromise the password. Password complexity, or strength, is a measure of the effectiveness of a password in resisting attempts at guessing and brute-force attacks.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Password complexity is one factor of several that determines how long it takes to crack a password. The more complex the password, the greater the number of possible combinations that need to be tested before the password is compromised.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OL 8 uses "pwquality" as a mechanism to enforce password complexity. Note that to require special characters without degrading the "minlen" value, the credit value must be expressed as a negative number in "/etc/security/pwquality.conf".</t>
    </r>
  </si>
  <si>
    <r>
      <rPr>
        <sz val="11"/>
        <color rgb="FF000000"/>
        <rFont val="Calibri"/>
      </rPr>
      <t xml:space="preserve">Verify the value for "ocredit" in "/etc/security/pwquality.conf" or "/etc/security/pwquality.conf.d/*.conf" files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grep -r ocredit /etc/security/pwquality.conf*</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/etc/security/pwquality.conf:ocredit = -1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value of "ocredit" is a positive number or is commented out, this is a finding.</t>
    </r>
    <r>
      <rPr>
        <sz val="11"/>
        <color rgb="FF000000"/>
        <rFont val="Calibri"/>
      </rPr>
      <t xml:space="preserve">
</t>
    </r>
    <r>
      <rPr>
        <sz val="11"/>
        <color rgb="FF000000"/>
        <rFont val="Calibri"/>
      </rPr>
      <t>If conflicting results are returned, this is a finding.</t>
    </r>
  </si>
  <si>
    <t>V-248710</t>
  </si>
  <si>
    <r>
      <rPr>
        <sz val="11"/>
        <rFont val="Calibri"/>
      </rPr>
      <t>OL 8 must prohibit the use of cached authentications after one day.</t>
    </r>
  </si>
  <si>
    <r>
      <rPr>
        <sz val="11"/>
        <color rgb="FF000000"/>
        <rFont val="Calibri"/>
      </rPr>
      <t xml:space="preserve">Configure the SSSD to prohibit the use of cached authentications after one day.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change the following line in "/etc/sssd/sssd.conf" just below the line "[pam]".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offline_credentials_expiration = 1</t>
    </r>
  </si>
  <si>
    <r>
      <rPr>
        <sz val="11"/>
        <color rgb="FF000000"/>
        <rFont val="Calibri"/>
      </rPr>
      <t xml:space="preserve">If cached authentication information is out of date, the validity of the authentication information may be questionable.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OL 8 includes multiple options for configuring authentication, but this requirement will focus on the System Security Services Daemon (SSSD). By default, SSSD does not cache credentials.</t>
    </r>
  </si>
  <si>
    <r>
      <rPr>
        <sz val="11"/>
        <color rgb="FF000000"/>
        <rFont val="Calibri"/>
      </rPr>
      <t>Verify that the SSSD prohibits the use of cached authentications after one day.</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If smart card authentication is not being used on the system, this item is not applicable.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Check that SSSD allows cached authentications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grep -ir cache_credentials /etc/sssd/sssd.conf /etc/sssd/conf.d/*.conf</t>
    </r>
    <r>
      <rPr>
        <sz val="11"/>
        <color rgb="FF000000"/>
        <rFont val="Calibri"/>
      </rPr>
      <t xml:space="preserve">
</t>
    </r>
    <r>
      <rPr>
        <sz val="11"/>
        <color rgb="FF000000"/>
        <rFont val="Calibri"/>
      </rPr>
      <t xml:space="preserve">     cache_credentials = true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"cache_credentials" is set to "false" or is missing from the configuration file, this is not a finding and no further checks are required.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"cache_credentials" is set to "true", check that SSSD prohibits the use of cached authentications after one day with the following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grep -ir offline_credentials_expiration /etc/sssd/sssd.conf /etc/sssd/conf.d/*.conf</t>
    </r>
    <r>
      <rPr>
        <sz val="11"/>
        <color rgb="FF000000"/>
        <rFont val="Calibri"/>
      </rPr>
      <t xml:space="preserve">
</t>
    </r>
    <r>
      <rPr>
        <sz val="11"/>
        <color rgb="FF000000"/>
        <rFont val="Calibri"/>
      </rPr>
      <t xml:space="preserve">     offline_credentials_expiration = 1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"offline_credentials_expiration" is not set to a value of "1", this is a finding.</t>
    </r>
  </si>
  <si>
    <t>V-248711</t>
  </si>
  <si>
    <r>
      <rPr>
        <sz val="11"/>
        <rFont val="Calibri"/>
      </rPr>
      <t>OL 8 must prevent the use of dictionary words for passwords.</t>
    </r>
  </si>
  <si>
    <r>
      <rPr>
        <sz val="11"/>
        <color rgb="FF000000"/>
        <rFont val="Calibri"/>
      </rPr>
      <t>Configure OL 8 to prevent the use of dictionary words for passwords.</t>
    </r>
    <r>
      <rPr>
        <sz val="11"/>
        <color rgb="FF000000"/>
        <rFont val="Calibri"/>
      </rPr>
      <t xml:space="preserve">
</t>
    </r>
    <r>
      <rPr>
        <sz val="11"/>
        <color rgb="FF000000"/>
        <rFont val="Calibri"/>
      </rPr>
      <t>Add or update the following line in the "/etc/security/pwquality.conf" file or a configuration file in the "/etc/security/pwquality.conf.d/" directory:</t>
    </r>
    <r>
      <rPr>
        <sz val="11"/>
        <color rgb="FF000000"/>
        <rFont val="Calibri"/>
      </rPr>
      <t xml:space="preserve">
</t>
    </r>
    <r>
      <rPr>
        <sz val="11"/>
        <color rgb="FF000000"/>
        <rFont val="Calibri"/>
      </rPr>
      <t>dictcheck=1</t>
    </r>
    <r>
      <rPr>
        <sz val="11"/>
        <color rgb="FF000000"/>
        <rFont val="Calibri"/>
      </rPr>
      <t xml:space="preserve">
</t>
    </r>
    <r>
      <rPr>
        <sz val="11"/>
        <color rgb="FF000000"/>
        <rFont val="Calibri"/>
      </rPr>
      <t>Remove any configurations that conflict with the above value.</t>
    </r>
  </si>
  <si>
    <r>
      <rPr>
        <sz val="11"/>
        <color rgb="FF000000"/>
        <rFont val="Calibri"/>
      </rPr>
      <t>If OL 8 allows the user to select passwords based on dictionary words, this increases the chances of password compromise by increasing the opportunity for successful guesses and brute-force attacks.</t>
    </r>
  </si>
  <si>
    <r>
      <rPr>
        <sz val="11"/>
        <color rgb="FF000000"/>
        <rFont val="Calibri"/>
      </rPr>
      <t xml:space="preserve">Verify OL 8 prevents the use of dictionary words for passwords.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Determine if the field "dictcheck" is set in the "/etc/security/pwquality.conf" or "/etc/security/pwquality.conf.d/*.conf" files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grep -r dictcheck /etc/security/pwquality.conf*</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/etc/security/pwquality.conf:dictcheck=1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"dictcheck" parameter is not set to "1" or is commented out, this is a finding.</t>
    </r>
    <r>
      <rPr>
        <sz val="11"/>
        <color rgb="FF000000"/>
        <rFont val="Calibri"/>
      </rPr>
      <t xml:space="preserve">
</t>
    </r>
    <r>
      <rPr>
        <sz val="11"/>
        <color rgb="FF000000"/>
        <rFont val="Calibri"/>
      </rPr>
      <t>If conflicting results are returned, this is a finding.</t>
    </r>
  </si>
  <si>
    <t>V-248712</t>
  </si>
  <si>
    <r>
      <rPr>
        <sz val="11"/>
        <rFont val="Calibri"/>
      </rPr>
      <t>OL 8 must enforce a delay of at least four seconds between logon prompts following a failed logon attempt.</t>
    </r>
  </si>
  <si>
    <r>
      <rPr>
        <sz val="11"/>
        <color rgb="FF000000"/>
        <rFont val="Calibri"/>
      </rPr>
      <t xml:space="preserve">Configure OL 8 to enforce a delay of at least four seconds between logon prompts following a failed console logon attempt.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Modify the "/etc/login.defs" file to set the "FAIL_DELAY" parameter to "4" or greater: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FAIL_DELAY 4</t>
    </r>
  </si>
  <si>
    <r>
      <rPr>
        <sz val="11"/>
        <color rgb="FF000000"/>
        <rFont val="Calibri"/>
      </rPr>
      <t xml:space="preserve">Configuring the operating system to implement organization-wide security implementation guides and security checklists verifies compliance with federal standards and establishes a common security baseline across the DoD that reflects the most restrictive security posture consistent with operational requirements.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Configuration settings are the set of parameters that can be changed in hardware, software, or firmware components of the system that affect the security posture and/or functionality of the system. Security-related parameters are parameters impacting the security state of the system, including the parameters required to satisfy other security control requirements. Security-related parameters include, for example, registry settings; account, file, and directory permission settings; and settings for functions, ports, protocols, services, and remote connections.</t>
    </r>
  </si>
  <si>
    <r>
      <rPr>
        <sz val="11"/>
        <color rgb="FF000000"/>
        <rFont val="Calibri"/>
      </rPr>
      <t xml:space="preserve">Verify the operating system enforces a delay of at least four seconds between console logon prompts following a failed logon attempt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grep -i fail_delay /etc/login.defs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FAIL_DELAY 4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value of "FAIL_DELAY" is not set to "4" or greater or the line is commented out, this is a finding.</t>
    </r>
  </si>
  <si>
    <t>V-248713</t>
  </si>
  <si>
    <r>
      <rPr>
        <sz val="11"/>
        <rFont val="Calibri"/>
      </rPr>
      <t>OL 8 must not have unnecessary accounts.</t>
    </r>
  </si>
  <si>
    <r>
      <rPr>
        <sz val="11"/>
        <color rgb="FF000000"/>
        <rFont val="Calibri"/>
      </rPr>
      <t xml:space="preserve">Configure the system so all accounts on the system are assigned to an active system, application, or user account.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Remove accounts that do not support approved system activities or that allow for a normal user to perform administrative-level actions.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Document all authorized accounts on the system.</t>
    </r>
  </si>
  <si>
    <r>
      <rPr>
        <sz val="11"/>
        <color rgb="FF000000"/>
        <rFont val="Calibri"/>
      </rPr>
      <t>Accounts providing no operational purpose provide additional opportunities for system compromise. Unnecessary accounts include user accounts for individuals not requiring access to the system and application accounts for applications not installed on the system.</t>
    </r>
  </si>
  <si>
    <r>
      <rPr>
        <sz val="11"/>
        <color rgb="FF000000"/>
        <rFont val="Calibri"/>
      </rPr>
      <t xml:space="preserve">Verify all accounts on the system are assigned to an active system, application, or user account.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Obtain the list of authorized system accounts from the Information System Security Officer (ISSO).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Check the system accounts on the system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more /etc/passwd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root:x:0:0:root:/root:/bin/bash </t>
    </r>
    <r>
      <rPr>
        <sz val="11"/>
        <color rgb="FF000000"/>
        <rFont val="Calibri"/>
      </rPr>
      <t xml:space="preserve">
</t>
    </r>
    <r>
      <rPr>
        <sz val="11"/>
        <color rgb="FF000000"/>
        <rFont val="Calibri"/>
      </rPr>
      <t xml:space="preserve">bin:x:1:1:bin:/bin:/sbin/nologin </t>
    </r>
    <r>
      <rPr>
        <sz val="11"/>
        <color rgb="FF000000"/>
        <rFont val="Calibri"/>
      </rPr>
      <t xml:space="preserve">
</t>
    </r>
    <r>
      <rPr>
        <sz val="11"/>
        <color rgb="FF000000"/>
        <rFont val="Calibri"/>
      </rPr>
      <t xml:space="preserve">daemon:x:2:2:daemon:/sbin:/sbin/nologin </t>
    </r>
    <r>
      <rPr>
        <sz val="11"/>
        <color rgb="FF000000"/>
        <rFont val="Calibri"/>
      </rPr>
      <t xml:space="preserve">
</t>
    </r>
    <r>
      <rPr>
        <sz val="11"/>
        <color rgb="FF000000"/>
        <rFont val="Calibri"/>
      </rPr>
      <t xml:space="preserve">sync:x:5:0:sync:/sbin:/bin/sync </t>
    </r>
    <r>
      <rPr>
        <sz val="11"/>
        <color rgb="FF000000"/>
        <rFont val="Calibri"/>
      </rPr>
      <t xml:space="preserve">
</t>
    </r>
    <r>
      <rPr>
        <sz val="11"/>
        <color rgb="FF000000"/>
        <rFont val="Calibri"/>
      </rPr>
      <t xml:space="preserve">shutdown:x:6:0:shutdown:/sbin:/sbin/shutdown </t>
    </r>
    <r>
      <rPr>
        <sz val="11"/>
        <color rgb="FF000000"/>
        <rFont val="Calibri"/>
      </rPr>
      <t xml:space="preserve">
</t>
    </r>
    <r>
      <rPr>
        <sz val="11"/>
        <color rgb="FF000000"/>
        <rFont val="Calibri"/>
      </rPr>
      <t xml:space="preserve">halt:x:7:0:halt:/sbin:/sbin/halt </t>
    </r>
    <r>
      <rPr>
        <sz val="11"/>
        <color rgb="FF000000"/>
        <rFont val="Calibri"/>
      </rPr>
      <t xml:space="preserve">
</t>
    </r>
    <r>
      <rPr>
        <sz val="11"/>
        <color rgb="FF000000"/>
        <rFont val="Calibri"/>
      </rPr>
      <t xml:space="preserve">games:x:12:100:games:/usr/games:/sbin/nologin </t>
    </r>
    <r>
      <rPr>
        <sz val="11"/>
        <color rgb="FF000000"/>
        <rFont val="Calibri"/>
      </rPr>
      <t xml:space="preserve">
</t>
    </r>
    <r>
      <rPr>
        <sz val="11"/>
        <color rgb="FF000000"/>
        <rFont val="Calibri"/>
      </rPr>
      <t xml:space="preserve">gopher:x:13:30:gopher:/var/gopher:/sbin/nologin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Accounts such as "games" and "gopher" are not authorized accounts as they do not support authorized system functions.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accounts on the system do not match the provided documentation, or accounts that do not support an authorized system function are present, this is a finding.</t>
    </r>
  </si>
  <si>
    <t>V-248714</t>
  </si>
  <si>
    <r>
      <rPr>
        <sz val="11"/>
        <rFont val="Calibri"/>
      </rPr>
      <t>OL 8 must not allow accounts configured with blank or null passwords.</t>
    </r>
  </si>
  <si>
    <r>
      <rPr>
        <sz val="11"/>
        <color rgb="FF000000"/>
        <rFont val="Calibri"/>
      </rPr>
      <t xml:space="preserve">Edit the following line in "etc/ssh/sshd_config" to prevent logons with empty passwords.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PermitEmptyPasswords no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The SSH daemon must be restarted for the changes to take effect. To restart the SSH daemon, run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systemctl restart sshd.service</t>
    </r>
  </si>
  <si>
    <r>
      <rPr>
        <sz val="11"/>
        <color rgb="FF000000"/>
        <rFont val="Calibri"/>
      </rPr>
      <t>If an account has an empty password, anyone could log on and run commands with the privileges of that account. Accounts with empty passwords should never be used in operational environments.</t>
    </r>
  </si>
  <si>
    <r>
      <rPr>
        <sz val="11"/>
        <color rgb="FF000000"/>
        <rFont val="Calibri"/>
      </rPr>
      <t>To verify that null passwords cannot be used, run the following command:</t>
    </r>
    <r>
      <rPr>
        <sz val="11"/>
        <color rgb="FF000000"/>
        <rFont val="Calibri"/>
      </rPr>
      <t xml:space="preserve">
</t>
    </r>
    <r>
      <rPr>
        <sz val="11"/>
        <color rgb="FF000000"/>
        <rFont val="Calibri"/>
      </rPr>
      <t>$ sudo /usr/sbin/sshd -dd 2&gt;&amp;1 | awk '/filename/ {print $4}' | tr -d '\r' | tr '\n' ' ' | xargs sudo grep -iH '^\s*permitemptypasswords'</t>
    </r>
    <r>
      <rPr>
        <sz val="11"/>
        <color rgb="FF000000"/>
        <rFont val="Calibri"/>
      </rPr>
      <t xml:space="preserve">
</t>
    </r>
    <r>
      <rPr>
        <sz val="11"/>
        <color rgb="FF000000"/>
        <rFont val="Calibri"/>
      </rPr>
      <t>PermitEmptyPasswords no</t>
    </r>
    <r>
      <rPr>
        <sz val="11"/>
        <color rgb="FF000000"/>
        <rFont val="Calibri"/>
      </rPr>
      <t xml:space="preserve">
</t>
    </r>
    <r>
      <rPr>
        <sz val="11"/>
        <color rgb="FF000000"/>
        <rFont val="Calibri"/>
      </rPr>
      <t>If "PermitEmptyPasswords" is set to "yes", this is a finding.</t>
    </r>
    <r>
      <rPr>
        <sz val="11"/>
        <color rgb="FF000000"/>
        <rFont val="Calibri"/>
      </rPr>
      <t xml:space="preserve">
</t>
    </r>
    <r>
      <rPr>
        <sz val="11"/>
        <color rgb="FF000000"/>
        <rFont val="Calibri"/>
      </rPr>
      <t>If conflicting results are returned, this is a finding.</t>
    </r>
  </si>
  <si>
    <t>V-248715</t>
  </si>
  <si>
    <r>
      <rPr>
        <sz val="11"/>
        <rFont val="Calibri"/>
      </rPr>
      <t>OL 8 must not allow blank or null passwords in the system-auth file.</t>
    </r>
  </si>
  <si>
    <r>
      <rPr>
        <sz val="11"/>
        <color rgb="FF000000"/>
        <rFont val="Calibri"/>
      </rPr>
      <t>Remove any instances of the "nullok" option in the "/etc/pam.d/system-auth" file to prevent logons with empty passwords.</t>
    </r>
    <r>
      <rPr>
        <sz val="11"/>
        <color rgb="FF000000"/>
        <rFont val="Calibri"/>
      </rPr>
      <t xml:space="preserve">
</t>
    </r>
    <r>
      <rPr>
        <sz val="11"/>
        <color rgb="FF000000"/>
        <rFont val="Calibri"/>
      </rPr>
      <t>Note: Manual changes to the listed file may be overwritten by the "authselect" program.</t>
    </r>
  </si>
  <si>
    <r>
      <rPr>
        <sz val="11"/>
        <color rgb="FF000000"/>
        <rFont val="Calibri"/>
      </rPr>
      <t>To verify that null passwords cannot be used, run the following command:</t>
    </r>
    <r>
      <rPr>
        <sz val="11"/>
        <color rgb="FF000000"/>
        <rFont val="Calibri"/>
      </rPr>
      <t xml:space="preserve">
</t>
    </r>
    <r>
      <rPr>
        <sz val="11"/>
        <color rgb="FF000000"/>
        <rFont val="Calibri"/>
      </rPr>
      <t>$ sudo grep -i nullok /etc/pam.d/system-auth</t>
    </r>
    <r>
      <rPr>
        <sz val="11"/>
        <color rgb="FF000000"/>
        <rFont val="Calibri"/>
      </rPr>
      <t xml:space="preserve">
</t>
    </r>
    <r>
      <rPr>
        <sz val="11"/>
        <color rgb="FF000000"/>
        <rFont val="Calibri"/>
      </rPr>
      <t>If output is produced, this is a finding.</t>
    </r>
  </si>
  <si>
    <t>V-248716</t>
  </si>
  <si>
    <r>
      <rPr>
        <sz val="11"/>
        <rFont val="Calibri"/>
      </rPr>
      <t>OL 8 must not allow blank or null passwords in the password-auth file.</t>
    </r>
  </si>
  <si>
    <r>
      <rPr>
        <sz val="11"/>
        <color rgb="FF000000"/>
        <rFont val="Calibri"/>
      </rPr>
      <t>Remove any instances of the "nullok" option in the "/etc/pam.d/password-auth" file to prevent logons with empty passwords.</t>
    </r>
    <r>
      <rPr>
        <sz val="11"/>
        <color rgb="FF000000"/>
        <rFont val="Calibri"/>
      </rPr>
      <t xml:space="preserve">
</t>
    </r>
    <r>
      <rPr>
        <sz val="11"/>
        <color rgb="FF000000"/>
        <rFont val="Calibri"/>
      </rPr>
      <t>Note: Manual changes to the listed file may be overwritten by the "authselect" program.</t>
    </r>
  </si>
  <si>
    <r>
      <rPr>
        <sz val="11"/>
        <color rgb="FF000000"/>
        <rFont val="Calibri"/>
      </rPr>
      <t>To verify that null passwords cannot be used, run the following command:</t>
    </r>
    <r>
      <rPr>
        <sz val="11"/>
        <color rgb="FF000000"/>
        <rFont val="Calibri"/>
      </rPr>
      <t xml:space="preserve">
</t>
    </r>
    <r>
      <rPr>
        <sz val="11"/>
        <color rgb="FF000000"/>
        <rFont val="Calibri"/>
      </rPr>
      <t>$ sudo grep -i nullok /etc/pam.d/password-auth</t>
    </r>
    <r>
      <rPr>
        <sz val="11"/>
        <color rgb="FF000000"/>
        <rFont val="Calibri"/>
      </rPr>
      <t xml:space="preserve">
</t>
    </r>
    <r>
      <rPr>
        <sz val="11"/>
        <color rgb="FF000000"/>
        <rFont val="Calibri"/>
      </rPr>
      <t>If output is produced, this is a finding.</t>
    </r>
  </si>
  <si>
    <t>V-248718</t>
  </si>
  <si>
    <r>
      <rPr>
        <sz val="11"/>
        <rFont val="Calibri"/>
      </rPr>
      <t>OL 8 must display the date and time of the last successful account logon upon an SSH logon.</t>
    </r>
  </si>
  <si>
    <r>
      <rPr>
        <sz val="11"/>
        <color rgb="FF000000"/>
        <rFont val="Calibri"/>
      </rPr>
      <t xml:space="preserve">Configure SSH to provide users with feedback on when account accesses last occurred by setting the required configuration options in "/etc/pam.d/sshd" or in the "sshd_config" file used by the system ("/etc/ssh/sshd_config" will be used in the example). Note that this file may be named differently or be in a different location if using a version of SSH that is provided by a third-party vendor.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Modify the "PrintLastLog" line in "/etc/ssh/sshd_config" to match the following: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PrintLastLog yes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 SSH service must be restarted for changes to "sshd_config" to take effect.</t>
    </r>
  </si>
  <si>
    <r>
      <rPr>
        <sz val="11"/>
        <color rgb="FF000000"/>
        <rFont val="Calibri"/>
      </rPr>
      <t>Providing users with feedback on when account accesses via SSH last occurred facilitates user recognition and reporting of unauthorized account use.</t>
    </r>
  </si>
  <si>
    <r>
      <rPr>
        <sz val="11"/>
        <color rgb="FF000000"/>
        <rFont val="Calibri"/>
      </rPr>
      <t>Verify SSH provides users with feedback on when account accesses last occurred with the following command:</t>
    </r>
    <r>
      <rPr>
        <sz val="11"/>
        <color rgb="FF000000"/>
        <rFont val="Calibri"/>
      </rPr>
      <t xml:space="preserve">
</t>
    </r>
    <r>
      <rPr>
        <sz val="11"/>
        <color rgb="FF000000"/>
        <rFont val="Calibri"/>
      </rPr>
      <t>$ sudo /usr/sbin/sshd -dd 2&gt;&amp;1 | awk '/filename/ {print $4}' | tr -d '\r' | tr '\n' ' ' | xargs sudo grep -iH '^\s*printlastlog'</t>
    </r>
    <r>
      <rPr>
        <sz val="11"/>
        <color rgb="FF000000"/>
        <rFont val="Calibri"/>
      </rPr>
      <t xml:space="preserve">
</t>
    </r>
    <r>
      <rPr>
        <sz val="11"/>
        <color rgb="FF000000"/>
        <rFont val="Calibri"/>
      </rPr>
      <t>PrintLastLog yes</t>
    </r>
    <r>
      <rPr>
        <sz val="11"/>
        <color rgb="FF000000"/>
        <rFont val="Calibri"/>
      </rPr>
      <t xml:space="preserve">
</t>
    </r>
    <r>
      <rPr>
        <sz val="11"/>
        <color rgb="FF000000"/>
        <rFont val="Calibri"/>
      </rPr>
      <t>If the "PrintLastLog" keyword is set to "no", is missing, or is commented out, this is a finding.</t>
    </r>
    <r>
      <rPr>
        <sz val="11"/>
        <color rgb="FF000000"/>
        <rFont val="Calibri"/>
      </rPr>
      <t xml:space="preserve">
</t>
    </r>
    <r>
      <rPr>
        <sz val="11"/>
        <color rgb="FF000000"/>
        <rFont val="Calibri"/>
      </rPr>
      <t>If conflicting results are returned, this is a finding.</t>
    </r>
  </si>
  <si>
    <t>V-248719</t>
  </si>
  <si>
    <r>
      <rPr>
        <sz val="11"/>
        <rFont val="Calibri"/>
      </rPr>
      <t>OL 8 default permissions must be defined in such a way that all authenticated users can read and modify only their own files.</t>
    </r>
  </si>
  <si>
    <r>
      <rPr>
        <sz val="11"/>
        <color rgb="FF000000"/>
        <rFont val="Calibri"/>
      </rPr>
      <t xml:space="preserve">Configure OL 8 to define the default permissions for all authenticated users in such a way that the user can read and modify only their own files.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Edit the "UMASK" parameter in the "/etc/login.defs" file to match the example below: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UMASK 077</t>
    </r>
  </si>
  <si>
    <r>
      <rPr>
        <sz val="11"/>
        <color rgb="FF000000"/>
        <rFont val="Calibri"/>
      </rPr>
      <t>Setting the most restrictive default permissions ensures that when new accounts are created, they do not have unnecessary access.</t>
    </r>
  </si>
  <si>
    <r>
      <rPr>
        <sz val="11"/>
        <color rgb="FF000000"/>
        <rFont val="Calibri"/>
      </rPr>
      <t xml:space="preserve">Verify OL 8 defines default permissions for all authenticated users in such a way that the user can read and modify only their own files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grep -i "umask" /etc/login.defs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UMASK 077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"UMASK" variable is set to "000", this is a finding with the severity raised to a CAT I.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value of "UMASK" is not set to "077", "UMASK" is commented out, or "UMASK" is missing completely, this is a finding.</t>
    </r>
  </si>
  <si>
    <t>V-248720</t>
  </si>
  <si>
    <r>
      <rPr>
        <sz val="11"/>
        <rFont val="Calibri"/>
      </rPr>
      <t>OL 8 must set the umask value to 077 for all local interactive user accounts.</t>
    </r>
  </si>
  <si>
    <r>
      <rPr>
        <sz val="11"/>
        <color rgb="FF000000"/>
        <rFont val="Calibri"/>
      </rPr>
      <t xml:space="preserve">Remove the umask statement from all local interactive user's initialization files. </t>
    </r>
    <r>
      <rPr>
        <sz val="11"/>
        <color rgb="FF000000"/>
        <rFont val="Calibri"/>
      </rPr>
      <t xml:space="preserve">
</t>
    </r>
    <r>
      <rPr>
        <sz val="11"/>
        <color rgb="FF000000"/>
        <rFont val="Calibri"/>
      </rPr>
      <t>If the account is for an application, the requirement for a umask less restrictive than "077" can be documented with the Information System Security Officer, but the user agreement for access to the account must specify that the local interactive user must log on to their account first and then switch the user to the application account with the correct option to gain the account's environment variables.</t>
    </r>
  </si>
  <si>
    <r>
      <rPr>
        <sz val="11"/>
        <color rgb="FF000000"/>
        <rFont val="Calibri"/>
      </rPr>
      <t>The umask controls the default access mode assigned to newly created files. A umask of 077 limits new files to mode 600 or less permissive. Although umask can be represented as a four-digit number, the first digit representing special access modes is typically ignored or required to be "0". This requirement applies to the globally configured system defaults and the local interactive user defaults for each account on the system.</t>
    </r>
  </si>
  <si>
    <r>
      <rPr>
        <sz val="11"/>
        <color rgb="FF000000"/>
        <rFont val="Calibri"/>
      </rPr>
      <t>Verify that the default umask for all local interactive users is "077".</t>
    </r>
    <r>
      <rPr>
        <sz val="11"/>
        <color rgb="FF000000"/>
        <rFont val="Calibri"/>
      </rPr>
      <t xml:space="preserve">
</t>
    </r>
    <r>
      <rPr>
        <sz val="11"/>
        <color rgb="FF000000"/>
        <rFont val="Calibri"/>
      </rPr>
      <t>Identify the locations of all local interactive user home directories by looking at the "/etc/passwd" file.</t>
    </r>
    <r>
      <rPr>
        <sz val="11"/>
        <color rgb="FF000000"/>
        <rFont val="Calibri"/>
      </rPr>
      <t xml:space="preserve">
</t>
    </r>
    <r>
      <rPr>
        <sz val="11"/>
        <color rgb="FF000000"/>
        <rFont val="Calibri"/>
      </rPr>
      <t>Check all local interactive user initialization files for interactive users with the following command:</t>
    </r>
    <r>
      <rPr>
        <sz val="11"/>
        <color rgb="FF000000"/>
        <rFont val="Calibri"/>
      </rPr>
      <t xml:space="preserve">
</t>
    </r>
    <r>
      <rPr>
        <sz val="11"/>
        <color rgb="FF000000"/>
        <rFont val="Calibri"/>
      </rPr>
      <t>Note: The example is for a system that is configured to create users home directories in the "/home" directory.</t>
    </r>
    <r>
      <rPr>
        <sz val="11"/>
        <color rgb="FF000000"/>
        <rFont val="Calibri"/>
      </rPr>
      <t xml:space="preserve">
</t>
    </r>
    <r>
      <rPr>
        <sz val="11"/>
        <color rgb="FF000000"/>
        <rFont val="Calibri"/>
      </rPr>
      <t>$ sudo grep -ir ^umask /home | grep -v '.bash_history'</t>
    </r>
    <r>
      <rPr>
        <sz val="11"/>
        <color rgb="FF000000"/>
        <rFont val="Calibri"/>
      </rPr>
      <t xml:space="preserve">
</t>
    </r>
    <r>
      <rPr>
        <sz val="11"/>
        <color rgb="FF000000"/>
        <rFont val="Calibri"/>
      </rPr>
      <t>If any local interactive user initialization files are found to have a umask statement that has a value less restrictive than "077", this is a finding.</t>
    </r>
  </si>
  <si>
    <t>V-248721</t>
  </si>
  <si>
    <r>
      <rPr>
        <sz val="11"/>
        <rFont val="Calibri"/>
      </rPr>
      <t>OL 8 must define default permissions for logon and non-logon shells.</t>
    </r>
  </si>
  <si>
    <r>
      <rPr>
        <sz val="11"/>
        <color rgb="FF000000"/>
        <rFont val="Calibri"/>
      </rPr>
      <t>Configure the operating system to define default permissions for all authenticated users in such a way that the user can only read and modify their own files.</t>
    </r>
    <r>
      <rPr>
        <sz val="11"/>
        <color rgb="FF000000"/>
        <rFont val="Calibri"/>
      </rPr>
      <t xml:space="preserve">
</t>
    </r>
    <r>
      <rPr>
        <sz val="11"/>
        <color rgb="FF000000"/>
        <rFont val="Calibri"/>
      </rPr>
      <t>Add or edit the lines for the "UMASK" parameter in the "/etc/bashrc", "etc/csh.cshrc", and "/etc/profile" files to "077":</t>
    </r>
    <r>
      <rPr>
        <sz val="11"/>
        <color rgb="FF000000"/>
        <rFont val="Calibri"/>
      </rPr>
      <t xml:space="preserve">
</t>
    </r>
    <r>
      <rPr>
        <sz val="11"/>
        <color rgb="FF000000"/>
        <rFont val="Calibri"/>
      </rPr>
      <t>UMASK 077</t>
    </r>
  </si>
  <si>
    <r>
      <rPr>
        <sz val="11"/>
        <color rgb="FF000000"/>
        <rFont val="Calibri"/>
      </rPr>
      <t>Verify that the umask default for installed shells is "077".</t>
    </r>
    <r>
      <rPr>
        <sz val="11"/>
        <color rgb="FF000000"/>
        <rFont val="Calibri"/>
      </rPr>
      <t xml:space="preserve">
</t>
    </r>
    <r>
      <rPr>
        <sz val="11"/>
        <color rgb="FF000000"/>
        <rFont val="Calibri"/>
      </rPr>
      <t>Check for the value of the "UMASK" parameter in the "/etc/bashrc", "/etc/csh.cshrc", and "/etc/profile" files with the following command:</t>
    </r>
    <r>
      <rPr>
        <sz val="11"/>
        <color rgb="FF000000"/>
        <rFont val="Calibri"/>
      </rPr>
      <t xml:space="preserve">
</t>
    </r>
    <r>
      <rPr>
        <sz val="11"/>
        <color rgb="FF000000"/>
        <rFont val="Calibri"/>
      </rPr>
      <t>Note: If the value of the "UMASK" parameter is set to "000" in the "/etc/bashrc", "/etc/csh.cshrc", or the "/etc/profile" files, the Severity is raised to a CAT I.</t>
    </r>
    <r>
      <rPr>
        <sz val="11"/>
        <color rgb="FF000000"/>
        <rFont val="Calibri"/>
      </rPr>
      <t xml:space="preserve">
</t>
    </r>
    <r>
      <rPr>
        <sz val="11"/>
        <color rgb="FF000000"/>
        <rFont val="Calibri"/>
      </rPr>
      <t>$ sudo  grep -i umask /etc/bashrc /etc/csh.cshrc /etc/profile</t>
    </r>
    <r>
      <rPr>
        <sz val="11"/>
        <color rgb="FF000000"/>
        <rFont val="Calibri"/>
      </rPr>
      <t xml:space="preserve">
</t>
    </r>
    <r>
      <rPr>
        <sz val="11"/>
        <color rgb="FF000000"/>
        <rFont val="Calibri"/>
      </rPr>
      <t>/etc/bashrc: umask 077</t>
    </r>
    <r>
      <rPr>
        <sz val="11"/>
        <color rgb="FF000000"/>
        <rFont val="Calibri"/>
      </rPr>
      <t xml:space="preserve">
</t>
    </r>
    <r>
      <rPr>
        <sz val="11"/>
        <color rgb="FF000000"/>
        <rFont val="Calibri"/>
      </rPr>
      <t>/etc/bashrc: umask 077</t>
    </r>
    <r>
      <rPr>
        <sz val="11"/>
        <color rgb="FF000000"/>
        <rFont val="Calibri"/>
      </rPr>
      <t xml:space="preserve">
</t>
    </r>
    <r>
      <rPr>
        <sz val="11"/>
        <color rgb="FF000000"/>
        <rFont val="Calibri"/>
      </rPr>
      <t xml:space="preserve">/etc/csh.cshrc: umask 077 </t>
    </r>
    <r>
      <rPr>
        <sz val="11"/>
        <color rgb="FF000000"/>
        <rFont val="Calibri"/>
      </rPr>
      <t xml:space="preserve">
</t>
    </r>
    <r>
      <rPr>
        <sz val="11"/>
        <color rgb="FF000000"/>
        <rFont val="Calibri"/>
      </rPr>
      <t>/etc/csh.cshrc: umask 077</t>
    </r>
    <r>
      <rPr>
        <sz val="11"/>
        <color rgb="FF000000"/>
        <rFont val="Calibri"/>
      </rPr>
      <t xml:space="preserve">
</t>
    </r>
    <r>
      <rPr>
        <sz val="11"/>
        <color rgb="FF000000"/>
        <rFont val="Calibri"/>
      </rPr>
      <t>/etc/profile: umask 077</t>
    </r>
    <r>
      <rPr>
        <sz val="11"/>
        <color rgb="FF000000"/>
        <rFont val="Calibri"/>
      </rPr>
      <t xml:space="preserve">
</t>
    </r>
    <r>
      <rPr>
        <sz val="11"/>
        <color rgb="FF000000"/>
        <rFont val="Calibri"/>
      </rPr>
      <t>/etc/profile: umask 077</t>
    </r>
    <r>
      <rPr>
        <sz val="11"/>
        <color rgb="FF000000"/>
        <rFont val="Calibri"/>
      </rPr>
      <t xml:space="preserve">
</t>
    </r>
    <r>
      <rPr>
        <sz val="11"/>
        <color rgb="FF000000"/>
        <rFont val="Calibri"/>
      </rPr>
      <t>If the value for the "UMASK" parameter is not "077", or the "UMASK" parameter is missing or is commented out, this is a finding.</t>
    </r>
  </si>
  <si>
    <t>V-248722</t>
  </si>
  <si>
    <r>
      <rPr>
        <sz val="11"/>
        <rFont val="Calibri"/>
      </rPr>
      <t>The OL 8 audit system must be configured to audit the execution of privileged functions and prevent all software from executing at higher privilege levels than users executing the software.</t>
    </r>
  </si>
  <si>
    <r>
      <rPr>
        <sz val="11"/>
        <color rgb="FF000000"/>
        <rFont val="Calibri"/>
      </rPr>
      <t xml:space="preserve">Configure OL 8 to audit the execution of the "execve" system call.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update the following file system rules to "/etc/audit/rules.d/audit.rules":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always,exit -F arch=b32 -S execve -C uid!=euid -F euid=0 key=execpriv </t>
    </r>
    <r>
      <rPr>
        <sz val="11"/>
        <color rgb="FF000000"/>
        <rFont val="Calibri"/>
      </rPr>
      <t xml:space="preserve">
</t>
    </r>
    <r>
      <rPr>
        <sz val="11"/>
        <color rgb="FF000000"/>
        <rFont val="Calibri"/>
      </rPr>
      <t xml:space="preserve">-a always,exit -F arch=b64 -S execve -C uid!=euid -F euid=0 key=execpriv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always,exit -F arch=b32 -S execve -C gid!=egid -F euid=0 key=execpriv </t>
    </r>
    <r>
      <rPr>
        <sz val="11"/>
        <color rgb="FF000000"/>
        <rFont val="Calibri"/>
      </rPr>
      <t xml:space="preserve">
</t>
    </r>
    <r>
      <rPr>
        <sz val="11"/>
        <color rgb="FF000000"/>
        <rFont val="Calibri"/>
      </rPr>
      <t>-a always,exit -F arch=b64 -S execve -C gid!=egid -F euid=0 key=execpriv</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The audit daemon must be restarted for the changes to take effect. To restart the audit daemon, run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service auditd restart</t>
    </r>
  </si>
  <si>
    <r>
      <rPr>
        <sz val="11"/>
        <color rgb="FF000000"/>
        <rFont val="Calibri"/>
      </rPr>
      <t>Misuse of privileged functions, either intentionally or unintentionally by authorized users, or by unauthorized external entities that have compromised information system accounts, is a serious and ongoing concern and can have significant adverse impacts on organizations. Auditing the use of privileged functions is one way to detect such misuse and identify the risk from insider threats and the advanced persistent threat.</t>
    </r>
    <r>
      <rPr>
        <sz val="11"/>
        <color rgb="FF000000"/>
        <rFont val="Calibri"/>
      </rPr>
      <t xml:space="preserve">
</t>
    </r>
    <r>
      <rPr>
        <sz val="11"/>
        <color rgb="FF000000"/>
        <rFont val="Calibri"/>
      </rPr>
      <t>Satisfies: SRG-OS-000326-GPOS-00126, SRG-OS-000327-GPOS-00127</t>
    </r>
  </si>
  <si>
    <r>
      <rPr>
        <sz val="11"/>
        <color rgb="FF000000"/>
        <rFont val="Calibri"/>
      </rPr>
      <t xml:space="preserve">Verify OL 8 audits the execution of privileged functions.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Check if OL 8 is configured to audit the execution of the "execve" system call, by running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grep execve /etc/audit/audit.rules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always,exit -F arch=b32 -S execve -C uid!=euid -F euid=0 key=execpriv </t>
    </r>
    <r>
      <rPr>
        <sz val="11"/>
        <color rgb="FF000000"/>
        <rFont val="Calibri"/>
      </rPr>
      <t xml:space="preserve">
</t>
    </r>
    <r>
      <rPr>
        <sz val="11"/>
        <color rgb="FF000000"/>
        <rFont val="Calibri"/>
      </rPr>
      <t xml:space="preserve">-a always,exit -F arch=b64 -S execve -C uid!=euid -F euid=0 key=execpriv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always,exit -F arch=b32 -S execve -C gid!=egid -F euid=0 key=execpriv </t>
    </r>
    <r>
      <rPr>
        <sz val="11"/>
        <color rgb="FF000000"/>
        <rFont val="Calibri"/>
      </rPr>
      <t xml:space="preserve">
</t>
    </r>
    <r>
      <rPr>
        <sz val="11"/>
        <color rgb="FF000000"/>
        <rFont val="Calibri"/>
      </rPr>
      <t>-a always,exit -F arch=b64 -S execve -C gid!=egid -F euid=0 key=execpriv</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command does not return all lines or the lines are commented out, this is a finding.</t>
    </r>
  </si>
  <si>
    <t>V-248723</t>
  </si>
  <si>
    <r>
      <rPr>
        <sz val="11"/>
        <rFont val="Calibri"/>
      </rPr>
      <t>Cron logging must be implemented in OL 8.</t>
    </r>
  </si>
  <si>
    <r>
      <rPr>
        <sz val="11"/>
        <color rgb="FF000000"/>
        <rFont val="Calibri"/>
      </rPr>
      <t xml:space="preserve">Configure "rsyslog" to log all cron messages by adding or updating the following line to "/etc/rsyslog.conf" or a configuration file in the "/etc/rsyslog.d/" directory: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cron.* /var/log/cron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The rsyslog daemon must be restarted for the changes to take effect: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systemctl restart rsyslog.service</t>
    </r>
  </si>
  <si>
    <r>
      <rPr>
        <sz val="11"/>
        <color rgb="FF000000"/>
        <rFont val="Calibri"/>
      </rPr>
      <t>Cron logging can be used to trace the successful or unsuccessful execution of cron jobs. It can also be used to spot intrusions into the use of the cron facility by unauthorized and malicious users.</t>
    </r>
  </si>
  <si>
    <r>
      <rPr>
        <sz val="11"/>
        <color rgb="FF000000"/>
        <rFont val="Calibri"/>
      </rPr>
      <t xml:space="preserve">Verify that "rsyslog" is configured to log cron events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Note: If another logging package is used, substitute the utility configuration file for "/etc/rsyslog.conf" or "/etc/rsyslog.d/*.conf" files.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grep cron /etc/rsyslog.conf /etc/rsyslog.d/*.conf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cron.* /var/log/cron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a response, check for cron logging all facilities by inspecting the "/etc/rsyslog.conf" or "/etc/rsyslog.d/*.conf" files.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Look for the following entry: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/var/log/messages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"rsyslog" is not logging messages for the cron facility or all facilities, this is a finding.</t>
    </r>
  </si>
  <si>
    <t>V-248724</t>
  </si>
  <si>
    <r>
      <rPr>
        <sz val="11"/>
        <rFont val="Calibri"/>
      </rPr>
      <t>The OL 8 System Administrator (SA) and Information System Security Officer (ISSO) (at a minimum) must be alerted of an audit processing failure event.</t>
    </r>
  </si>
  <si>
    <r>
      <rPr>
        <sz val="11"/>
        <color rgb="FF000000"/>
        <rFont val="Calibri"/>
      </rPr>
      <t xml:space="preserve">Configure the "auditd" service to notify the SA and ISSO in the event of an audit processing failure.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Edit the following line in "/etc/audit/auditd.conf" to ensure that administrators are notified via email for those situations: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action_mail_acct = root</t>
    </r>
  </si>
  <si>
    <r>
      <rPr>
        <sz val="11"/>
        <color rgb="FF000000"/>
        <rFont val="Calibri"/>
      </rPr>
      <t xml:space="preserve">It is critical for the appropriate personnel to be aware if a system is at risk of failing to process audit logs as required. Without this notification, the security personnel may be unaware of an impending failure of the audit capability, and system operation may be adversely affected.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Audit processing failures include software/hardware errors, failures in the audit capturing mechanisms, and audit storage capacity being reached or exceeded.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This requirement applies to each audit data storage repository (i.e., distinct information system component where audit records are stored), the centralized audit storage capacity of organizations (i.e., all audit data storage repositories combined), or both.</t>
    </r>
  </si>
  <si>
    <r>
      <rPr>
        <sz val="11"/>
        <color rgb="FF000000"/>
        <rFont val="Calibri"/>
      </rPr>
      <t xml:space="preserve">Verify that the SA and ISSO (at a minimum) are notified in the event of an audit processing failure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grep action_mail_acct /etc/audit/auditd.conf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action_mail_acct = root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value of the "action_mail_acct" keyword is not set to "root" and/or other accounts for security personnel, the "action_mail_acct" keyword is missing, or the retuned line is commented out, ask the SA to indicate how they and the ISSO are notified of an audit process failure.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there is no evidence of the proper personnel being notified of an audit processing failure, this is a finding.</t>
    </r>
  </si>
  <si>
    <t>V-248725</t>
  </si>
  <si>
    <r>
      <rPr>
        <sz val="11"/>
        <rFont val="Calibri"/>
      </rPr>
      <t>The OL 8 Information System Security Officer (ISSO) and System Administrator (SA) (at a minimum) must have mail aliases to be notified of an audit processing failure.</t>
    </r>
  </si>
  <si>
    <r>
      <rPr>
        <sz val="11"/>
        <color rgb="FF000000"/>
        <rFont val="Calibri"/>
      </rPr>
      <t xml:space="preserve">Configure OL 8 to notify administrators in the event of an audit processing failure.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Add/update the following line in "/etc/aliases":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postmaster: root</t>
    </r>
  </si>
  <si>
    <r>
      <rPr>
        <sz val="11"/>
        <color rgb="FF000000"/>
        <rFont val="Calibri"/>
      </rPr>
      <t xml:space="preserve">Verify the administrators are notified in the event of an audit processing failure.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Check that the "/etc/aliases" file has a defined value for "root".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grep "postmaster:\s*root$" /etc/aliases </t>
    </r>
    <r>
      <rPr>
        <sz val="11"/>
        <color rgb="FF000000"/>
        <rFont val="Calibri"/>
      </rPr>
      <t xml:space="preserve">
</t>
    </r>
    <r>
      <rPr>
        <sz val="11"/>
        <color rgb="FF000000"/>
        <rFont val="Calibri"/>
      </rPr>
      <t>postmaster:  root</t>
    </r>
    <r>
      <rPr>
        <sz val="11"/>
        <color rgb="FF000000"/>
        <rFont val="Calibri"/>
      </rPr>
      <t xml:space="preserve">
</t>
    </r>
    <r>
      <rPr>
        <sz val="11"/>
        <color rgb="FF000000"/>
        <rFont val="Calibri"/>
      </rPr>
      <t>If the command does not return a line or the line is commented out, this is a finding.</t>
    </r>
  </si>
  <si>
    <t>V-248726</t>
  </si>
  <si>
    <r>
      <rPr>
        <sz val="11"/>
        <rFont val="Calibri"/>
      </rPr>
      <t>The OL 8 System must take appropriate action when an audit processing failure occurs.</t>
    </r>
  </si>
  <si>
    <r>
      <rPr>
        <sz val="11"/>
        <color rgb="FF000000"/>
        <rFont val="Calibri"/>
      </rPr>
      <t xml:space="preserve">Configure OL 8 to shut down by default upon audit failure (unless availability is an overriding concern).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update the following line ("disk_error_action" can be set to "SYSLOG" or "SINGLE" depending on configuration) in the "/etc/audit/auditd.conf"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disk_error_action = HALT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availability has been determined to be more important, and this decision is documented with the ISSO, configure OL 8 to notify system administration staff and ISSO staff in the event of an audit processing failure by setting the "disk_error_action" to "SYSLOG".</t>
    </r>
  </si>
  <si>
    <r>
      <rPr>
        <sz val="11"/>
        <color rgb="FF000000"/>
        <rFont val="Calibri"/>
      </rPr>
      <t xml:space="preserve">Verify OL 8 takes the appropriate action when an audit processing failure occurs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grep disk_error_action /etc/audit/auditd.conf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disk_error_action = HALT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value of the "disk_error_action" option is not "SYSLOG", "SINGLE", or "HALT", or the line is commented out, this is a finding.</t>
    </r>
  </si>
  <si>
    <t>V-248728</t>
  </si>
  <si>
    <r>
      <rPr>
        <sz val="11"/>
        <rFont val="Calibri"/>
      </rPr>
      <t>The OL 8 audit system must take appropriate action when the audit storage volume is full.</t>
    </r>
  </si>
  <si>
    <r>
      <rPr>
        <sz val="11"/>
        <color rgb="FF000000"/>
        <rFont val="Calibri"/>
      </rPr>
      <t xml:space="preserve">Configure OL 8 to shut down by default upon audit failure (unless availability is an overriding concern).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update the following line ("disk_full_action" can be set to "SYSLOG" or "SINGLE" depending on configuration) in the "/etc/audit/auditd.conf"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disk_full_action = HALT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availability has been determined to be more important, and this decision is documented with the ISSO, configure OL 8 to notify system administration staff and ISSO staff in the event of an audit processing failure by setting the "disk_full_action" to "SYSLOG".</t>
    </r>
  </si>
  <si>
    <r>
      <rPr>
        <sz val="11"/>
        <color rgb="FF000000"/>
        <rFont val="Calibri"/>
      </rPr>
      <t xml:space="preserve">It is critical that when OL 8 is at risk of failing to process audit logs as required, it takes action to mitigate the failure. Audit processing failures include software/hardware errors; failures in the audit capturing mechanisms; and audit storage capacity being reached or exceeded. Responses to audit failure depend on the nature of the failure mode.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When availability is an overriding concern, other approved actions in response to an audit failure are as follows: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1) If the failure was caused by the lack of audit record storage capacity, OL 8 must continue generating audit records if possible (automatically restarting the audit service if necessary) and overwriting the oldest audit records in a first-in-first-out manner.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2) If audit records are sent to a centralized collection server and communication with this server is lost or the server fails, OL 8 must queue audit records locally until communication is restored or until the audit records are retrieved manually. Upon restoration of the connection to the centralized collection server, action should be taken to synchronize the local audit data with the collection server.</t>
    </r>
  </si>
  <si>
    <r>
      <rPr>
        <sz val="11"/>
        <color rgb="FF000000"/>
        <rFont val="Calibri"/>
      </rPr>
      <t xml:space="preserve">Verify OL 8 takes the appropriate action when the audit storage volume is full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grep disk_full_action /etc/audit/auditd.conf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disk_full_action = HALT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value of the "disk_full_action" option is not "SYSLOG", "SINGLE", or "HALT", or the line is commented out, this is a finding.</t>
    </r>
  </si>
  <si>
    <t>V-248729</t>
  </si>
  <si>
    <r>
      <rPr>
        <sz val="11"/>
        <rFont val="Calibri"/>
      </rPr>
      <t>The OL 8 audit system must audit local events.</t>
    </r>
  </si>
  <si>
    <r>
      <rPr>
        <sz val="11"/>
        <color rgb="FF000000"/>
        <rFont val="Calibri"/>
      </rPr>
      <t>Configure OL 8 to audit local events on the system.</t>
    </r>
    <r>
      <rPr>
        <sz val="11"/>
        <color rgb="FF000000"/>
        <rFont val="Calibri"/>
      </rPr>
      <t xml:space="preserve">
</t>
    </r>
    <r>
      <rPr>
        <sz val="11"/>
        <color rgb="FF000000"/>
        <rFont val="Calibri"/>
      </rPr>
      <t>Add or update the following line in "/etc/audit/auditd.conf" file:</t>
    </r>
    <r>
      <rPr>
        <sz val="11"/>
        <color rgb="FF000000"/>
        <rFont val="Calibri"/>
      </rPr>
      <t xml:space="preserve">
</t>
    </r>
    <r>
      <rPr>
        <sz val="11"/>
        <color rgb="FF000000"/>
        <rFont val="Calibri"/>
      </rPr>
      <t>local_events = yes</t>
    </r>
  </si>
  <si>
    <r>
      <rPr>
        <sz val="11"/>
        <color rgb="FF000000"/>
        <rFont val="Calibri"/>
      </rPr>
      <t>Without establishing what type of events occurred, the source of events, where events occurred, and the outcome of events, it would be difficult to establish, correlate, and investigate the events leading up to an outage or attack.</t>
    </r>
    <r>
      <rPr>
        <sz val="11"/>
        <color rgb="FF000000"/>
        <rFont val="Calibri"/>
      </rPr>
      <t xml:space="preserve">
</t>
    </r>
    <r>
      <rPr>
        <sz val="11"/>
        <color rgb="FF000000"/>
        <rFont val="Calibri"/>
      </rPr>
      <t>Audit record content that may be necessary to satisfy this requirement includes, for example, time stamps, source and destination addresses, user/process identifiers, event descriptions, success/fail indications, filenames involved, and access control or flow control rules invoked.</t>
    </r>
  </si>
  <si>
    <r>
      <rPr>
        <sz val="11"/>
        <color rgb="FF000000"/>
        <rFont val="Calibri"/>
      </rPr>
      <t>Verify the OL 8 Audit Daemon is configured to include local events, with the following command:</t>
    </r>
    <r>
      <rPr>
        <sz val="11"/>
        <color rgb="FF000000"/>
        <rFont val="Calibri"/>
      </rPr>
      <t xml:space="preserve">
</t>
    </r>
    <r>
      <rPr>
        <sz val="11"/>
        <color rgb="FF000000"/>
        <rFont val="Calibri"/>
      </rPr>
      <t>$ sudo grep local_events /etc/audit/auditd.conf</t>
    </r>
    <r>
      <rPr>
        <sz val="11"/>
        <color rgb="FF000000"/>
        <rFont val="Calibri"/>
      </rPr>
      <t xml:space="preserve">
</t>
    </r>
    <r>
      <rPr>
        <sz val="11"/>
        <color rgb="FF000000"/>
        <rFont val="Calibri"/>
      </rPr>
      <t>local_events = yes</t>
    </r>
    <r>
      <rPr>
        <sz val="11"/>
        <color rgb="FF000000"/>
        <rFont val="Calibri"/>
      </rPr>
      <t xml:space="preserve">
</t>
    </r>
    <r>
      <rPr>
        <sz val="11"/>
        <color rgb="FF000000"/>
        <rFont val="Calibri"/>
      </rPr>
      <t>If the value of the "local_events" option is not set to "yes", or the line is commented out, this is a finding.</t>
    </r>
  </si>
  <si>
    <t>V-248730</t>
  </si>
  <si>
    <r>
      <rPr>
        <sz val="11"/>
        <rFont val="Calibri"/>
      </rPr>
      <t>OL 8 must label all offloaded audit logs before sending them to the central log server.</t>
    </r>
  </si>
  <si>
    <r>
      <rPr>
        <sz val="11"/>
        <color rgb="FF000000"/>
        <rFont val="Calibri"/>
      </rPr>
      <t xml:space="preserve">Edit the "/etc/audit/auditd.conf" file and add or update the "name_format" option: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name_format = hostname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 audit daemon must be restarted for changes to take effect.</t>
    </r>
  </si>
  <si>
    <r>
      <rPr>
        <sz val="11"/>
        <color rgb="FF000000"/>
        <rFont val="Calibri"/>
      </rPr>
      <t xml:space="preserve">Without establishing what type of events occurred and their source, location, and outcome, it would be difficult to establish, correlate, and investigate the events leading up to an outage or attack.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Audit record content that may be necessary to satisfy this requirement includes, for example, time stamps, source and destination addresses, user/process identifiers, event descriptions, success/fail indications, filenames involved, and access control or flow control rules invoked.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Enriched logging is needed to determine who, what, and when events occur on a system. Without this, determining root cause of an event will be much more difficult.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When audit logs are not labeled before they are sent to a central log server, the audit data will not be able to be analyzed and tied back to the correct system.</t>
    </r>
  </si>
  <si>
    <r>
      <rPr>
        <sz val="11"/>
        <color rgb="FF000000"/>
        <rFont val="Calibri"/>
      </rPr>
      <t xml:space="preserve">Verify the OL 8 audit daemon is configured to label all offloaded audit logs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grep "name_format" /etc/audit/auditd.conf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name_format = hostname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"name_format" option is not "hostname", "fqd", or "numeric", or the line is commented out, this is a finding.</t>
    </r>
  </si>
  <si>
    <t>V-248731</t>
  </si>
  <si>
    <r>
      <rPr>
        <sz val="11"/>
        <rFont val="Calibri"/>
      </rPr>
      <t>OL 8 must resolve audit information before writing to disk.</t>
    </r>
  </si>
  <si>
    <r>
      <rPr>
        <sz val="11"/>
        <color rgb="FF000000"/>
        <rFont val="Calibri"/>
      </rPr>
      <t xml:space="preserve">Configure OL 8 to resolve audit information before writing to disk by adding the following line to the "/etc/audit/auditd.conf" file and add or update the "log_format" option: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log_format = ENRICHED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 audit daemon must be restarted for changes to take effect.</t>
    </r>
  </si>
  <si>
    <r>
      <rPr>
        <sz val="11"/>
        <color rgb="FF000000"/>
        <rFont val="Calibri"/>
      </rPr>
      <t xml:space="preserve">Without establishing what type of events occurred and their source, location, and outcome, it would be difficult to establish, correlate, and investigate the events leading up to an outage or attack.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Audit record content that may be necessary to satisfy this requirement includes, for example, time stamps, source and destination addresses, user/process identifiers, event descriptions, success/fail indications, filenames involved, and access control or flow control rules invoked.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Enriched logging aids in making sense of who, what, and when events occur on a system. Without this, determining root cause of an event will be much more difficult.</t>
    </r>
  </si>
  <si>
    <r>
      <rPr>
        <sz val="11"/>
        <color rgb="FF000000"/>
        <rFont val="Calibri"/>
      </rPr>
      <t xml:space="preserve">Verify the OL 8 audit daemon is configured to resolve audit information before writing to disk,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grep "log_format" /etc/audit/auditd.conf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log_format = ENRICHED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"log_format" option is not "ENRICHED", or the line is commented out, this is a finding.</t>
    </r>
  </si>
  <si>
    <t>V-248732</t>
  </si>
  <si>
    <r>
      <rPr>
        <sz val="11"/>
        <rFont val="Calibri"/>
      </rPr>
      <t xml:space="preserve">OL 8 audit logs must have a mode of </t>
    </r>
    <r>
      <rPr>
        <sz val="11"/>
        <color rgb="FF000000"/>
        <rFont val="Calibri"/>
      </rPr>
      <t>"</t>
    </r>
    <r>
      <rPr>
        <b/>
        <sz val="11"/>
        <color rgb="FF000000"/>
        <rFont val="Calibri"/>
      </rPr>
      <t>0600</t>
    </r>
    <r>
      <rPr>
        <sz val="11"/>
        <color rgb="FF000000"/>
        <rFont val="Calibri"/>
      </rPr>
      <t>"</t>
    </r>
    <r>
      <rPr>
        <sz val="11"/>
        <color rgb="FF000000"/>
        <rFont val="Calibri"/>
      </rPr>
      <t xml:space="preserve"> or less permissive to prevent unauthorized read access.</t>
    </r>
  </si>
  <si>
    <r>
      <rPr>
        <sz val="11"/>
        <color rgb="FF000000"/>
        <rFont val="Calibri"/>
      </rPr>
      <t xml:space="preserve">Configure the audit log to be protected from unauthorized read access by setting the correct permissive mode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chmod 0600 [audit_log_file]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Replace "[audit_log_file]" to the correct audit log path. By default, this location is "/var/log/audit/audit.log".</t>
    </r>
  </si>
  <si>
    <r>
      <rPr>
        <sz val="11"/>
        <color rgb="FF000000"/>
        <rFont val="Calibri"/>
      </rPr>
      <t xml:space="preserve">Unauthorized disclosure of audit records can reveal system and configuration data to attackers, thus compromising its confidentiality.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Audit information includes all information (e.g., audit records, audit settings, audit reports) needed to successfully audit OL 8 activity.</t>
    </r>
    <r>
      <rPr>
        <sz val="11"/>
        <color rgb="FF000000"/>
        <rFont val="Calibri"/>
      </rPr>
      <t xml:space="preserve">
</t>
    </r>
    <r>
      <rPr>
        <sz val="11"/>
        <color rgb="FF000000"/>
        <rFont val="Calibri"/>
      </rPr>
      <t>Satisfies: SRG-OS-000057-GPOS-00027, SRG-OS-000058-GPOS-00028, SRG-OS-000059-GPOS-00029</t>
    </r>
  </si>
  <si>
    <r>
      <rPr>
        <sz val="11"/>
        <color rgb="FF000000"/>
        <rFont val="Calibri"/>
      </rPr>
      <t xml:space="preserve">Verify the audit logs have a mode of "0600" or less permissive.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Determine where the audit logs are stored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grep -iw log_file /etc/audit/auditd.conf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log_file = /var/log/audit/audit.log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Using the location of the audit log file, determine if the audit log has a mode of "0600" or less permissive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stat -c "%a %n" /var/log/audit/audit.log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600 /var/log/audit/audit.log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audit log has a mode more permissive than "0600", this is a finding.</t>
    </r>
  </si>
  <si>
    <t>V-248733</t>
  </si>
  <si>
    <r>
      <rPr>
        <sz val="11"/>
        <rFont val="Calibri"/>
      </rPr>
      <t>OL 8 audit logs must be owned by root to prevent unauthorized read access.</t>
    </r>
  </si>
  <si>
    <r>
      <rPr>
        <sz val="11"/>
        <color rgb="FF000000"/>
        <rFont val="Calibri"/>
      </rPr>
      <t xml:space="preserve">Configure the audit log to be protected from unauthorized read access by setting the correct owner as "root"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chown root [audit_log_file]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Replace "[audit_log_file]" to the correct audit log path. By default, this location is "/var/log/audit/audit.log".</t>
    </r>
  </si>
  <si>
    <r>
      <rPr>
        <sz val="11"/>
        <color rgb="FF000000"/>
        <rFont val="Calibri"/>
      </rPr>
      <t xml:space="preserve">Verify the audit logs are owned by "root".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Determine where the audit logs are stored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grep -iw log_file /etc/audit/auditd.conf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log_file = /var/log/audit/audit.log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Using the location of the audit log file, determine if the audit log is owned by "root"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ls -al /var/log/audit/audit.log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rw------- 2 root root 23 Jun 11 11:56 /var/log/audit/audit.log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audit log is not owned by "root", this is a finding.</t>
    </r>
  </si>
  <si>
    <t>V-248734</t>
  </si>
  <si>
    <r>
      <rPr>
        <sz val="11"/>
        <rFont val="Calibri"/>
      </rPr>
      <t>OL 8 audit logs must be group-owned by root to prevent unauthorized read access.</t>
    </r>
  </si>
  <si>
    <r>
      <rPr>
        <sz val="11"/>
        <color rgb="FF000000"/>
        <rFont val="Calibri"/>
      </rPr>
      <t xml:space="preserve">Configure the audit log to be protected from unauthorized read access by setting the correct group-owner as "root"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chgrp root [audit_log_file]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Replace "[audit_log_file]" to the correct audit log path. By default, this location is "/var/log/audit/audit.log".</t>
    </r>
  </si>
  <si>
    <r>
      <rPr>
        <sz val="11"/>
        <color rgb="FF000000"/>
        <rFont val="Calibri"/>
      </rPr>
      <t xml:space="preserve">Verify the audit logs are group-owned by "root".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Determine where the audit logs are stored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grep -iw log_file /etc/audit/auditd.conf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log_file = /var/log/audit/audit.log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Using the location of the audit log file, determine if the audit log is group-owned by "root"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ls -al /var/log/audit/audit.log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rw------- 2 root root 23 Jun 11 11:56 /var/log/audit/audit.log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audit log is not group-owned by "root", this is a finding.</t>
    </r>
  </si>
  <si>
    <t>V-248735</t>
  </si>
  <si>
    <r>
      <rPr>
        <sz val="11"/>
        <rFont val="Calibri"/>
      </rPr>
      <t>The OL 8 audit log directory must be owned by root to prevent unauthorized read access.</t>
    </r>
  </si>
  <si>
    <r>
      <rPr>
        <sz val="11"/>
        <color rgb="FF000000"/>
        <rFont val="Calibri"/>
      </rPr>
      <t xml:space="preserve">Configure the audit log to be protected from unauthorized read access by setting the correct owner as "root"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chown root [audit_log_directory]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Replace "[audit_log_directory]" with the correct audit log directory path. By default, this location is usually "/var/log/audit".</t>
    </r>
  </si>
  <si>
    <r>
      <rPr>
        <sz val="11"/>
        <color rgb="FF000000"/>
        <rFont val="Calibri"/>
      </rPr>
      <t xml:space="preserve">Verify the audit log directory is owned by "root" to prevent unauthorized read access.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Determine where the audit logs are stored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grep -iw log_file /etc/audit/auditd.conf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log_file = /var/log/audit/audit.log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Determine the owner of the audit log directory by using the output of the above command (ex: "/var/log/audit/"). Run the following command with the correct audit log directory path: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ls -ld /var/log/audit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drwx------ 2 root root 23 Jun 11 11:56 /var/log/audit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audit log directory is not owned by "root", this is a finding.</t>
    </r>
  </si>
  <si>
    <t>V-248736</t>
  </si>
  <si>
    <r>
      <rPr>
        <sz val="11"/>
        <rFont val="Calibri"/>
      </rPr>
      <t>The OL 8 audit log directory must be group-owned by root to prevent unauthorized read access.</t>
    </r>
  </si>
  <si>
    <r>
      <rPr>
        <sz val="11"/>
        <color rgb="FF000000"/>
        <rFont val="Calibri"/>
      </rPr>
      <t xml:space="preserve">Configure the audit log to be protected from unauthorized read access by setting the correct group-owner as "root"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chgrp root [audit_log_directory]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Replace "[audit_log_directory]" with the correct audit log directory path. By default, this location is usually "/var/log/audit".</t>
    </r>
  </si>
  <si>
    <r>
      <rPr>
        <sz val="11"/>
        <color rgb="FF000000"/>
        <rFont val="Calibri"/>
      </rPr>
      <t xml:space="preserve">Verify the audit log directory is group-owned by "root" to prevent unauthorized read access.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Determine where the audit logs are stored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grep -iw log_file /etc/audit/auditd.conf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log_file = /var/log/audit/audit.log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Determine the group owner of the audit log directory by using the output of the above command (ex: "/var/log/audit/"). Run the following command with the correct audit log directory path: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ls -ld /var/log/audit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drwx------ 2 root root 23 Jun 11 11:56 /var/log/audit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audit log directory is not group-owned by "root", this is a finding.</t>
    </r>
  </si>
  <si>
    <t>V-248737</t>
  </si>
  <si>
    <r>
      <rPr>
        <sz val="11"/>
        <rFont val="Calibri"/>
      </rPr>
      <t>The OL 8 audit log directory must have a mode of 0700 or less permissive to prevent unauthorized read access.</t>
    </r>
  </si>
  <si>
    <r>
      <rPr>
        <sz val="11"/>
        <color rgb="FF000000"/>
        <rFont val="Calibri"/>
      </rPr>
      <t xml:space="preserve">Configure the audit log directory to be protected from unauthorized read access by setting the correct permissive mode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chmod 0700 [audit_log_directory]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Replace "[audit_log_directory]" to the correct audit log directory path. By default, this location is "/var/log/audit".</t>
    </r>
  </si>
  <si>
    <r>
      <rPr>
        <sz val="11"/>
        <color rgb="FF000000"/>
        <rFont val="Calibri"/>
      </rPr>
      <t xml:space="preserve">Unauthorized disclosure of audit records can reveal system and configuration data to attackers, thus compromising its confidentiality.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Audit information includes all information (e.g., audit records, audit settings, audit reports) needed to successfully audit OL 8 system activity.</t>
    </r>
    <r>
      <rPr>
        <sz val="11"/>
        <color rgb="FF000000"/>
        <rFont val="Calibri"/>
      </rPr>
      <t xml:space="preserve">
</t>
    </r>
    <r>
      <rPr>
        <sz val="11"/>
        <color rgb="FF000000"/>
        <rFont val="Calibri"/>
      </rPr>
      <t>Satisfies: SRG-OS-000057-GPOS-00027, SRG-OS-000058-GPOS-00028, SRG-OS-000059-GPOS-00029</t>
    </r>
  </si>
  <si>
    <r>
      <rPr>
        <sz val="11"/>
        <color rgb="FF000000"/>
        <rFont val="Calibri"/>
      </rPr>
      <t xml:space="preserve">Verify the audit log directories have a mode of "0700" or less permissive by first determining where the audit logs are stored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grep -iw log_file /etc/audit/auditd.conf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log_file = /var/log/audit/audit.log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Using the location of the audit log, determine the directory where the audit logs are stored (ex: "/var/log/audit"). Run the following command to determine the permissions for the audit log folder: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stat -c "%a %n" /var/log/audit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700 /var/log/audit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audit log directory has a mode more permissive than "0700", this is a finding.</t>
    </r>
  </si>
  <si>
    <t>V-248738</t>
  </si>
  <si>
    <r>
      <rPr>
        <sz val="11"/>
        <rFont val="Calibri"/>
      </rPr>
      <t>The OL 8 audit system must protect auditing rules from unauthorized change.</t>
    </r>
  </si>
  <si>
    <r>
      <rPr>
        <sz val="11"/>
        <color rgb="FF000000"/>
        <rFont val="Calibri"/>
      </rPr>
      <t>Configure the audit system to set the audit rules to be immutable by adding the following line to "/etc/audit/rules.d/audit.rules":</t>
    </r>
    <r>
      <rPr>
        <sz val="11"/>
        <color rgb="FF000000"/>
        <rFont val="Calibri"/>
      </rPr>
      <t xml:space="preserve">
</t>
    </r>
    <r>
      <rPr>
        <sz val="11"/>
        <color rgb="FF000000"/>
        <rFont val="Calibri"/>
      </rPr>
      <t>-e 2</t>
    </r>
    <r>
      <rPr>
        <sz val="11"/>
        <color rgb="FF000000"/>
        <rFont val="Calibri"/>
      </rPr>
      <t xml:space="preserve">
</t>
    </r>
    <r>
      <rPr>
        <sz val="11"/>
        <color rgb="FF000000"/>
        <rFont val="Calibri"/>
      </rPr>
      <t>Note: Once set, the system must be rebooted for auditing to be changed. It is recommended to add this option as the last step in securing the system.</t>
    </r>
  </si>
  <si>
    <r>
      <rPr>
        <sz val="11"/>
        <color rgb="FF000000"/>
        <rFont val="Calibri"/>
      </rPr>
      <t xml:space="preserve">Unauthorized disclosure of audit records can reveal system and configuration data to attackers, thus compromising its confidentiality.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Audit information includes all information (e.g., audit records, audit settings, audit reports) needed to successfully audit OL 8 system activity.</t>
    </r>
    <r>
      <rPr>
        <sz val="11"/>
        <color rgb="FF000000"/>
        <rFont val="Calibri"/>
      </rPr>
      <t xml:space="preserve">
</t>
    </r>
    <r>
      <rPr>
        <sz val="11"/>
        <color rgb="FF000000"/>
        <rFont val="Calibri"/>
      </rPr>
      <t>In immutable mode, unauthorized users cannot execute changes to the audit system to potentially hide malicious activity and then put the audit rules back. A system reboot would be noticeable and a system administrator could then investigate the unauthorized changes.</t>
    </r>
    <r>
      <rPr>
        <sz val="11"/>
        <color rgb="FF000000"/>
        <rFont val="Calibri"/>
      </rPr>
      <t xml:space="preserve">
</t>
    </r>
    <r>
      <rPr>
        <sz val="11"/>
        <color rgb="FF000000"/>
        <rFont val="Calibri"/>
      </rPr>
      <t>Satisfies: SRG-OS-000057-GPOS-00027, SRG-OS-000058-GPOS-00028, SRG-OS-000059-GPOS-00029</t>
    </r>
  </si>
  <si>
    <r>
      <rPr>
        <sz val="11"/>
        <color rgb="FF000000"/>
        <rFont val="Calibri"/>
      </rPr>
      <t>Verify the audit system prevents unauthorized changes with the following command:</t>
    </r>
    <r>
      <rPr>
        <sz val="11"/>
        <color rgb="FF000000"/>
        <rFont val="Calibri"/>
      </rPr>
      <t xml:space="preserve">
</t>
    </r>
    <r>
      <rPr>
        <sz val="11"/>
        <color rgb="FF000000"/>
        <rFont val="Calibri"/>
      </rPr>
      <t>$ sudo grep "^\s*[^#]" /etc/audit/audit.rules | tail -1</t>
    </r>
    <r>
      <rPr>
        <sz val="11"/>
        <color rgb="FF000000"/>
        <rFont val="Calibri"/>
      </rPr>
      <t xml:space="preserve">
</t>
    </r>
    <r>
      <rPr>
        <sz val="11"/>
        <color rgb="FF000000"/>
        <rFont val="Calibri"/>
      </rPr>
      <t>-e 2</t>
    </r>
    <r>
      <rPr>
        <sz val="11"/>
        <color rgb="FF000000"/>
        <rFont val="Calibri"/>
      </rPr>
      <t xml:space="preserve">
</t>
    </r>
    <r>
      <rPr>
        <sz val="11"/>
        <color rgb="FF000000"/>
        <rFont val="Calibri"/>
      </rPr>
      <t>If the audit system is not set to be immutable by adding the "-e 2" option to the "/etc/audit/audit.rules", this is a finding.</t>
    </r>
  </si>
  <si>
    <t>V-248739</t>
  </si>
  <si>
    <r>
      <rPr>
        <sz val="11"/>
        <rFont val="Calibri"/>
      </rPr>
      <t>The OL 8 audit system must protect logon UIDs from unauthorized change.</t>
    </r>
  </si>
  <si>
    <r>
      <rPr>
        <sz val="11"/>
        <color rgb="FF000000"/>
        <rFont val="Calibri"/>
      </rPr>
      <t>Configure the audit system to set the logon UIDs to be immutable by adding the following line to "/etc/audit/rules.d/audit.rules":</t>
    </r>
    <r>
      <rPr>
        <sz val="11"/>
        <color rgb="FF000000"/>
        <rFont val="Calibri"/>
      </rPr>
      <t xml:space="preserve">
</t>
    </r>
    <r>
      <rPr>
        <sz val="11"/>
        <color rgb="FF000000"/>
        <rFont val="Calibri"/>
      </rPr>
      <t>--loginuid-immutable</t>
    </r>
  </si>
  <si>
    <r>
      <rPr>
        <sz val="11"/>
        <color rgb="FF000000"/>
        <rFont val="Calibri"/>
      </rPr>
      <t>Verify the audit system prevents unauthorized changes to logon UIDs with the following command:</t>
    </r>
    <r>
      <rPr>
        <sz val="11"/>
        <color rgb="FF000000"/>
        <rFont val="Calibri"/>
      </rPr>
      <t xml:space="preserve">
</t>
    </r>
    <r>
      <rPr>
        <sz val="11"/>
        <color rgb="FF000000"/>
        <rFont val="Calibri"/>
      </rPr>
      <t>$ sudo grep -i immutable /etc/audit/audit.rules</t>
    </r>
    <r>
      <rPr>
        <sz val="11"/>
        <color rgb="FF000000"/>
        <rFont val="Calibri"/>
      </rPr>
      <t xml:space="preserve">
</t>
    </r>
    <r>
      <rPr>
        <sz val="11"/>
        <color rgb="FF000000"/>
        <rFont val="Calibri"/>
      </rPr>
      <t>--loginuid-immutable</t>
    </r>
    <r>
      <rPr>
        <sz val="11"/>
        <color rgb="FF000000"/>
        <rFont val="Calibri"/>
      </rPr>
      <t xml:space="preserve">
</t>
    </r>
    <r>
      <rPr>
        <sz val="11"/>
        <color rgb="FF000000"/>
        <rFont val="Calibri"/>
      </rPr>
      <t>If the login UIDs are not set to be immutable by adding the "--loginuid-immutable" option to the "/etc/audit/audit.rules", this is a finding.</t>
    </r>
  </si>
  <si>
    <t>V-248740</t>
  </si>
  <si>
    <r>
      <rPr>
        <sz val="11"/>
        <rFont val="Calibri"/>
      </rPr>
      <t xml:space="preserve">OL 8 must generate audit records for all account creation events that affect </t>
    </r>
    <r>
      <rPr>
        <sz val="11"/>
        <color rgb="FF000000"/>
        <rFont val="Calibri"/>
      </rPr>
      <t>"</t>
    </r>
    <r>
      <rPr>
        <b/>
        <sz val="11"/>
        <color rgb="FF000000"/>
        <rFont val="Calibri"/>
      </rPr>
      <t>/etc/shadow</t>
    </r>
    <r>
      <rPr>
        <sz val="11"/>
        <color rgb="FF000000"/>
        <rFont val="Calibri"/>
      </rPr>
      <t>"</t>
    </r>
    <r>
      <rPr>
        <sz val="11"/>
        <color rgb="FF000000"/>
        <rFont val="Calibri"/>
      </rPr>
      <t>.</t>
    </r>
  </si>
  <si>
    <r>
      <rPr>
        <sz val="11"/>
        <color rgb="FF000000"/>
        <rFont val="Calibri"/>
      </rPr>
      <t xml:space="preserve">Configure OL 8 to generate audit records for all account creations events that affect "/etc/shadow".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update the following file system rule to "/etc/audit/rules.d/audit.rules":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-w /etc/shadow -p wa -k identity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The audit daemon must be restarted for the changes to take effect. To restart the audit daemon, run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service auditd restart</t>
    </r>
  </si>
  <si>
    <r>
      <rPr>
        <sz val="11"/>
        <color rgb="FF000000"/>
        <rFont val="Calibri"/>
      </rPr>
      <t xml:space="preserve">Without generating audit records that are specific to the security and mission needs of the organization, it would be difficult to establish, correlate, and investigate the events relating to an incident or identify those responsible for one.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Satisfies: SRG-OS-000004-GPOS-00004, SRG-OS-000037-GPOS-00015, SRG-OS-000042-GPOS-00020, SRG-OS-000062-GPOS-00031, SRG-OS-000239-GPOS-00089, SRG-OS-000240-GPOS-00090, SRG-OS-000303-GPOS-00120, SRG-OS-000304-GPOS-00121, SRG-OS-000392-GPOS-00172, SRG-OS-000462-GPOS-00206, SRG-OS-000470-GPOS-00214, SRG-OS-000471-GPOS-00215, SRG-OS-000476-GPOS-00221</t>
    </r>
  </si>
  <si>
    <r>
      <rPr>
        <sz val="11"/>
        <color rgb="FF000000"/>
        <rFont val="Calibri"/>
      </rPr>
      <t xml:space="preserve">Verify OL 8 generates audit records for all account creations, modifications, disabling, and termination events that affect "/etc/shadow".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Check the auditing rules in "/etc/audit/audit.rules"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grep /etc/shadow /etc/audit/audit.rules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-w /etc/shadow -p wa -k identity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a line or the line is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allows for specifying an arbitrary identifier, and the string after it does not need to match the example output above.</t>
    </r>
  </si>
  <si>
    <t>V-248741</t>
  </si>
  <si>
    <r>
      <rPr>
        <sz val="11"/>
        <rFont val="Calibri"/>
      </rPr>
      <t xml:space="preserve">OL 8 must generate audit records for all account creation events that affect </t>
    </r>
    <r>
      <rPr>
        <sz val="11"/>
        <color rgb="FF000000"/>
        <rFont val="Calibri"/>
      </rPr>
      <t>"</t>
    </r>
    <r>
      <rPr>
        <b/>
        <sz val="11"/>
        <color rgb="FF000000"/>
        <rFont val="Calibri"/>
      </rPr>
      <t>/etc/security/opasswd</t>
    </r>
    <r>
      <rPr>
        <sz val="11"/>
        <color rgb="FF000000"/>
        <rFont val="Calibri"/>
      </rPr>
      <t>"</t>
    </r>
    <r>
      <rPr>
        <sz val="11"/>
        <color rgb="FF000000"/>
        <rFont val="Calibri"/>
      </rPr>
      <t>.</t>
    </r>
  </si>
  <si>
    <r>
      <rPr>
        <sz val="11"/>
        <color rgb="FF000000"/>
        <rFont val="Calibri"/>
      </rPr>
      <t xml:space="preserve">Configure OL 8 to generate audit records for all account creations events that affect "/etc/security/opasswd".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update the following file system rule to "/etc/audit/rules.d/audit.rules":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-w /etc/security/opasswd -p wa -k identity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The audit daemon must be restarted for the changes to take effect. To restart the audit daemon, run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service auditd restart</t>
    </r>
  </si>
  <si>
    <r>
      <rPr>
        <sz val="11"/>
        <color rgb="FF000000"/>
        <rFont val="Calibri"/>
      </rPr>
      <t xml:space="preserve">Verify OL 8 generates audit records for all account creations, modifications, disabling, and termination events that affect "/etc/security/opasswd".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Check the auditing rules in "/etc/audit/audit.rules"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grep /etc/security/opasswd /etc/audit/audit.rules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-w /etc/security/opasswd -p wa -k identity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a line or the line is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allows for specifying an arbitrary identifier, and the string after it does not need to match the example output above.</t>
    </r>
  </si>
  <si>
    <t>V-248742</t>
  </si>
  <si>
    <r>
      <rPr>
        <sz val="11"/>
        <rFont val="Calibri"/>
      </rPr>
      <t xml:space="preserve">OL 8 must generate audit records for all account creation events that affect </t>
    </r>
    <r>
      <rPr>
        <sz val="11"/>
        <color rgb="FF000000"/>
        <rFont val="Calibri"/>
      </rPr>
      <t>"</t>
    </r>
    <r>
      <rPr>
        <b/>
        <sz val="11"/>
        <color rgb="FF000000"/>
        <rFont val="Calibri"/>
      </rPr>
      <t>/etc/passwd</t>
    </r>
    <r>
      <rPr>
        <sz val="11"/>
        <color rgb="FF000000"/>
        <rFont val="Calibri"/>
      </rPr>
      <t>"</t>
    </r>
    <r>
      <rPr>
        <sz val="11"/>
        <color rgb="FF000000"/>
        <rFont val="Calibri"/>
      </rPr>
      <t>.</t>
    </r>
  </si>
  <si>
    <r>
      <rPr>
        <sz val="11"/>
        <color rgb="FF000000"/>
        <rFont val="Calibri"/>
      </rPr>
      <t xml:space="preserve">Configure OL 8 to generate audit records for all account creations events that affect "/etc/passwd".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update the following file system rule to "/etc/audit/rules.d/audit.rules":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-w /etc/passwd -p wa -k identity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The audit daemon must be restarted for the changes to take effect. To restart the audit daemon, run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service auditd restart</t>
    </r>
  </si>
  <si>
    <r>
      <rPr>
        <sz val="11"/>
        <color rgb="FF000000"/>
        <rFont val="Calibri"/>
      </rPr>
      <t xml:space="preserve">Without generating audit records that are specific to the security and mission needs of the organization, it would be difficult to establish, correlate, and investigate the events relating to an incident or identify those responsible for one.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Satisfies: SRG-OS-000004-GPOS-00004, SRG-OS-000037-GPOS-00015, SRG-OS-000042-GPOS-00020, SRG-OS-000062-GPOS-00031, SRG-OS-000239-GPOS-00089, SRG-OS-000240-GPOS-00090, SRG-OS-000303-GPOS-00120, SRG-OS-000304-GPOS-00121, SRG-OS-000392-GPOS-00172, SRG-OS-000462-GPOS-00206, SRG-OS-000466-GPOS-00210, SRG-OS-000470-GPOS-00214, SRG-OS-000471-GPOS-00215, SRG-OS-000476-GPOS-00221</t>
    </r>
  </si>
  <si>
    <r>
      <rPr>
        <sz val="11"/>
        <color rgb="FF000000"/>
        <rFont val="Calibri"/>
      </rPr>
      <t xml:space="preserve">Verify OL 8 generates audit records for all account creations, modifications, disabling, and termination events that affect "/etc/passwd".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Check the auditing rules in "/etc/audit/audit.rules"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grep /etc/passwd /etc/audit/audit.rules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-w /etc/passwd -p wa -k identity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a line or the line is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allows for specifying an arbitrary identifier, and the string after it does not need to match the example output above.</t>
    </r>
  </si>
  <si>
    <t>V-248743</t>
  </si>
  <si>
    <r>
      <rPr>
        <sz val="11"/>
        <rFont val="Calibri"/>
      </rPr>
      <t xml:space="preserve">OL 8 must generate audit records for all account creation events that affect </t>
    </r>
    <r>
      <rPr>
        <sz val="11"/>
        <color rgb="FF000000"/>
        <rFont val="Calibri"/>
      </rPr>
      <t>"</t>
    </r>
    <r>
      <rPr>
        <b/>
        <sz val="11"/>
        <color rgb="FF000000"/>
        <rFont val="Calibri"/>
      </rPr>
      <t>/etc/gshadow</t>
    </r>
    <r>
      <rPr>
        <sz val="11"/>
        <color rgb="FF000000"/>
        <rFont val="Calibri"/>
      </rPr>
      <t>"</t>
    </r>
    <r>
      <rPr>
        <sz val="11"/>
        <color rgb="FF000000"/>
        <rFont val="Calibri"/>
      </rPr>
      <t>.</t>
    </r>
  </si>
  <si>
    <r>
      <rPr>
        <sz val="11"/>
        <color rgb="FF000000"/>
        <rFont val="Calibri"/>
      </rPr>
      <t xml:space="preserve">Configure OL 8 to generate audit records for all account creations events that affect "/etc/gshadow".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update the following file system rule to "/etc/audit/rules.d/audit.rules":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-w /etc/gshadow -p wa -k identity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The audit daemon must be restarted for the changes to take effect. To restart the audit daemon, run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service auditd restart</t>
    </r>
  </si>
  <si>
    <r>
      <rPr>
        <sz val="11"/>
        <color rgb="FF000000"/>
        <rFont val="Calibri"/>
      </rPr>
      <t xml:space="preserve">Without generating audit records that are specific to the security and mission needs of the organization, it would be difficult to establish, correlate, and investigate the events relating to an incident or identify those responsible for one.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Satisfies: SRG-OS-000004-GPOS-00004, SRG-OS-000037-GPOS-00015, SRG-OS-000042-GPOS-00020, SRG-OS-000062-GPOS-00031, SRG-OS-000239-GPOS-00089, SRG-OS-000240-GPOS-00090, SRG-OS-000241-GPOS-00091, SRG-OS-000303-GPOS-00120, SRG-OS-000304-GPOS-00121, SRG-OS-000392-GPOS-00172, SRG-OS-000462-GPOS-00206, SRG-OS-000466-GPOS-00210, SRG-OS-000470-GPOS-00214, SRG-OS-000471-GPOS-00215, SRG-OS-000476-GPOS-00221</t>
    </r>
  </si>
  <si>
    <r>
      <rPr>
        <sz val="11"/>
        <color rgb="FF000000"/>
        <rFont val="Calibri"/>
      </rPr>
      <t xml:space="preserve">Verify OL 8 generates audit records for all account creations, modifications, disabling, and termination events that affect "/etc/gshadow".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Check the auditing rules in "/etc/audit/audit.rules"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grep /etc/gshadow /etc/audit/audit.rules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-w /etc/gshadow -p wa -k identity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a line or the line is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allows for specifying an arbitrary identifier, and the string after it does not need to match the example output above.</t>
    </r>
  </si>
  <si>
    <t>V-248744</t>
  </si>
  <si>
    <r>
      <rPr>
        <sz val="11"/>
        <rFont val="Calibri"/>
      </rPr>
      <t xml:space="preserve">OL 8 must generate audit records for all account creation events that affect </t>
    </r>
    <r>
      <rPr>
        <sz val="11"/>
        <color rgb="FF000000"/>
        <rFont val="Calibri"/>
      </rPr>
      <t>"</t>
    </r>
    <r>
      <rPr>
        <b/>
        <sz val="11"/>
        <color rgb="FF000000"/>
        <rFont val="Calibri"/>
      </rPr>
      <t>/etc/group</t>
    </r>
    <r>
      <rPr>
        <sz val="11"/>
        <color rgb="FF000000"/>
        <rFont val="Calibri"/>
      </rPr>
      <t>"</t>
    </r>
    <r>
      <rPr>
        <sz val="11"/>
        <color rgb="FF000000"/>
        <rFont val="Calibri"/>
      </rPr>
      <t>.</t>
    </r>
  </si>
  <si>
    <r>
      <rPr>
        <sz val="11"/>
        <color rgb="FF000000"/>
        <rFont val="Calibri"/>
      </rPr>
      <t xml:space="preserve">Configure OL 8 to generate audit records for all account creations events that affect "/etc/group".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update the following file system rule to "/etc/audit/rules.d/audit.rules":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-w /etc/group -p wa -k identity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The audit daemon must be restarted for the changes to take effect. To restart the audit daemon, run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service auditd restart</t>
    </r>
  </si>
  <si>
    <r>
      <rPr>
        <sz val="11"/>
        <color rgb="FF000000"/>
        <rFont val="Calibri"/>
      </rPr>
      <t xml:space="preserve">Verify OL 8 generates audit records for all account creations events that affect "/etc/group".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Check the auditing rules in "/etc/audit/audit.rules"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grep /etc/group /etc/audit/audit.rules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-w /etc/group -p wa -k identity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a line or the line is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allows for specifying an arbitrary identifier, and the string after it does not need to match the example output above.</t>
    </r>
  </si>
  <si>
    <t>V-248745</t>
  </si>
  <si>
    <r>
      <rPr>
        <sz val="11"/>
        <rFont val="Calibri"/>
      </rPr>
      <t xml:space="preserve">OL 8 must generate audit records for all account creations, modifications, disabling, and termination events that affect </t>
    </r>
    <r>
      <rPr>
        <sz val="11"/>
        <color rgb="FF000000"/>
        <rFont val="Calibri"/>
      </rPr>
      <t>"</t>
    </r>
    <r>
      <rPr>
        <b/>
        <sz val="11"/>
        <color rgb="FF000000"/>
        <rFont val="Calibri"/>
      </rPr>
      <t>/etc/sudoers</t>
    </r>
    <r>
      <rPr>
        <sz val="11"/>
        <color rgb="FF000000"/>
        <rFont val="Calibri"/>
      </rPr>
      <t>"</t>
    </r>
    <r>
      <rPr>
        <sz val="11"/>
        <color rgb="FF000000"/>
        <rFont val="Calibri"/>
      </rPr>
      <t>.</t>
    </r>
  </si>
  <si>
    <r>
      <rPr>
        <sz val="11"/>
        <color rgb="FF000000"/>
        <rFont val="Calibri"/>
      </rPr>
      <t>Configure OL 8 to generate audit records for all account creations, modifications, disabling, and termination events that affect "/etc/sudoers".</t>
    </r>
    <r>
      <rPr>
        <sz val="11"/>
        <color rgb="FF000000"/>
        <rFont val="Calibri"/>
      </rPr>
      <t xml:space="preserve">
</t>
    </r>
    <r>
      <rPr>
        <sz val="11"/>
        <color rgb="FF000000"/>
        <rFont val="Calibri"/>
      </rPr>
      <t>Add or update the following file system rule to "/etc/audit/rules.d/audit.rules":</t>
    </r>
    <r>
      <rPr>
        <sz val="11"/>
        <color rgb="FF000000"/>
        <rFont val="Calibri"/>
      </rPr>
      <t xml:space="preserve">
</t>
    </r>
    <r>
      <rPr>
        <sz val="11"/>
        <color rgb="FF000000"/>
        <rFont val="Calibri"/>
      </rPr>
      <t>-w /etc/sudoers -p wa -k identity</t>
    </r>
    <r>
      <rPr>
        <sz val="11"/>
        <color rgb="FF000000"/>
        <rFont val="Calibri"/>
      </rPr>
      <t xml:space="preserve">
</t>
    </r>
    <r>
      <rPr>
        <sz val="11"/>
        <color rgb="FF000000"/>
        <rFont val="Calibri"/>
      </rPr>
      <t>The audit daemon must be restarted for the changes to take effect.</t>
    </r>
    <r>
      <rPr>
        <sz val="11"/>
        <color rgb="FF000000"/>
        <rFont val="Calibri"/>
      </rPr>
      <t xml:space="preserve">
</t>
    </r>
    <r>
      <rPr>
        <sz val="11"/>
        <color rgb="FF000000"/>
        <rFont val="Calibri"/>
      </rPr>
      <t>$ sudo service auditd restart</t>
    </r>
  </si>
  <si>
    <r>
      <rPr>
        <sz val="11"/>
        <color rgb="FF000000"/>
        <rFont val="Calibri"/>
      </rPr>
      <t>Verify OL 8 generates audit records for all account creations, modifications, disabling, and termination events that affect "/etc/sudoers".</t>
    </r>
    <r>
      <rPr>
        <sz val="11"/>
        <color rgb="FF000000"/>
        <rFont val="Calibri"/>
      </rPr>
      <t xml:space="preserve">
</t>
    </r>
    <r>
      <rPr>
        <sz val="11"/>
        <color rgb="FF000000"/>
        <rFont val="Calibri"/>
      </rPr>
      <t>Check the auditing rules in "/etc/audit/audit.rules" with the following command:</t>
    </r>
    <r>
      <rPr>
        <sz val="11"/>
        <color rgb="FF000000"/>
        <rFont val="Calibri"/>
      </rPr>
      <t xml:space="preserve">
</t>
    </r>
    <r>
      <rPr>
        <sz val="11"/>
        <color rgb="FF000000"/>
        <rFont val="Calibri"/>
      </rPr>
      <t>$ sudo grep /etc/sudoers /etc/audit/audit.rules</t>
    </r>
    <r>
      <rPr>
        <sz val="11"/>
        <color rgb="FF000000"/>
        <rFont val="Calibri"/>
      </rPr>
      <t xml:space="preserve">
</t>
    </r>
    <r>
      <rPr>
        <sz val="11"/>
        <color rgb="FF000000"/>
        <rFont val="Calibri"/>
      </rPr>
      <t>-w /etc/sudoers -p wa -k identity</t>
    </r>
    <r>
      <rPr>
        <sz val="11"/>
        <color rgb="FF000000"/>
        <rFont val="Calibri"/>
      </rPr>
      <t xml:space="preserve">
</t>
    </r>
    <r>
      <rPr>
        <sz val="11"/>
        <color rgb="FF000000"/>
        <rFont val="Calibri"/>
      </rPr>
      <t>If the command does not return a line, or the line is commented out, this is a finding.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allows for specifying an arbitrary identifier, and the string after it does not need to match the example output above.</t>
    </r>
  </si>
  <si>
    <t>V-248746</t>
  </si>
  <si>
    <r>
      <rPr>
        <sz val="11"/>
        <rFont val="Calibri"/>
      </rPr>
      <t xml:space="preserve">OL 8 must generate audit records for all account creations, modifications, disabling, and termination events that affect </t>
    </r>
    <r>
      <rPr>
        <sz val="11"/>
        <color rgb="FF000000"/>
        <rFont val="Calibri"/>
      </rPr>
      <t>"</t>
    </r>
    <r>
      <rPr>
        <b/>
        <sz val="11"/>
        <color rgb="FF000000"/>
        <rFont val="Calibri"/>
      </rPr>
      <t>/etc/sudoers.d/</t>
    </r>
    <r>
      <rPr>
        <sz val="11"/>
        <color rgb="FF000000"/>
        <rFont val="Calibri"/>
      </rPr>
      <t>"</t>
    </r>
    <r>
      <rPr>
        <sz val="11"/>
        <color rgb="FF000000"/>
        <rFont val="Calibri"/>
      </rPr>
      <t>.</t>
    </r>
  </si>
  <si>
    <r>
      <rPr>
        <sz val="11"/>
        <color rgb="FF000000"/>
        <rFont val="Calibri"/>
      </rPr>
      <t>Configure OL 8 to generate audit records for all account creations, modifications, disabling, and termination events that affect "/etc/sudoers.d/".</t>
    </r>
    <r>
      <rPr>
        <sz val="11"/>
        <color rgb="FF000000"/>
        <rFont val="Calibri"/>
      </rPr>
      <t xml:space="preserve">
</t>
    </r>
    <r>
      <rPr>
        <sz val="11"/>
        <color rgb="FF000000"/>
        <rFont val="Calibri"/>
      </rPr>
      <t>Add or update the following file system rule to "/etc/audit/rules.d/audit.rules":</t>
    </r>
    <r>
      <rPr>
        <sz val="11"/>
        <color rgb="FF000000"/>
        <rFont val="Calibri"/>
      </rPr>
      <t xml:space="preserve">
</t>
    </r>
    <r>
      <rPr>
        <sz val="11"/>
        <color rgb="FF000000"/>
        <rFont val="Calibri"/>
      </rPr>
      <t>-w /etc/sudoers.d/ -p wa -k identity</t>
    </r>
    <r>
      <rPr>
        <sz val="11"/>
        <color rgb="FF000000"/>
        <rFont val="Calibri"/>
      </rPr>
      <t xml:space="preserve">
</t>
    </r>
    <r>
      <rPr>
        <sz val="11"/>
        <color rgb="FF000000"/>
        <rFont val="Calibri"/>
      </rPr>
      <t>The audit daemon must be restarted for the changes to take effect.</t>
    </r>
    <r>
      <rPr>
        <sz val="11"/>
        <color rgb="FF000000"/>
        <rFont val="Calibri"/>
      </rPr>
      <t xml:space="preserve">
</t>
    </r>
    <r>
      <rPr>
        <sz val="11"/>
        <color rgb="FF000000"/>
        <rFont val="Calibri"/>
      </rPr>
      <t>$ sudo service auditd restart</t>
    </r>
  </si>
  <si>
    <r>
      <rPr>
        <sz val="11"/>
        <color rgb="FF000000"/>
        <rFont val="Calibri"/>
      </rPr>
      <t>Verify OL 8 generates audit records for all account creations, modifications, disabling, and termination events that affect "/etc/sudoers.d/".</t>
    </r>
    <r>
      <rPr>
        <sz val="11"/>
        <color rgb="FF000000"/>
        <rFont val="Calibri"/>
      </rPr>
      <t xml:space="preserve">
</t>
    </r>
    <r>
      <rPr>
        <sz val="11"/>
        <color rgb="FF000000"/>
        <rFont val="Calibri"/>
      </rPr>
      <t>Check the auditing rules in "/etc/audit/audit.rules" with the following command:</t>
    </r>
    <r>
      <rPr>
        <sz val="11"/>
        <color rgb="FF000000"/>
        <rFont val="Calibri"/>
      </rPr>
      <t xml:space="preserve">
</t>
    </r>
    <r>
      <rPr>
        <sz val="11"/>
        <color rgb="FF000000"/>
        <rFont val="Calibri"/>
      </rPr>
      <t>$ sudo grep /etc/sudoers.d/ /etc/audit/audit.rules</t>
    </r>
    <r>
      <rPr>
        <sz val="11"/>
        <color rgb="FF000000"/>
        <rFont val="Calibri"/>
      </rPr>
      <t xml:space="preserve">
</t>
    </r>
    <r>
      <rPr>
        <sz val="11"/>
        <color rgb="FF000000"/>
        <rFont val="Calibri"/>
      </rPr>
      <t>-w /etc/sudoers.d/ -p wa -k identity</t>
    </r>
    <r>
      <rPr>
        <sz val="11"/>
        <color rgb="FF000000"/>
        <rFont val="Calibri"/>
      </rPr>
      <t xml:space="preserve">
</t>
    </r>
    <r>
      <rPr>
        <sz val="11"/>
        <color rgb="FF000000"/>
        <rFont val="Calibri"/>
      </rPr>
      <t>If the command does not return a line, or the line is commented out, this is a finding.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allows for specifying an arbitrary identifier, and the string after it does not need to match the example output above.</t>
    </r>
  </si>
  <si>
    <t>V-248747</t>
  </si>
  <si>
    <r>
      <rPr>
        <sz val="11"/>
        <rFont val="Calibri"/>
      </rPr>
      <t xml:space="preserve">OL 8 must generate audit records for any use of the </t>
    </r>
    <r>
      <rPr>
        <sz val="11"/>
        <color rgb="FF000000"/>
        <rFont val="Calibri"/>
      </rPr>
      <t>"</t>
    </r>
    <r>
      <rPr>
        <b/>
        <sz val="11"/>
        <color rgb="FF000000"/>
        <rFont val="Calibri"/>
      </rPr>
      <t>su</t>
    </r>
    <r>
      <rPr>
        <sz val="11"/>
        <color rgb="FF000000"/>
        <rFont val="Calibri"/>
      </rPr>
      <t>"</t>
    </r>
    <r>
      <rPr>
        <sz val="11"/>
        <color rgb="FF000000"/>
        <rFont val="Calibri"/>
      </rPr>
      <t xml:space="preserve"> command.</t>
    </r>
  </si>
  <si>
    <r>
      <rPr>
        <sz val="11"/>
        <color rgb="FF000000"/>
        <rFont val="Calibri"/>
      </rPr>
      <t xml:space="preserve">Configure OL 8 to generate audit records for any use of the "su" command by adding or updating the following rule in "/etc/audit/rules.d/audit.rules":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always,exit -F path=/usr/bin/su -F perm=x -F auid&gt;=1000 -F auid!=unset -k privileged-priv_change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The audit daemon must be restarted for the changes to take effect. To restart the audit daemon, run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service auditd restart</t>
    </r>
  </si>
  <si>
    <r>
      <rPr>
        <sz val="11"/>
        <color rgb="FF000000"/>
        <rFont val="Calibri"/>
      </rPr>
      <t xml:space="preserve">Without generating audit records that are specific to the security and mission needs of the organization, it would be difficult to establish, correlate, and investigate the events relating to an incident or identify those responsible for one.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Audit records can be generated from various components within the information system (e.g., module or policy filter). The "su" command allows a user to run commands with a substitute user and group ID.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When a user logs on, the AUID is set to the UID of the account that is being authenticated. Daemons are not user sessions and have the loginuid set to "-1". The AUID representation is an unsigned 32-bit integer, which equals "4294967295". The audit system interprets "-1", "4294967295", and "unset" in the same way.</t>
    </r>
    <r>
      <rPr>
        <sz val="11"/>
        <color rgb="FF000000"/>
        <rFont val="Calibri"/>
      </rPr>
      <t xml:space="preserve">
</t>
    </r>
    <r>
      <rPr>
        <sz val="11"/>
        <color rgb="FF000000"/>
        <rFont val="Calibri"/>
      </rPr>
      <t>Satisfies: SRG-OS-000037-GPOS-00015, SRG-OS-000042-GPOS-00020, SRG-OS-000062-GPOS-00031, SRG-OS-000392-GPOS-00172, SRG-OS-000462-GPOS-00206, SRG-OS-000466-GPOS-00210, SRG-OS-000471-GPOS-00215</t>
    </r>
  </si>
  <si>
    <r>
      <rPr>
        <sz val="11"/>
        <color rgb="FF000000"/>
        <rFont val="Calibri"/>
      </rPr>
      <t xml:space="preserve">Verify OL 8 generates audit records for any use of the "su" command by running the following command to check the file system rules in "/etc/audit/audit.rules":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grep -iw /usr/bin/su /etc/audit/audit.rules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always,exit -F path=/usr/bin/su -F perm=x -F auid&gt;=1000 -F auid!=unset -k privileged-priv_change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a line or the line is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allows for specifying an arbitrary identifier, and the string after it does not need to match the example output above.</t>
    </r>
  </si>
  <si>
    <t>V-248748</t>
  </si>
  <si>
    <r>
      <rPr>
        <sz val="11"/>
        <rFont val="Calibri"/>
      </rPr>
      <t xml:space="preserve">The OL 8 audit system must be configured to audit any use of the </t>
    </r>
    <r>
      <rPr>
        <sz val="11"/>
        <color rgb="FF000000"/>
        <rFont val="Calibri"/>
      </rPr>
      <t>"</t>
    </r>
    <r>
      <rPr>
        <b/>
        <sz val="11"/>
        <color rgb="FF000000"/>
        <rFont val="Calibri"/>
      </rPr>
      <t>setxattr</t>
    </r>
    <r>
      <rPr>
        <sz val="11"/>
        <color rgb="FF000000"/>
        <rFont val="Calibri"/>
      </rPr>
      <t>"</t>
    </r>
    <r>
      <rPr>
        <sz val="11"/>
        <color rgb="FF000000"/>
        <rFont val="Calibri"/>
      </rPr>
      <t xml:space="preserve">, </t>
    </r>
    <r>
      <rPr>
        <sz val="11"/>
        <color rgb="FF000000"/>
        <rFont val="Calibri"/>
      </rPr>
      <t>"</t>
    </r>
    <r>
      <rPr>
        <b/>
        <sz val="11"/>
        <color rgb="FF000000"/>
        <rFont val="Calibri"/>
      </rPr>
      <t>fsetxattr</t>
    </r>
    <r>
      <rPr>
        <sz val="11"/>
        <color rgb="FF000000"/>
        <rFont val="Calibri"/>
      </rPr>
      <t>"</t>
    </r>
    <r>
      <rPr>
        <sz val="11"/>
        <color rgb="FF000000"/>
        <rFont val="Calibri"/>
      </rPr>
      <t xml:space="preserve">, </t>
    </r>
    <r>
      <rPr>
        <sz val="11"/>
        <color rgb="FF000000"/>
        <rFont val="Calibri"/>
      </rPr>
      <t>"</t>
    </r>
    <r>
      <rPr>
        <b/>
        <sz val="11"/>
        <color rgb="FF000000"/>
        <rFont val="Calibri"/>
      </rPr>
      <t>lsetxattr</t>
    </r>
    <r>
      <rPr>
        <sz val="11"/>
        <color rgb="FF000000"/>
        <rFont val="Calibri"/>
      </rPr>
      <t>"</t>
    </r>
    <r>
      <rPr>
        <sz val="11"/>
        <color rgb="FF000000"/>
        <rFont val="Calibri"/>
      </rPr>
      <t xml:space="preserve">, </t>
    </r>
    <r>
      <rPr>
        <sz val="11"/>
        <color rgb="FF000000"/>
        <rFont val="Calibri"/>
      </rPr>
      <t>"</t>
    </r>
    <r>
      <rPr>
        <b/>
        <sz val="11"/>
        <color rgb="FF000000"/>
        <rFont val="Calibri"/>
      </rPr>
      <t>removexattr</t>
    </r>
    <r>
      <rPr>
        <sz val="11"/>
        <color rgb="FF000000"/>
        <rFont val="Calibri"/>
      </rPr>
      <t>"</t>
    </r>
    <r>
      <rPr>
        <sz val="11"/>
        <color rgb="FF000000"/>
        <rFont val="Calibri"/>
      </rPr>
      <t xml:space="preserve">, </t>
    </r>
    <r>
      <rPr>
        <sz val="11"/>
        <color rgb="FF000000"/>
        <rFont val="Calibri"/>
      </rPr>
      <t>"</t>
    </r>
    <r>
      <rPr>
        <b/>
        <sz val="11"/>
        <color rgb="FF000000"/>
        <rFont val="Calibri"/>
      </rPr>
      <t>fremovexattr</t>
    </r>
    <r>
      <rPr>
        <sz val="11"/>
        <color rgb="FF000000"/>
        <rFont val="Calibri"/>
      </rPr>
      <t>"</t>
    </r>
    <r>
      <rPr>
        <sz val="11"/>
        <color rgb="FF000000"/>
        <rFont val="Calibri"/>
      </rPr>
      <t xml:space="preserve">, and </t>
    </r>
    <r>
      <rPr>
        <sz val="11"/>
        <color rgb="FF000000"/>
        <rFont val="Calibri"/>
      </rPr>
      <t>"</t>
    </r>
    <r>
      <rPr>
        <b/>
        <sz val="11"/>
        <color rgb="FF000000"/>
        <rFont val="Calibri"/>
      </rPr>
      <t>lremovexattr</t>
    </r>
    <r>
      <rPr>
        <sz val="11"/>
        <color rgb="FF000000"/>
        <rFont val="Calibri"/>
      </rPr>
      <t>"</t>
    </r>
    <r>
      <rPr>
        <sz val="11"/>
        <color rgb="FF000000"/>
        <rFont val="Calibri"/>
      </rPr>
      <t xml:space="preserve"> system calls.</t>
    </r>
  </si>
  <si>
    <r>
      <rPr>
        <sz val="11"/>
        <color rgb="FF000000"/>
        <rFont val="Calibri"/>
      </rPr>
      <t xml:space="preserve">Configure OL 8 to audit the execution of the "setxattr", "fsetxattr", "lsetxattr", "removexattr", "fremovexattr", and "lremovexattr" system calls by adding or updating the following lines to "/etc/audit/rules.d/audit.rules":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always,exit -F arch=b32 -S setxattr,fsetxattr,lsetxattr,removexattr,fremovexattr,lremovexattr -F auid&gt;=1000 -F auid!=unset -k perm_mod </t>
    </r>
    <r>
      <rPr>
        <sz val="11"/>
        <color rgb="FF000000"/>
        <rFont val="Calibri"/>
      </rPr>
      <t xml:space="preserve">
</t>
    </r>
    <r>
      <rPr>
        <sz val="11"/>
        <color rgb="FF000000"/>
        <rFont val="Calibri"/>
      </rPr>
      <t xml:space="preserve">-a always,exit -F arch=b64 -S setxattr,fsetxattr,lsetxattr,removexattr,fremovexattr,lremovexattr -F auid&gt;=1000 -F auid!=unset -k perm_mod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always,exit -F arch=b32 -S setxattr,fsetxattr,lsetxattr,removexattr,fremovexattr,lremovexattr -F auid=0 -k perm_mod </t>
    </r>
    <r>
      <rPr>
        <sz val="11"/>
        <color rgb="FF000000"/>
        <rFont val="Calibri"/>
      </rPr>
      <t xml:space="preserve">
</t>
    </r>
    <r>
      <rPr>
        <sz val="11"/>
        <color rgb="FF000000"/>
        <rFont val="Calibri"/>
      </rPr>
      <t xml:space="preserve">-a always,exit -F arch=b64 -S setxattr,fsetxattr,lsetxattr,removexattr,fremovexattr,lremovexattr -F auid=0 -k perm_mod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The audit daemon must be restarted for the changes to take effect. To restart the audit daemon, run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service auditd restart</t>
    </r>
  </si>
  <si>
    <r>
      <rPr>
        <sz val="11"/>
        <color rgb="FF000000"/>
        <rFont val="Calibri"/>
      </rPr>
      <t xml:space="preserve">Without generating audit records that are specific to the security and mission needs of the organization, it would be difficult to establish, correlate, and investigate the events relating to an incident or identify those responsible for one.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Audit records can be generated from various components within the information system (e.g., module or policy filter). </t>
    </r>
    <r>
      <rPr>
        <sz val="11"/>
        <color rgb="FF000000"/>
        <rFont val="Calibri"/>
      </rPr>
      <t xml:space="preserve">
</t>
    </r>
    <r>
      <rPr>
        <sz val="11"/>
        <color rgb="FF000000"/>
        <rFont val="Calibri"/>
      </rPr>
      <t>"Setxattr" is a system call used to set an extended attribute value.</t>
    </r>
    <r>
      <rPr>
        <sz val="11"/>
        <color rgb="FF000000"/>
        <rFont val="Calibri"/>
      </rPr>
      <t xml:space="preserve">
</t>
    </r>
    <r>
      <rPr>
        <sz val="11"/>
        <color rgb="FF000000"/>
        <rFont val="Calibri"/>
      </rPr>
      <t>"Fsetxattr" is a system call used to set an extended attribute value. This is used to set extended attributes on a file.</t>
    </r>
    <r>
      <rPr>
        <sz val="11"/>
        <color rgb="FF000000"/>
        <rFont val="Calibri"/>
      </rPr>
      <t xml:space="preserve">
</t>
    </r>
    <r>
      <rPr>
        <sz val="11"/>
        <color rgb="FF000000"/>
        <rFont val="Calibri"/>
      </rPr>
      <t>"Lsetxattr" is a system call used to set an extended attribute value. This is used to set extended attributes on a symbolic link.</t>
    </r>
    <r>
      <rPr>
        <sz val="11"/>
        <color rgb="FF000000"/>
        <rFont val="Calibri"/>
      </rPr>
      <t xml:space="preserve">
</t>
    </r>
    <r>
      <rPr>
        <sz val="11"/>
        <color rgb="FF000000"/>
        <rFont val="Calibri"/>
      </rPr>
      <t>"Removexattr" is a system call that removes extended attributes.</t>
    </r>
    <r>
      <rPr>
        <sz val="11"/>
        <color rgb="FF000000"/>
        <rFont val="Calibri"/>
      </rPr>
      <t xml:space="preserve">
</t>
    </r>
    <r>
      <rPr>
        <sz val="11"/>
        <color rgb="FF000000"/>
        <rFont val="Calibri"/>
      </rPr>
      <t>"Fremovexattr" is a system call that removes extended attributes. This is used for removal of extended attributes from a file.</t>
    </r>
    <r>
      <rPr>
        <sz val="11"/>
        <color rgb="FF000000"/>
        <rFont val="Calibri"/>
      </rPr>
      <t xml:space="preserve">
</t>
    </r>
    <r>
      <rPr>
        <sz val="11"/>
        <color rgb="FF000000"/>
        <rFont val="Calibri"/>
      </rPr>
      <t xml:space="preserve">"Lremovexattr" is a system call that removes extended attributes. This is used for removal of extended attributes from symbolic links.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When a user logs on, the AUID is set to the UID of the account that is being authenticated. Daemons are not user sessions and have the loginuid set to "-1". The AUID representation is an unsigned 32-bit integer, which equals "4294967295". The audit system interprets "-1", "4294967295", and "unset" in the same way.</t>
    </r>
    <r>
      <rPr>
        <sz val="11"/>
        <color rgb="FF000000"/>
        <rFont val="Calibri"/>
      </rPr>
      <t xml:space="preserve">
</t>
    </r>
    <r>
      <rPr>
        <sz val="11"/>
        <color rgb="FF000000"/>
        <rFont val="Calibri"/>
      </rPr>
      <t>The system call rules are loaded into a matching engine that intercepts each syscall that all programs on the system makes. Therefore, it is very important to only use syscall rules when absolutely necessary since these affect performance. The more rules, the bigger the performance hit. Performance can be helped, though, by combining syscalls into one rule whenever possible.</t>
    </r>
    <r>
      <rPr>
        <sz val="11"/>
        <color rgb="FF000000"/>
        <rFont val="Calibri"/>
      </rPr>
      <t xml:space="preserve">
</t>
    </r>
    <r>
      <rPr>
        <sz val="11"/>
        <color rgb="FF000000"/>
        <rFont val="Calibri"/>
      </rPr>
      <t>Satisfies: SRG-OS-000037-GPOS-00015, SRG-OS-000042-GPOS-00020, SRG-OS-000062-GPOS-00031, SRG-OS-000392-GPOS-00172, SRG-OS-000458-GPOS-00203, SRG-OS-000462-GPOS-00206, SRG-OS-000463-GPOS-00207, SRG-OS-000466-GPOS-00210, SRG-OS-000468-GPOS-00212, SRG-OS-000471-GPOS-00215, SRG-OS-000474-GPOS-00219</t>
    </r>
  </si>
  <si>
    <r>
      <rPr>
        <sz val="11"/>
        <color rgb="FF000000"/>
        <rFont val="Calibri"/>
      </rPr>
      <t xml:space="preserve">Verify if OL 8 is configured to audit the execution of the "setxattr", "fsetxattr", "lsetxattr", "removexattr", "fremovexattr", and "lremovexattr" system calls by running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grep xattr /etc/audit/audit.rules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always,exit -F arch=b32 -S setxattr,fsetxattr,lsetxattr,removexattr,fremovexattr,lremovexattr -F auid&gt;=1000 -F auid!=unset -k perm_mod </t>
    </r>
    <r>
      <rPr>
        <sz val="11"/>
        <color rgb="FF000000"/>
        <rFont val="Calibri"/>
      </rPr>
      <t xml:space="preserve">
</t>
    </r>
    <r>
      <rPr>
        <sz val="11"/>
        <color rgb="FF000000"/>
        <rFont val="Calibri"/>
      </rPr>
      <t xml:space="preserve">-a always,exit -F arch=b64 -S setxattr,fsetxattr,lsetxattr,removexattr,fremovexattr,lremovexattr -F auid&gt;=1000 -F auid!=unset -k perm_mod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always,exit -F arch=b32 -S setxattr,fsetxattr,lsetxattr,removexattr,fremovexattr,lremovexattr -F auid=0 -k perm_mod </t>
    </r>
    <r>
      <rPr>
        <sz val="11"/>
        <color rgb="FF000000"/>
        <rFont val="Calibri"/>
      </rPr>
      <t xml:space="preserve">
</t>
    </r>
    <r>
      <rPr>
        <sz val="11"/>
        <color rgb="FF000000"/>
        <rFont val="Calibri"/>
      </rPr>
      <t xml:space="preserve">-a always,exit -F arch=b64 -S setxattr,fsetxattr,lsetxattr,removexattr,fremovexattr,lremovexattr -F auid=0 -k perm_mod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an audit rule for "setxattr", "fsetxattr", "lsetxattr", "removexattr", "fremovexattr", and "lremovexattr" or any of the lines returned are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allows for specifying an arbitrary identifier, and the string after it does not need to match the example output above.</t>
    </r>
  </si>
  <si>
    <t>V-248753</t>
  </si>
  <si>
    <r>
      <rPr>
        <sz val="11"/>
        <rFont val="Calibri"/>
      </rPr>
      <t xml:space="preserve">OL 8 must generate audit records for any use of the </t>
    </r>
    <r>
      <rPr>
        <sz val="11"/>
        <color rgb="FF000000"/>
        <rFont val="Calibri"/>
      </rPr>
      <t>"</t>
    </r>
    <r>
      <rPr>
        <b/>
        <sz val="11"/>
        <color rgb="FF000000"/>
        <rFont val="Calibri"/>
      </rPr>
      <t>chage</t>
    </r>
    <r>
      <rPr>
        <sz val="11"/>
        <color rgb="FF000000"/>
        <rFont val="Calibri"/>
      </rPr>
      <t>"</t>
    </r>
    <r>
      <rPr>
        <sz val="11"/>
        <color rgb="FF000000"/>
        <rFont val="Calibri"/>
      </rPr>
      <t xml:space="preserve"> command.</t>
    </r>
  </si>
  <si>
    <r>
      <rPr>
        <sz val="11"/>
        <color rgb="FF000000"/>
        <rFont val="Calibri"/>
      </rPr>
      <t xml:space="preserve">Configure the audit system to generate an audit event for any use of the "chage" command by adding or updating the following rule in the "/etc/audit/rules.d/audit.rules"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always,exit -F path=/usr/bin/chage -F perm=x -F auid&gt;=1000 -F auid!=unset -k privileged-chage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The audit daemon must be restarted for the changes to take effect. To restart the audit daemon, run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service auditd restart</t>
    </r>
  </si>
  <si>
    <r>
      <rPr>
        <sz val="11"/>
        <color rgb="FF000000"/>
        <rFont val="Calibri"/>
      </rPr>
      <t xml:space="preserve">Without generating audit records that are specific to the security and mission needs of the organization, it would be difficult to establish, correlate, and investigate the events relating to an incident or identify those responsible for one.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Audit records can be generated from various components within the information system (e.g., module or policy filter). The "chage" command is used to change or view user password expiry information.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When a user logs on, the AUID is set to the UID of the account that is being authenticated. Daemons are not user sessions and have the loginuid set to "-1". The AUID representation is an unsigned 32-bit integer, which equals "4294967295". The audit system interprets "-1", "4294967295", and "unset" in the same way.</t>
    </r>
    <r>
      <rPr>
        <sz val="11"/>
        <color rgb="FF000000"/>
        <rFont val="Calibri"/>
      </rPr>
      <t xml:space="preserve">
</t>
    </r>
    <r>
      <rPr>
        <sz val="11"/>
        <color rgb="FF000000"/>
        <rFont val="Calibri"/>
      </rPr>
      <t>Satisfies: SRG-OS-000037-GPOS-00015, SRG-OS-000042-GPOS-00020, SRG-OS-000062-GPOS-00031, SRG-OS-000392-GPOS-00172, SRG-OS-000462-GPOS-00206, SRG-OS-000468-GPOS-00212, SRG-OS-000471-GPOS-00215</t>
    </r>
  </si>
  <si>
    <r>
      <rPr>
        <sz val="11"/>
        <color rgb="FF000000"/>
        <rFont val="Calibri"/>
      </rPr>
      <t xml:space="preserve">Verify OL 8 generates an audit event for any use of the "chage" command by running the following command to check the file system rules in "/etc/audit/audit.rules":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grep -w chage /etc/audit/audit.rules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always,exit -F path=/usr/bin/chage -F perm=x -F auid&gt;=1000 -F auid!=unset -k privileged-chage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a line or the line is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allows for specifying an arbitrary identifier, and the string after it does not need to match the example output above.</t>
    </r>
  </si>
  <si>
    <t>V-248754</t>
  </si>
  <si>
    <r>
      <rPr>
        <sz val="11"/>
        <rFont val="Calibri"/>
      </rPr>
      <t xml:space="preserve">OL 8 must generate audit records for any uses of the </t>
    </r>
    <r>
      <rPr>
        <sz val="11"/>
        <color rgb="FF000000"/>
        <rFont val="Calibri"/>
      </rPr>
      <t>"</t>
    </r>
    <r>
      <rPr>
        <b/>
        <sz val="11"/>
        <color rgb="FF000000"/>
        <rFont val="Calibri"/>
      </rPr>
      <t>chcon</t>
    </r>
    <r>
      <rPr>
        <sz val="11"/>
        <color rgb="FF000000"/>
        <rFont val="Calibri"/>
      </rPr>
      <t>"</t>
    </r>
    <r>
      <rPr>
        <sz val="11"/>
        <color rgb="FF000000"/>
        <rFont val="Calibri"/>
      </rPr>
      <t xml:space="preserve"> command.</t>
    </r>
  </si>
  <si>
    <r>
      <rPr>
        <sz val="11"/>
        <color rgb="FF000000"/>
        <rFont val="Calibri"/>
      </rPr>
      <t xml:space="preserve">Configure the audit system to generate an audit event for any use of the "chcon" command by adding or updating the following rule in the "/etc/audit/rules.d/audit.rules"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always,exit -F path=/usr/bin/chcon -F perm=x -F auid&gt;=1000 -F auid!=unset -k perm_chng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The audit daemon must be restarted for the changes to take effect. To restart the audit daemon, run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service auditd restart</t>
    </r>
  </si>
  <si>
    <r>
      <rPr>
        <sz val="11"/>
        <color rgb="FF000000"/>
        <rFont val="Calibri"/>
      </rPr>
      <t xml:space="preserve">Without generating audit records that are specific to the security and mission needs of the organization, it would be difficult to establish, correlate, and investigate the events relating to an incident or identify those responsible for one.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Audit records can be generated from various components within the information system (e.g., module or policy filter). The "chcon" command is used to change file SELinux security context.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When a user logs on, the AUID is set to the UID of the account that is being authenticated. Daemons are not user sessions and have the loginuid set to "-1". The AUID representation is an unsigned 32-bit integer, which equals "4294967295". The audit system interprets "-1", "4294967295", and "unset" in the same way.</t>
    </r>
    <r>
      <rPr>
        <sz val="11"/>
        <color rgb="FF000000"/>
        <rFont val="Calibri"/>
      </rPr>
      <t xml:space="preserve">
</t>
    </r>
    <r>
      <rPr>
        <sz val="11"/>
        <color rgb="FF000000"/>
        <rFont val="Calibri"/>
      </rPr>
      <t>Satisfies: SRG-OS-000037-GPOS-00015, SRG-OS-000042-GPOS-00020, SRG-OS-000062-GPOS-00031, SRG-OS-000392-GPOS-00172, SRG-OS-000462-GPOS-00206, SRG-OS-000468-GPOS-00212, SRG-OS-000471-GPOS-00215</t>
    </r>
  </si>
  <si>
    <r>
      <rPr>
        <sz val="11"/>
        <color rgb="FF000000"/>
        <rFont val="Calibri"/>
      </rPr>
      <t xml:space="preserve">Verify OL 8 generates an audit record for any use of the "chcon" command by running the following command to check the file system rules in "/etc/audit/audit.rules":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grep -w chcon /etc/audit/audit.rules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always,exit -F path=/usr/bin/chcon -F perm=x -F auid&gt;=1000 -F auid!=unset -k perm_chng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a line or the line is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allows for specifying an arbitrary identifier, and the string after it does not need to match the example output above.</t>
    </r>
  </si>
  <si>
    <t>V-248756</t>
  </si>
  <si>
    <r>
      <rPr>
        <sz val="11"/>
        <rFont val="Calibri"/>
      </rPr>
      <t xml:space="preserve">OL 8 must generate audit records for any use of the </t>
    </r>
    <r>
      <rPr>
        <sz val="11"/>
        <color rgb="FF000000"/>
        <rFont val="Calibri"/>
      </rPr>
      <t>"</t>
    </r>
    <r>
      <rPr>
        <b/>
        <sz val="11"/>
        <color rgb="FF000000"/>
        <rFont val="Calibri"/>
      </rPr>
      <t>ssh-agent</t>
    </r>
    <r>
      <rPr>
        <sz val="11"/>
        <color rgb="FF000000"/>
        <rFont val="Calibri"/>
      </rPr>
      <t>"</t>
    </r>
    <r>
      <rPr>
        <sz val="11"/>
        <color rgb="FF000000"/>
        <rFont val="Calibri"/>
      </rPr>
      <t xml:space="preserve"> command.</t>
    </r>
  </si>
  <si>
    <r>
      <rPr>
        <sz val="11"/>
        <color rgb="FF000000"/>
        <rFont val="Calibri"/>
      </rPr>
      <t xml:space="preserve">Configure the audit system to generate an audit event for any use of the "ssh-agent" command by adding or updating the following rule in the "/etc/audit/rules.d/audit.rules"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always,exit -F path=/usr/bin/ssh-agent -F perm=x -F auid&gt;=1000 -F auid!=unset -k privileged-ssh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The audit daemon must be restarted for the changes to take effect. To restart the audit daemon, run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service auditd restart</t>
    </r>
  </si>
  <si>
    <r>
      <rPr>
        <sz val="11"/>
        <color rgb="FF000000"/>
        <rFont val="Calibri"/>
      </rPr>
      <t xml:space="preserve">Without generating audit records that are specific to the security and mission needs of the organization, it would be difficult to establish, correlate, and investigate the events relating to an incident or identify those responsible for one.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Audit records can be generated from various components within the information system (e.g., module or policy filter). The "ssh-agent" is a program to hold private keys used for public key authentication.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When a user logs on, the AUID is set to the UID of the account that is being authenticated. Daemons are not user sessions and have the loginuid set to "-1". The AUID representation is an unsigned 32-bit integer, which equals "4294967295". The audit system interprets "-1", "4294967295", and "unset" in the same way.</t>
    </r>
    <r>
      <rPr>
        <sz val="11"/>
        <color rgb="FF000000"/>
        <rFont val="Calibri"/>
      </rPr>
      <t xml:space="preserve">
</t>
    </r>
    <r>
      <rPr>
        <sz val="11"/>
        <color rgb="FF000000"/>
        <rFont val="Calibri"/>
      </rPr>
      <t>Satisfies: SRG-OS-000037-GPOS-00015, SRG-OS-000042-GPOS-00020, SRG-OS-000062-GPOS-00031, SRG-OS-000392-GPOS-00172, SRG-OS-000462-GPOS-00206, SRG-OS-000471-GPOS-00215</t>
    </r>
  </si>
  <si>
    <r>
      <rPr>
        <sz val="11"/>
        <color rgb="FF000000"/>
        <rFont val="Calibri"/>
      </rPr>
      <t xml:space="preserve">Verify OL 8 generates an audit record for any use of the "ssh-agent" command by running the following command to check the file system rules in "/etc/audit/audit.rules":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grep ssh-agent /etc/audit/audit.rules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always,exit -F path=/usr/bin/ssh-agent -F perm=x -F auid&gt;=1000 -F auid!=unset -k privileged-ssh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a line or the line is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allows for specifying an arbitrary identifier, and the string after it does not need to match the example output above.</t>
    </r>
  </si>
  <si>
    <t>V-248757</t>
  </si>
  <si>
    <r>
      <rPr>
        <sz val="11"/>
        <rFont val="Calibri"/>
      </rPr>
      <t xml:space="preserve">OL 8 must generate audit records for any use of the </t>
    </r>
    <r>
      <rPr>
        <sz val="11"/>
        <color rgb="FF000000"/>
        <rFont val="Calibri"/>
      </rPr>
      <t>"</t>
    </r>
    <r>
      <rPr>
        <b/>
        <sz val="11"/>
        <color rgb="FF000000"/>
        <rFont val="Calibri"/>
      </rPr>
      <t>passwd</t>
    </r>
    <r>
      <rPr>
        <sz val="11"/>
        <color rgb="FF000000"/>
        <rFont val="Calibri"/>
      </rPr>
      <t>"</t>
    </r>
    <r>
      <rPr>
        <sz val="11"/>
        <color rgb="FF000000"/>
        <rFont val="Calibri"/>
      </rPr>
      <t xml:space="preserve"> command.</t>
    </r>
  </si>
  <si>
    <r>
      <rPr>
        <sz val="11"/>
        <color rgb="FF000000"/>
        <rFont val="Calibri"/>
      </rPr>
      <t xml:space="preserve">Configure the audit system to generate an audit event for any use of the "passwd" command by adding or updating the following rule in the "/etc/audit/rules.d/audit.rules"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always,exit -F path=/usr/bin/passwd -F perm=x -F auid&gt;=1000 -F auid!=unset -k privileged-passwd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The audit daemon must be restarted for the changes to take effect. To restart the audit daemon, run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service auditd restart</t>
    </r>
  </si>
  <si>
    <r>
      <rPr>
        <sz val="11"/>
        <color rgb="FF000000"/>
        <rFont val="Calibri"/>
      </rPr>
      <t xml:space="preserve">Without generating audit records that are specific to the security and mission needs of the organization, it would be difficult to establish, correlate, and investigate the events relating to an incident or identify those responsible for one.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Audit records can be generated from various components within the information system (e.g., module or policy filter). The "passwd" command is used to change passwords for user accounts.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When a user logs on, the AUID is set to the UID of the account that is being authenticated. Daemons are not user sessions and have the loginuid set to "-1". The AUID representation is an unsigned 32-bit integer, which equals "4294967295". The audit system interprets "-1", "4294967295", and "unset" in the same way.</t>
    </r>
    <r>
      <rPr>
        <sz val="11"/>
        <color rgb="FF000000"/>
        <rFont val="Calibri"/>
      </rPr>
      <t xml:space="preserve">
</t>
    </r>
    <r>
      <rPr>
        <sz val="11"/>
        <color rgb="FF000000"/>
        <rFont val="Calibri"/>
      </rPr>
      <t>Satisfies: SRG-OS-000037-GPOS-00015, SRG-OS-000042-GPOS-00020, SRG-OS-000062-GPOS-00031, SRG-OS-000392-GPOS-00172, SRG-OS-000462-GPOS-00206, SRG-OS-000471-GPOS-00215</t>
    </r>
  </si>
  <si>
    <r>
      <rPr>
        <sz val="11"/>
        <color rgb="FF000000"/>
        <rFont val="Calibri"/>
      </rPr>
      <t xml:space="preserve">Verify OL 8 generates an audit event for any use of the "passwd" command by running the following command to check the file system rules in "/etc/audit/audit.rules":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grep -w passwd /etc/audit/audit.rules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always,exit -F path=/usr/bin/passwd -F perm=x -F auid&gt;=1000 -F auid!=unset -k privileged-passwd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a line or the line is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allows for specifying an arbitrary identifier, and the string after it does not need to match the example output above.</t>
    </r>
  </si>
  <si>
    <t>V-248758</t>
  </si>
  <si>
    <r>
      <rPr>
        <sz val="11"/>
        <rFont val="Calibri"/>
      </rPr>
      <t xml:space="preserve">OL 8 must generate audit records for any use of the </t>
    </r>
    <r>
      <rPr>
        <sz val="11"/>
        <color rgb="FF000000"/>
        <rFont val="Calibri"/>
      </rPr>
      <t>"</t>
    </r>
    <r>
      <rPr>
        <b/>
        <sz val="11"/>
        <color rgb="FF000000"/>
        <rFont val="Calibri"/>
      </rPr>
      <t>mount</t>
    </r>
    <r>
      <rPr>
        <sz val="11"/>
        <color rgb="FF000000"/>
        <rFont val="Calibri"/>
      </rPr>
      <t>"</t>
    </r>
    <r>
      <rPr>
        <sz val="11"/>
        <color rgb="FF000000"/>
        <rFont val="Calibri"/>
      </rPr>
      <t xml:space="preserve"> command.</t>
    </r>
  </si>
  <si>
    <r>
      <rPr>
        <sz val="11"/>
        <color rgb="FF000000"/>
        <rFont val="Calibri"/>
      </rPr>
      <t xml:space="preserve">Configure the audit system to generate an audit event for any use of the "mount" command by adding or updating the following rules in the "/etc/audit/rules.d/audit.rules"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 always,exit -F path=/usr/bin/mount -F perm=x -F auid&gt;=1000 -F auid!=unset -k privileged-mount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The audit daemon must be restarted for the changes to take effect. To restart the audit daemon, run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service auditd restart</t>
    </r>
  </si>
  <si>
    <r>
      <rPr>
        <sz val="11"/>
        <color rgb="FF000000"/>
        <rFont val="Calibri"/>
      </rPr>
      <t xml:space="preserve">Without generating audit records that are specific to the security and mission needs of the organization, it would be difficult to establish, correlate, and investigate the events relating to an incident or identify those responsible for one.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Audit records can be generated from various components within the information system (e.g., module or policy filter). The "mount" command is used to mount a filesystem.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When a user logs on, the AUID is set to the UID of the account that is being authenticated. Daemons are not user sessions and have the loginuid set to "-1". The AUID representation is an unsigned 32-bit integer, which equals "4294967295". The audit system interprets "-1", "4294967295", and "unset" in the same way.</t>
    </r>
    <r>
      <rPr>
        <sz val="11"/>
        <color rgb="FF000000"/>
        <rFont val="Calibri"/>
      </rPr>
      <t xml:space="preserve">
</t>
    </r>
    <r>
      <rPr>
        <sz val="11"/>
        <color rgb="FF000000"/>
        <rFont val="Calibri"/>
      </rPr>
      <t>Satisfies: SRG-OS-000037-GPOS-00015, SRG-OS-000042-GPOS-00020, SRG-OS-000062-GPOS-00031, SRG-OS-000392-GPOS-00172, SRG-OS-000462-GPOS-00206, SRG-OS-000471-GPOS-00215</t>
    </r>
  </si>
  <si>
    <r>
      <rPr>
        <sz val="11"/>
        <color rgb="FF000000"/>
        <rFont val="Calibri"/>
      </rPr>
      <t xml:space="preserve">Verify OL 8 generates an audit event for any use of the "mount" command by running the following command to check the file system rules in "/etc/audit/audit.rules":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grep -w /usr/bin/mount /etc/audit/audit.rules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always,exit -F path=/usr/bin/mount -F perm=x -F auid&gt;=1000 -F auid!=unset -k privileged-mount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a line or the line is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allows for specifying an arbitrary identifier, and the string after it does not need to match the example output above.</t>
    </r>
  </si>
  <si>
    <t>V-248759</t>
  </si>
  <si>
    <r>
      <rPr>
        <sz val="11"/>
        <rFont val="Calibri"/>
      </rPr>
      <t xml:space="preserve">OL 8 must generate audit records for any use of the </t>
    </r>
    <r>
      <rPr>
        <sz val="11"/>
        <color rgb="FF000000"/>
        <rFont val="Calibri"/>
      </rPr>
      <t>"</t>
    </r>
    <r>
      <rPr>
        <b/>
        <sz val="11"/>
        <color rgb="FF000000"/>
        <rFont val="Calibri"/>
      </rPr>
      <t>umount</t>
    </r>
    <r>
      <rPr>
        <sz val="11"/>
        <color rgb="FF000000"/>
        <rFont val="Calibri"/>
      </rPr>
      <t>"</t>
    </r>
    <r>
      <rPr>
        <sz val="11"/>
        <color rgb="FF000000"/>
        <rFont val="Calibri"/>
      </rPr>
      <t xml:space="preserve"> command.</t>
    </r>
  </si>
  <si>
    <r>
      <rPr>
        <sz val="11"/>
        <color rgb="FF000000"/>
        <rFont val="Calibri"/>
      </rPr>
      <t xml:space="preserve">Configure the audit system to generate an audit event for any use of the "umount" command by adding or updating the following rules in the "/etc/audit/rules.d/audit.rules"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 always,exit -F path=/usr/bin/umount -F perm=x -F auid&gt;=1000 -F auid!=unset -k privileged-mount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The audit daemon must be restarted for the changes to take effect. To restart the audit daemon, run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service auditd restart</t>
    </r>
  </si>
  <si>
    <r>
      <rPr>
        <sz val="11"/>
        <color rgb="FF000000"/>
        <rFont val="Calibri"/>
      </rPr>
      <t xml:space="preserve">Verify OL 8 generates an audit event for any use of the "umount" command by running the following command to check the file system rules in "/etc/audit/audit.rules":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grep -w /usr/bin/umount /etc/audit/audit.rules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always,exit -F path=/usr/bin/umount -F perm=x -F auid&gt;=1000 -F auid!=unset -k privileged-mount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a line or the line is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allows for specifying an arbitrary identifier, and the string after it does not need to match the example output above.</t>
    </r>
  </si>
  <si>
    <t>V-248760</t>
  </si>
  <si>
    <r>
      <rPr>
        <sz val="11"/>
        <rFont val="Calibri"/>
      </rPr>
      <t xml:space="preserve">OL 8 must generate audit records for any use of the </t>
    </r>
    <r>
      <rPr>
        <sz val="11"/>
        <color rgb="FF000000"/>
        <rFont val="Calibri"/>
      </rPr>
      <t>"</t>
    </r>
    <r>
      <rPr>
        <b/>
        <sz val="11"/>
        <color rgb="FF000000"/>
        <rFont val="Calibri"/>
      </rPr>
      <t>mount</t>
    </r>
    <r>
      <rPr>
        <sz val="11"/>
        <color rgb="FF000000"/>
        <rFont val="Calibri"/>
      </rPr>
      <t>"</t>
    </r>
    <r>
      <rPr>
        <sz val="11"/>
        <color rgb="FF000000"/>
        <rFont val="Calibri"/>
      </rPr>
      <t xml:space="preserve"> syscall.</t>
    </r>
  </si>
  <si>
    <r>
      <rPr>
        <sz val="11"/>
        <color rgb="FF000000"/>
        <rFont val="Calibri"/>
      </rPr>
      <t xml:space="preserve">Configure the audit system to generate an audit event for any use of the "mount" syscall by adding or updating the following rules in the "/etc/audit/rules.d/audit.rules"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always,exit -F arch=b32 -S mount -F auid&gt;=1000 -F auid!=unset -k privileged-mount </t>
    </r>
    <r>
      <rPr>
        <sz val="11"/>
        <color rgb="FF000000"/>
        <rFont val="Calibri"/>
      </rPr>
      <t xml:space="preserve">
</t>
    </r>
    <r>
      <rPr>
        <sz val="11"/>
        <color rgb="FF000000"/>
        <rFont val="Calibri"/>
      </rPr>
      <t xml:space="preserve">-a always,exit -F arch=b64 -S mount -F auid&gt;=1000 -F auid!=unset -k privileged-mount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The audit daemon must be restarted for the changes to take effect. To restart the audit daemon, run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service auditd restart</t>
    </r>
  </si>
  <si>
    <r>
      <rPr>
        <sz val="11"/>
        <color rgb="FF000000"/>
        <rFont val="Calibri"/>
      </rPr>
      <t xml:space="preserve">Verify OL 8 generates an audit event for any use of the "mount" syscall by running the following command to check the file system rules in "/etc/audit/audit.rules":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grep -w mount /etc/audit/audit.rules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always,exit -F arch=b32 -S mount -F auid&gt;=1000 -F auid!=unset -k privileged-mount </t>
    </r>
    <r>
      <rPr>
        <sz val="11"/>
        <color rgb="FF000000"/>
        <rFont val="Calibri"/>
      </rPr>
      <t xml:space="preserve">
</t>
    </r>
    <r>
      <rPr>
        <sz val="11"/>
        <color rgb="FF000000"/>
        <rFont val="Calibri"/>
      </rPr>
      <t xml:space="preserve">-a always,exit -F arch=b64 -S mount -F auid&gt;=1000 -F auid!=unset -k privileged-mount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a line or the line is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allows for specifying an arbitrary identifier, and the string after it does not need to match the example output above.</t>
    </r>
  </si>
  <si>
    <t>V-248761</t>
  </si>
  <si>
    <r>
      <rPr>
        <sz val="11"/>
        <rFont val="Calibri"/>
      </rPr>
      <t xml:space="preserve">OL 8 must generate audit records for any use of the </t>
    </r>
    <r>
      <rPr>
        <sz val="11"/>
        <color rgb="FF000000"/>
        <rFont val="Calibri"/>
      </rPr>
      <t>"</t>
    </r>
    <r>
      <rPr>
        <b/>
        <sz val="11"/>
        <color rgb="FF000000"/>
        <rFont val="Calibri"/>
      </rPr>
      <t>unix_update</t>
    </r>
    <r>
      <rPr>
        <sz val="11"/>
        <color rgb="FF000000"/>
        <rFont val="Calibri"/>
      </rPr>
      <t>"</t>
    </r>
    <r>
      <rPr>
        <sz val="11"/>
        <color rgb="FF000000"/>
        <rFont val="Calibri"/>
      </rPr>
      <t xml:space="preserve"> command.</t>
    </r>
  </si>
  <si>
    <r>
      <rPr>
        <sz val="11"/>
        <color rgb="FF000000"/>
        <rFont val="Calibri"/>
      </rPr>
      <t xml:space="preserve">Configure the audit system to generate an audit event for any use of the "unix_update" command by adding or updating the following rule in the "/etc/audit/rules.d/audit.rules"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always,exit -F path=/usr/sbin/unix_update -F perm=x -F auid&gt;=1000 -F auid!=unset -k privileged-unix-update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The audit daemon must be restarted for the changes to take effect. To restart the audit daemon, run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service auditd restart</t>
    </r>
  </si>
  <si>
    <r>
      <rPr>
        <sz val="11"/>
        <color rgb="FF000000"/>
        <rFont val="Calibri"/>
      </rPr>
      <t xml:space="preserve">Reconstruction of harmful events or forensic analysis is not possible if audit records do not contain enough information.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At a minimum, the organization must audit the full-text recording of privileged commands. The organization must maintain audit trails in sufficient detail to reconstruct events to determine the cause and impact of compromise. "Unix_update" is a helper program for the "pam_unix" module that updates the password for a given user. It is not intended to be run directly from the command line and logs a security violation in that event.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When a user logs on, the AUID is set to the UID of the account that is being authenticated. Daemons are not user sessions and have the loginuid set to "-1". The AUID representation is an unsigned 32-bit integer, which equals "4294967295". The audit system interprets "-1", "4294967295", and "unset" in the same way.</t>
    </r>
    <r>
      <rPr>
        <sz val="11"/>
        <color rgb="FF000000"/>
        <rFont val="Calibri"/>
      </rPr>
      <t xml:space="preserve">
</t>
    </r>
    <r>
      <rPr>
        <sz val="11"/>
        <color rgb="FF000000"/>
        <rFont val="Calibri"/>
      </rPr>
      <t>Satisfies: SRG-OS-000037-GPOS-00015, SRG-OS-000042-GPOS-00020, SRG-OS-000062-GPOS-00031, SRG-OS-000392-GPOS-00172, SRG-OS-000462-GPOS-00206, SRG-OS-000471-GPOS-00215</t>
    </r>
  </si>
  <si>
    <r>
      <rPr>
        <sz val="11"/>
        <color rgb="FF000000"/>
        <rFont val="Calibri"/>
      </rPr>
      <t xml:space="preserve">Verify OL 8 generates an audit event for any use of the "unix_update" command by running the following command to check the file system rules in "/etc/audit/audit.rules":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grep -w "unix_update" /etc/audit/audit.rules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always,exit -F path=/usr/sbin/unix_update -F perm=x -F auid&gt;=1000 -F auid!=unset -k privileged-unix-update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a line or the line is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allows for specifying an arbitrary identifier, and the string after it does not need to match the example output above.</t>
    </r>
  </si>
  <si>
    <t>V-248762</t>
  </si>
  <si>
    <r>
      <rPr>
        <sz val="11"/>
        <rFont val="Calibri"/>
      </rPr>
      <t xml:space="preserve">OL 8 must generate audit records for any use of the </t>
    </r>
    <r>
      <rPr>
        <sz val="11"/>
        <color rgb="FF000000"/>
        <rFont val="Calibri"/>
      </rPr>
      <t>"</t>
    </r>
    <r>
      <rPr>
        <b/>
        <sz val="11"/>
        <color rgb="FF000000"/>
        <rFont val="Calibri"/>
      </rPr>
      <t>postdrop</t>
    </r>
    <r>
      <rPr>
        <sz val="11"/>
        <color rgb="FF000000"/>
        <rFont val="Calibri"/>
      </rPr>
      <t>"</t>
    </r>
    <r>
      <rPr>
        <sz val="11"/>
        <color rgb="FF000000"/>
        <rFont val="Calibri"/>
      </rPr>
      <t xml:space="preserve"> command.</t>
    </r>
  </si>
  <si>
    <r>
      <rPr>
        <sz val="11"/>
        <color rgb="FF000000"/>
        <rFont val="Calibri"/>
      </rPr>
      <t xml:space="preserve">Configure the audit system to generate an audit event for any use of the "postdrop" command by adding or updating the following rule in the "/etc/audit/rules.d/audit.rules"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always,exit -F path=/usr/sbin/postdrop -F perm=x -F auid&gt;=1000 -F auid!=unset -k privileged-unix-update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The audit daemon must be restarted for the changes to take effect. To restart the audit daemon, run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service auditd restart</t>
    </r>
  </si>
  <si>
    <r>
      <rPr>
        <sz val="11"/>
        <color rgb="FF000000"/>
        <rFont val="Calibri"/>
      </rPr>
      <t>Reconstruction of harmful events or forensic analysis is not possible if audit records do not contain enough information.</t>
    </r>
    <r>
      <rPr>
        <sz val="11"/>
        <color rgb="FF000000"/>
        <rFont val="Calibri"/>
      </rPr>
      <t xml:space="preserve">
</t>
    </r>
    <r>
      <rPr>
        <sz val="11"/>
        <color rgb="FF000000"/>
        <rFont val="Calibri"/>
      </rPr>
      <t>At a minimum, the organization must audit the full-text recording of privileged commands. The organization must maintain audit trails in sufficient detail to reconstruct events to determine the cause and impact of compromise. The "postdrop" command creates a file in the maildrop directory and copies its standard input to the file.</t>
    </r>
    <r>
      <rPr>
        <sz val="11"/>
        <color rgb="FF000000"/>
        <rFont val="Calibri"/>
      </rPr>
      <t xml:space="preserve">
</t>
    </r>
    <r>
      <rPr>
        <sz val="11"/>
        <color rgb="FF000000"/>
        <rFont val="Calibri"/>
      </rPr>
      <t>When a user logs on, the AUID is set to the UID of the account that is being authenticated. Daemons are not user sessions and have the loginuid set to "-1". The AUID representation is an unsigned 32-bit integer, which equals "4294967295". The audit system interprets "-1", "4294967295", and "unset" in the same way.</t>
    </r>
    <r>
      <rPr>
        <sz val="11"/>
        <color rgb="FF000000"/>
        <rFont val="Calibri"/>
      </rPr>
      <t xml:space="preserve">
</t>
    </r>
    <r>
      <rPr>
        <sz val="11"/>
        <color rgb="FF000000"/>
        <rFont val="Calibri"/>
      </rPr>
      <t>Satisfies: SRG-OS-000037-GPOS-00015, SRG-OS-000042-GPOS-00020, SRG-OS-000062-GPOS-00031, SRG-OS-000392-GPOS-00172, SRG-OS-000462-GPOS-00206, SRG-OS-000471-GPOS-00215</t>
    </r>
  </si>
  <si>
    <r>
      <rPr>
        <sz val="11"/>
        <color rgb="FF000000"/>
        <rFont val="Calibri"/>
      </rPr>
      <t xml:space="preserve">Verify OL 8 generates an audit event for any use of the "postdrop" command by running the following command to check the file system rules in "/etc/audit/audit.rules":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grep -w "postdrop" /etc/audit/audit.rules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always,exit -F path=/usr/sbin/postdrop -F perm=x -F auid&gt;=1000 -F auid!=unset -k privileged-unix-update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a line or the line is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allows for specifying an arbitrary identifier, and the string after it does not need to match the example output above.</t>
    </r>
  </si>
  <si>
    <t>V-248763</t>
  </si>
  <si>
    <r>
      <rPr>
        <sz val="11"/>
        <rFont val="Calibri"/>
      </rPr>
      <t xml:space="preserve">OL 8 must generate audit records for any use of the </t>
    </r>
    <r>
      <rPr>
        <sz val="11"/>
        <color rgb="FF000000"/>
        <rFont val="Calibri"/>
      </rPr>
      <t>"</t>
    </r>
    <r>
      <rPr>
        <b/>
        <sz val="11"/>
        <color rgb="FF000000"/>
        <rFont val="Calibri"/>
      </rPr>
      <t>postqueue</t>
    </r>
    <r>
      <rPr>
        <sz val="11"/>
        <color rgb="FF000000"/>
        <rFont val="Calibri"/>
      </rPr>
      <t>"</t>
    </r>
    <r>
      <rPr>
        <sz val="11"/>
        <color rgb="FF000000"/>
        <rFont val="Calibri"/>
      </rPr>
      <t xml:space="preserve"> command.</t>
    </r>
  </si>
  <si>
    <r>
      <rPr>
        <sz val="11"/>
        <color rgb="FF000000"/>
        <rFont val="Calibri"/>
      </rPr>
      <t xml:space="preserve">Configure the audit system to generate an audit event for any use of the "postqueue" command by adding or updating the following rule in the "/etc/audit/rules.d/audit.rules"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always,exit -F path=/usr/sbin/postqueue -F perm=x -F auid&gt;=1000 -F auid!=unset -k privileged-unix-update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The audit daemon must be restarted for the changes to take effect. To restart the audit daemon, run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service auditd restart</t>
    </r>
  </si>
  <si>
    <r>
      <rPr>
        <sz val="11"/>
        <color rgb="FF000000"/>
        <rFont val="Calibri"/>
      </rPr>
      <t>Reconstruction of harmful events or forensic analysis is not possible if audit records do not contain enough information.</t>
    </r>
    <r>
      <rPr>
        <sz val="11"/>
        <color rgb="FF000000"/>
        <rFont val="Calibri"/>
      </rPr>
      <t xml:space="preserve">
</t>
    </r>
    <r>
      <rPr>
        <sz val="11"/>
        <color rgb="FF000000"/>
        <rFont val="Calibri"/>
      </rPr>
      <t>At a minimum, the organization must audit the full-text recording of privileged commands. The organization must maintain audit trails in sufficient detail to reconstruct events to determine the cause and impact of compromise. The "postqueue" command implements the Postfix user interface for queue management.</t>
    </r>
    <r>
      <rPr>
        <sz val="11"/>
        <color rgb="FF000000"/>
        <rFont val="Calibri"/>
      </rPr>
      <t xml:space="preserve">
</t>
    </r>
    <r>
      <rPr>
        <sz val="11"/>
        <color rgb="FF000000"/>
        <rFont val="Calibri"/>
      </rPr>
      <t>When a user logs on, the AUID is set to the UID of the account that is being authenticated. Daemons are not user sessions and have the loginuid set to "-1". The AUID representation is an unsigned 32-bit integer, which equals "4294967295". The audit system interprets "-1", "4294967295", and "unset" in the same way.</t>
    </r>
    <r>
      <rPr>
        <sz val="11"/>
        <color rgb="FF000000"/>
        <rFont val="Calibri"/>
      </rPr>
      <t xml:space="preserve">
</t>
    </r>
    <r>
      <rPr>
        <sz val="11"/>
        <color rgb="FF000000"/>
        <rFont val="Calibri"/>
      </rPr>
      <t>Satisfies: SRG-OS-000037-GPOS-00015, SRG-OS-000042-GPOS-00020, SRG-OS-000062-GPOS-00031, SRG-OS-000392-GPOS-00172, SRG-OS-000462-GPOS-00206, SRG-OS-000471-GPOS-00215</t>
    </r>
  </si>
  <si>
    <r>
      <rPr>
        <sz val="11"/>
        <color rgb="FF000000"/>
        <rFont val="Calibri"/>
      </rPr>
      <t xml:space="preserve">Verify OL 8 generates an audit event for any use of the "postqueue" command by running the following command to check the file system rules in "/etc/audit/audit.rules":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grep -w "postqueue" /etc/audit/audit.rules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always,exit -F path=/usr/sbin/postqueue -F perm=x -F auid&gt;=1000 -F auid!=unset -k privileged-unix-update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a line or the line is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allows for specifying an arbitrary identifier, and the string after it does not need to match the example output above.</t>
    </r>
  </si>
  <si>
    <t>V-248764</t>
  </si>
  <si>
    <r>
      <rPr>
        <sz val="11"/>
        <rFont val="Calibri"/>
      </rPr>
      <t xml:space="preserve">OL 8 must generate audit records for any use of the </t>
    </r>
    <r>
      <rPr>
        <sz val="11"/>
        <color rgb="FF000000"/>
        <rFont val="Calibri"/>
      </rPr>
      <t>"</t>
    </r>
    <r>
      <rPr>
        <b/>
        <sz val="11"/>
        <color rgb="FF000000"/>
        <rFont val="Calibri"/>
      </rPr>
      <t>semanage</t>
    </r>
    <r>
      <rPr>
        <sz val="11"/>
        <color rgb="FF000000"/>
        <rFont val="Calibri"/>
      </rPr>
      <t>"</t>
    </r>
    <r>
      <rPr>
        <sz val="11"/>
        <color rgb="FF000000"/>
        <rFont val="Calibri"/>
      </rPr>
      <t xml:space="preserve"> command.</t>
    </r>
  </si>
  <si>
    <r>
      <rPr>
        <sz val="11"/>
        <color rgb="FF000000"/>
        <rFont val="Calibri"/>
      </rPr>
      <t xml:space="preserve">Configure OL 8 to audit the execution of the "semanage" command by adding or updating the following lines to "/etc/audit/rules.d/audit.rules":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always,exit -F path=/usr/sbin/semanage -F perm=x -F auid&gt;=1000 -F auid!=unset -k privileged-unix-update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The audit daemon must be restarted for the changes to take effect. To restart the audit daemon, run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service auditd restart</t>
    </r>
  </si>
  <si>
    <r>
      <rPr>
        <sz val="11"/>
        <color rgb="FF000000"/>
        <rFont val="Calibri"/>
      </rPr>
      <t>Reconstruction of harmful events or forensic analysis is not possible if audit records do not contain enough information.</t>
    </r>
    <r>
      <rPr>
        <sz val="11"/>
        <color rgb="FF000000"/>
        <rFont val="Calibri"/>
      </rPr>
      <t xml:space="preserve">
</t>
    </r>
    <r>
      <rPr>
        <sz val="11"/>
        <color rgb="FF000000"/>
        <rFont val="Calibri"/>
      </rPr>
      <t>At a minimum, the organization must audit the full-text recording of privileged commands. The organization must maintain audit trails in sufficient detail to reconstruct events to determine the cause and impact of compromise. The "semanage" command is used to configure certain elements of SELinux policy without requiring modification to or recompilation from policy sources.</t>
    </r>
    <r>
      <rPr>
        <sz val="11"/>
        <color rgb="FF000000"/>
        <rFont val="Calibri"/>
      </rPr>
      <t xml:space="preserve">
</t>
    </r>
    <r>
      <rPr>
        <sz val="11"/>
        <color rgb="FF000000"/>
        <rFont val="Calibri"/>
      </rPr>
      <t>When a user logs on, the AUID is set to the UID of the account that is being authenticated. Daemons are not user sessions and have the loginuid set to "-1". The AUID representation is an unsigned 32-bit integer, which equals "4294967295". The audit system interprets "-1", "4294967295", and "unset" in the same way.</t>
    </r>
  </si>
  <si>
    <r>
      <rPr>
        <sz val="11"/>
        <color rgb="FF000000"/>
        <rFont val="Calibri"/>
      </rPr>
      <t xml:space="preserve">Verify if OL 8 is configured to audit the execution of the "semanage" command by running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grep -w semanage /etc/audit/audit.rules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always,exit -F path=/usr/sbin/semanage -F perm=x -F auid&gt;=1000 -F auid!=unset -k privileged-unix-update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all lines or the lines are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allows for specifying an arbitrary identifier, and the string after it does not need to match the example output above.</t>
    </r>
  </si>
  <si>
    <t>V-248765</t>
  </si>
  <si>
    <r>
      <rPr>
        <sz val="11"/>
        <rFont val="Calibri"/>
      </rPr>
      <t xml:space="preserve">OL 8 must generate audit records for any use of the </t>
    </r>
    <r>
      <rPr>
        <sz val="11"/>
        <color rgb="FF000000"/>
        <rFont val="Calibri"/>
      </rPr>
      <t>"</t>
    </r>
    <r>
      <rPr>
        <b/>
        <sz val="11"/>
        <color rgb="FF000000"/>
        <rFont val="Calibri"/>
      </rPr>
      <t>setfiles</t>
    </r>
    <r>
      <rPr>
        <sz val="11"/>
        <color rgb="FF000000"/>
        <rFont val="Calibri"/>
      </rPr>
      <t>"</t>
    </r>
    <r>
      <rPr>
        <sz val="11"/>
        <color rgb="FF000000"/>
        <rFont val="Calibri"/>
      </rPr>
      <t xml:space="preserve"> command.</t>
    </r>
  </si>
  <si>
    <r>
      <rPr>
        <sz val="11"/>
        <color rgb="FF000000"/>
        <rFont val="Calibri"/>
      </rPr>
      <t xml:space="preserve">Configure OL 8 to audit the execution of the "setfiles" command by adding or updating the following lines to "/etc/audit/rules.d/audit.rules":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always,exit -F path=/usr/sbin/setfiles -F perm=x -F auid&gt;=1000 -F auid!=unset -k privileged-unix-update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The audit daemon must be restarted for the changes to take effect. To restart the audit daemon, run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service auditd restart</t>
    </r>
  </si>
  <si>
    <r>
      <rPr>
        <sz val="11"/>
        <color rgb="FF000000"/>
        <rFont val="Calibri"/>
      </rPr>
      <t>Reconstruction of harmful events or forensic analysis is not possible if audit records do not contain enough information.</t>
    </r>
    <r>
      <rPr>
        <sz val="11"/>
        <color rgb="FF000000"/>
        <rFont val="Calibri"/>
      </rPr>
      <t xml:space="preserve">
</t>
    </r>
    <r>
      <rPr>
        <sz val="11"/>
        <color rgb="FF000000"/>
        <rFont val="Calibri"/>
      </rPr>
      <t>At a minimum, the organization must audit the full-text recording of privileged commands. The organization must maintain audit trails in sufficient detail to reconstruct events to determine the cause and impact of compromise. The "setfiles" command is primarily used to initialize the security context fields (extended attributes) on one or more filesystems (or parts of them). Usually it is initially run as part of the SELinux installation process (a step commonly known as labeling).</t>
    </r>
    <r>
      <rPr>
        <sz val="11"/>
        <color rgb="FF000000"/>
        <rFont val="Calibri"/>
      </rPr>
      <t xml:space="preserve">
</t>
    </r>
    <r>
      <rPr>
        <sz val="11"/>
        <color rgb="FF000000"/>
        <rFont val="Calibri"/>
      </rPr>
      <t>When a user logs on, the AUID is set to the UID of the account that is being authenticated. Daemons are not user sessions and have the loginuid set to "-1". The AUID representation is an unsigned 32-bit integer, which equals "4294967295". The audit system interprets "-1", "4294967295", and "unset" in the same way.</t>
    </r>
  </si>
  <si>
    <r>
      <rPr>
        <sz val="11"/>
        <color rgb="FF000000"/>
        <rFont val="Calibri"/>
      </rPr>
      <t xml:space="preserve">Verify OL 8 is configured to audit the execution of the "setfiles" command by running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grep -w setfiles /etc/audit/audit.rules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always,exit -F path=/usr/sbin/setfiles -F perm=x -F auid&gt;=1000 -F auid!=unset -k privileged-unix-update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all lines or the lines are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allows for specifying an arbitrary identifier, and the string after it does not need to match the example output above.</t>
    </r>
  </si>
  <si>
    <t>V-248766</t>
  </si>
  <si>
    <r>
      <rPr>
        <sz val="11"/>
        <rFont val="Calibri"/>
      </rPr>
      <t xml:space="preserve">OL 8 must generate audit records for any use of the </t>
    </r>
    <r>
      <rPr>
        <sz val="11"/>
        <color rgb="FF000000"/>
        <rFont val="Calibri"/>
      </rPr>
      <t>"</t>
    </r>
    <r>
      <rPr>
        <b/>
        <sz val="11"/>
        <color rgb="FF000000"/>
        <rFont val="Calibri"/>
      </rPr>
      <t>userhelper</t>
    </r>
    <r>
      <rPr>
        <sz val="11"/>
        <color rgb="FF000000"/>
        <rFont val="Calibri"/>
      </rPr>
      <t>"</t>
    </r>
    <r>
      <rPr>
        <sz val="11"/>
        <color rgb="FF000000"/>
        <rFont val="Calibri"/>
      </rPr>
      <t xml:space="preserve"> command.</t>
    </r>
  </si>
  <si>
    <r>
      <rPr>
        <sz val="11"/>
        <color rgb="FF000000"/>
        <rFont val="Calibri"/>
      </rPr>
      <t xml:space="preserve">Configure OL 8 to audit the execution of the "userhelper" command by adding or updating the following lines to "/etc/audit/rules.d/audit.rules":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always,exit -F path=/usr/sbin/userhelper -F perm=x -F auid&gt;=1000 -F auid!=unset -k privileged-unix-update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The audit daemon must be restarted for the changes to take effect. To restart the audit daemon, run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service auditd restart</t>
    </r>
  </si>
  <si>
    <r>
      <rPr>
        <sz val="11"/>
        <color rgb="FF000000"/>
        <rFont val="Calibri"/>
      </rPr>
      <t>Reconstruction of harmful events or forensic analysis is not possible if audit records do not contain enough information.</t>
    </r>
    <r>
      <rPr>
        <sz val="11"/>
        <color rgb="FF000000"/>
        <rFont val="Calibri"/>
      </rPr>
      <t xml:space="preserve">
</t>
    </r>
    <r>
      <rPr>
        <sz val="11"/>
        <color rgb="FF000000"/>
        <rFont val="Calibri"/>
      </rPr>
      <t>At a minimum, the organization must audit the full-text recording of privileged commands. The organization must maintain audit trails in sufficient detail to reconstruct events to determine the cause and impact of compromise. The "userhelper" command is not intended to be run interactively. "Userhelper" provides a basic interface to change a user's password, gecos information, and shell. The main difference between this program and its traditional equivalents (passwd, chfn, chsh) is that prompts are written to standard out to make it easy for a graphical user interface wrapper to interface to it as a child process.</t>
    </r>
    <r>
      <rPr>
        <sz val="11"/>
        <color rgb="FF000000"/>
        <rFont val="Calibri"/>
      </rPr>
      <t xml:space="preserve">
</t>
    </r>
    <r>
      <rPr>
        <sz val="11"/>
        <color rgb="FF000000"/>
        <rFont val="Calibri"/>
      </rPr>
      <t>When a user logs on, the AUID is set to the UID of the account that is being authenticated. Daemons are not user sessions and have the loginuid set to "-1". The AUID representation is an unsigned 32-bit integer, which equals "4294967295". The audit system interprets "-1", "4294967295", and "unset" in the same way.</t>
    </r>
  </si>
  <si>
    <r>
      <rPr>
        <sz val="11"/>
        <color rgb="FF000000"/>
        <rFont val="Calibri"/>
      </rPr>
      <t xml:space="preserve">Verify OL 8 is configured to audit the execution of the "userhelper" command by running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grep -w userhelper /etc/audit/audit.rules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always,exit -F path=/usr/sbin/userhelper -F perm=x -F auid&gt;=1000 -F auid!=unset -k privileged-unix-update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all lines or the lines are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allows for specifying an arbitrary identifier, and the string after it does not need to match the example output above.</t>
    </r>
  </si>
  <si>
    <t>V-248767</t>
  </si>
  <si>
    <r>
      <rPr>
        <sz val="11"/>
        <rFont val="Calibri"/>
      </rPr>
      <t xml:space="preserve">OL 8 must generate audit records for any use of the </t>
    </r>
    <r>
      <rPr>
        <sz val="11"/>
        <color rgb="FF000000"/>
        <rFont val="Calibri"/>
      </rPr>
      <t>"</t>
    </r>
    <r>
      <rPr>
        <b/>
        <sz val="11"/>
        <color rgb="FF000000"/>
        <rFont val="Calibri"/>
      </rPr>
      <t>setsebool</t>
    </r>
    <r>
      <rPr>
        <sz val="11"/>
        <color rgb="FF000000"/>
        <rFont val="Calibri"/>
      </rPr>
      <t>"</t>
    </r>
    <r>
      <rPr>
        <sz val="11"/>
        <color rgb="FF000000"/>
        <rFont val="Calibri"/>
      </rPr>
      <t xml:space="preserve"> command.</t>
    </r>
  </si>
  <si>
    <r>
      <rPr>
        <sz val="11"/>
        <color rgb="FF000000"/>
        <rFont val="Calibri"/>
      </rPr>
      <t xml:space="preserve">Configure OL 8 to audit the execution of the "setsebool" command by adding or updating the following lines to "/etc/audit/rules.d/audit.rules":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always,exit -F path=/usr/sbin/setsebool -F perm=x -F auid&gt;=1000 -F auid!=unset -k privileged-unix-update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The audit daemon must be restarted for the changes to take effect. To restart the audit daemon, run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service auditd restart</t>
    </r>
  </si>
  <si>
    <r>
      <rPr>
        <sz val="11"/>
        <color rgb="FF000000"/>
        <rFont val="Calibri"/>
      </rPr>
      <t>Reconstruction of harmful events or forensic analysis is not possible if audit records do not contain enough information.</t>
    </r>
    <r>
      <rPr>
        <sz val="11"/>
        <color rgb="FF000000"/>
        <rFont val="Calibri"/>
      </rPr>
      <t xml:space="preserve">
</t>
    </r>
    <r>
      <rPr>
        <sz val="11"/>
        <color rgb="FF000000"/>
        <rFont val="Calibri"/>
      </rPr>
      <t>At a minimum, the organization must audit the full-text recording of privileged commands. The organization must maintain audit trails in sufficient detail to reconstruct events to determine the cause and impact of compromise. The "setsebool" command sets the current state of a particular SELinux boolean or a list of booleans to a given value.</t>
    </r>
    <r>
      <rPr>
        <sz val="11"/>
        <color rgb="FF000000"/>
        <rFont val="Calibri"/>
      </rPr>
      <t xml:space="preserve">
</t>
    </r>
    <r>
      <rPr>
        <sz val="11"/>
        <color rgb="FF000000"/>
        <rFont val="Calibri"/>
      </rPr>
      <t>When a user logs on, the AUID is set to the UID of the account that is being authenticated. Daemons are not user sessions and have the loginuid set to "-1". The AUID representation is an unsigned 32-bit integer, which equals "4294967295". The audit system interprets "-1", "4294967295", and "unset" in the same way.</t>
    </r>
    <r>
      <rPr>
        <sz val="11"/>
        <color rgb="FF000000"/>
        <rFont val="Calibri"/>
      </rPr>
      <t xml:space="preserve">
</t>
    </r>
    <r>
      <rPr>
        <sz val="11"/>
        <color rgb="FF000000"/>
        <rFont val="Calibri"/>
      </rPr>
      <t>Satisfies: SRG-OS-000037-GPOS-00015, SRG-OS-000042-GPOS-00020, SRG-OS-000062-GPOS-00031, SRG-OS-000392-GPOS-00172, SRG-OS-000462-GPOS-00206, SRG-OS-000471-GPOS-00215</t>
    </r>
  </si>
  <si>
    <r>
      <rPr>
        <sz val="11"/>
        <color rgb="FF000000"/>
        <rFont val="Calibri"/>
      </rPr>
      <t xml:space="preserve">Verify OL 8 is configured to audit the execution of the "setsebool" command by running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grep -w setsebool /etc/audit/audit.rules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always,exit -F path=/usr/sbin/setsebool -F perm=x -F auid&gt;=1000 -F auid!=unset -k privileged-unix-update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all lines or the lines are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allows for specifying an arbitrary identifier, and the string after it does not need to match the example output above.</t>
    </r>
  </si>
  <si>
    <t>V-248768</t>
  </si>
  <si>
    <r>
      <rPr>
        <sz val="11"/>
        <rFont val="Calibri"/>
      </rPr>
      <t xml:space="preserve">OL 8 must generate audit records for any use of the </t>
    </r>
    <r>
      <rPr>
        <sz val="11"/>
        <color rgb="FF000000"/>
        <rFont val="Calibri"/>
      </rPr>
      <t>"</t>
    </r>
    <r>
      <rPr>
        <b/>
        <sz val="11"/>
        <color rgb="FF000000"/>
        <rFont val="Calibri"/>
      </rPr>
      <t>unix_chkpwd</t>
    </r>
    <r>
      <rPr>
        <sz val="11"/>
        <color rgb="FF000000"/>
        <rFont val="Calibri"/>
      </rPr>
      <t>"</t>
    </r>
    <r>
      <rPr>
        <sz val="11"/>
        <color rgb="FF000000"/>
        <rFont val="Calibri"/>
      </rPr>
      <t xml:space="preserve"> command.</t>
    </r>
  </si>
  <si>
    <r>
      <rPr>
        <sz val="11"/>
        <color rgb="FF000000"/>
        <rFont val="Calibri"/>
      </rPr>
      <t xml:space="preserve">Configure OL 8 to audit the execution of the "unix_chkpwd" command by adding or updating the following lines to "/etc/audit/rules.d/audit.rules":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always,exit -F path=/usr/sbin/unix_chkpwd -F perm=x -F auid&gt;=1000 -F auid!=unset -k privileged-unix-update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The audit daemon must be restarted for the changes to take effect. To restart the audit daemon, run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service auditd restart</t>
    </r>
  </si>
  <si>
    <r>
      <rPr>
        <sz val="11"/>
        <color rgb="FF000000"/>
        <rFont val="Calibri"/>
      </rPr>
      <t>Reconstruction of harmful events or forensic analysis is not possible if audit records do not contain enough information.</t>
    </r>
    <r>
      <rPr>
        <sz val="11"/>
        <color rgb="FF000000"/>
        <rFont val="Calibri"/>
      </rPr>
      <t xml:space="preserve">
</t>
    </r>
    <r>
      <rPr>
        <sz val="11"/>
        <color rgb="FF000000"/>
        <rFont val="Calibri"/>
      </rPr>
      <t>At a minimum, the organization must audit the full-text recording of privileged commands. The organization must maintain audit trails in sufficient detail to reconstruct events to determine the cause and impact of compromise. The "unix_chkpwd" command is a helper program for the pam_unix module that verifies the password of the current user. It also checks password and account expiration dates in shadow. It is not intended to be run directly from the command line and logs a security violation if done so.</t>
    </r>
    <r>
      <rPr>
        <sz val="11"/>
        <color rgb="FF000000"/>
        <rFont val="Calibri"/>
      </rPr>
      <t xml:space="preserve">
</t>
    </r>
    <r>
      <rPr>
        <sz val="11"/>
        <color rgb="FF000000"/>
        <rFont val="Calibri"/>
      </rPr>
      <t>When a user logs on, the AUID is set to the UID of the account that is being authenticated. Daemons are not user sessions and have the loginuid set to "-1". The AUID representation is an unsigned 32-bit integer, which equals "4294967295". The audit system interprets "-1", "4294967295", and "unset" in the same way.</t>
    </r>
    <r>
      <rPr>
        <sz val="11"/>
        <color rgb="FF000000"/>
        <rFont val="Calibri"/>
      </rPr>
      <t xml:space="preserve">
</t>
    </r>
    <r>
      <rPr>
        <sz val="11"/>
        <color rgb="FF000000"/>
        <rFont val="Calibri"/>
      </rPr>
      <t>Satisfies: SRG-OS-000037-GPOS-00015, SRG-OS-000042-GPOS-00020, SRG-OS-000062-GPOS-00031, SRG-OS-000392-GPOS-00172, SRG-OS-000462-GPOS-00206, SRG-OS-000471-GPOS-00215</t>
    </r>
  </si>
  <si>
    <r>
      <rPr>
        <sz val="11"/>
        <color rgb="FF000000"/>
        <rFont val="Calibri"/>
      </rPr>
      <t xml:space="preserve">Verify OL 8 is configured to audit the execution of the "unix_chkpwd" command by running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grep -w unix_chkpwd /etc/audit/audit.rules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always,exit -F path=/usr/sbin/unix_chkpwd -F perm=x -F auid&gt;=1000 -F auid!=unset -k privileged-unix-update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all lines or the lines are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allows for specifying an arbitrary identifier, and the string after it does not need to match the example output above.</t>
    </r>
  </si>
  <si>
    <t>V-248769</t>
  </si>
  <si>
    <r>
      <rPr>
        <sz val="11"/>
        <rFont val="Calibri"/>
      </rPr>
      <t xml:space="preserve">OL 8 must generate audit records for any use of the </t>
    </r>
    <r>
      <rPr>
        <sz val="11"/>
        <color rgb="FF000000"/>
        <rFont val="Calibri"/>
      </rPr>
      <t>"</t>
    </r>
    <r>
      <rPr>
        <b/>
        <sz val="11"/>
        <color rgb="FF000000"/>
        <rFont val="Calibri"/>
      </rPr>
      <t>ssh-keysign</t>
    </r>
    <r>
      <rPr>
        <sz val="11"/>
        <color rgb="FF000000"/>
        <rFont val="Calibri"/>
      </rPr>
      <t>"</t>
    </r>
    <r>
      <rPr>
        <sz val="11"/>
        <color rgb="FF000000"/>
        <rFont val="Calibri"/>
      </rPr>
      <t xml:space="preserve"> command.</t>
    </r>
  </si>
  <si>
    <r>
      <rPr>
        <sz val="11"/>
        <color rgb="FF000000"/>
        <rFont val="Calibri"/>
      </rPr>
      <t xml:space="preserve">Configure the audit system to generate an audit event for any use of "ssh-keysign" by adding or updating the following rule in the "/etc/audit/rules.d/audit.rules"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always,exit -F path=/usr/libexec/openssh/ssh-keysign -F perm=x -F auid&gt;=1000 -F auid!=unset -k privileged-ssh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The audit daemon must be restarted for the changes to take effect. To restart the audit daemon, run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service auditd restart</t>
    </r>
  </si>
  <si>
    <r>
      <rPr>
        <sz val="11"/>
        <color rgb="FF000000"/>
        <rFont val="Calibri"/>
      </rPr>
      <t xml:space="preserve">Without generating audit records that are specific to the security and mission needs of the organization, it would be difficult to establish, correlate, and investigate the events relating to an incident or identify those responsible for one.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Audit records can be generated from various components within the information system (e.g., module or policy filter). The "ssh-keysign" program is an SSH helper program for host-based authentication.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When a user logs on, the AUID is set to the UID of the account that is being authenticated. Daemons are not user sessions and have the loginuid set to "-1". The AUID representation is an unsigned 32-bit integer, which equals "4294967295". The audit system interprets "-1", "4294967295", and "unset" in the same way.</t>
    </r>
    <r>
      <rPr>
        <sz val="11"/>
        <color rgb="FF000000"/>
        <rFont val="Calibri"/>
      </rPr>
      <t xml:space="preserve">
</t>
    </r>
    <r>
      <rPr>
        <sz val="11"/>
        <color rgb="FF000000"/>
        <rFont val="Calibri"/>
      </rPr>
      <t>Satisfies: SRG-OS-000037-GPOS-00015, SRG-OS-000042-GPOS-00020, SRG-OS-000062-GPOS-00031, SRG-OS-000392-GPOS-00172, SRG-OS-000462-GPOS-00206, SRG-OS-000471-GPOS-00215</t>
    </r>
  </si>
  <si>
    <r>
      <rPr>
        <sz val="11"/>
        <color rgb="FF000000"/>
        <rFont val="Calibri"/>
      </rPr>
      <t xml:space="preserve">Verify OL 8 generates an audit record for any use of "ssh-keysign" by running the following command to check the file system rules in "/etc/audit/audit.rules":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grep ssh-keysign /etc/audit/audit.rules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always,exit -F path=/usr/libexec/openssh/ssh-keysign -F perm=x -F auid&gt;=1000 -F auid!=unset -k privileged-ssh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a line or the line is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allows for specifying an arbitrary identifier, and the string after it does not need to match the example output above.</t>
    </r>
  </si>
  <si>
    <t>V-248770</t>
  </si>
  <si>
    <r>
      <rPr>
        <sz val="11"/>
        <rFont val="Calibri"/>
      </rPr>
      <t xml:space="preserve">OL 8 must generate audit records for any use of the </t>
    </r>
    <r>
      <rPr>
        <sz val="11"/>
        <color rgb="FF000000"/>
        <rFont val="Calibri"/>
      </rPr>
      <t>"</t>
    </r>
    <r>
      <rPr>
        <b/>
        <sz val="11"/>
        <color rgb="FF000000"/>
        <rFont val="Calibri"/>
      </rPr>
      <t>setfacl</t>
    </r>
    <r>
      <rPr>
        <sz val="11"/>
        <color rgb="FF000000"/>
        <rFont val="Calibri"/>
      </rPr>
      <t>"</t>
    </r>
    <r>
      <rPr>
        <sz val="11"/>
        <color rgb="FF000000"/>
        <rFont val="Calibri"/>
      </rPr>
      <t xml:space="preserve"> command.</t>
    </r>
  </si>
  <si>
    <r>
      <rPr>
        <sz val="11"/>
        <color rgb="FF000000"/>
        <rFont val="Calibri"/>
      </rPr>
      <t xml:space="preserve">Configure the audit system to generate an audit event for any use of the "setfacl" command by adding or updating the following rule in the "/etc/audit/rules.d/audit.rules"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always,exit -F path=/usr/bin/setfacl -F perm=x -F auid&gt;=1000 -F auid!=unset -k perm_chng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The audit daemon must be restarted for the changes to take effect. To restart the audit daemon, run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service auditd restart</t>
    </r>
  </si>
  <si>
    <r>
      <rPr>
        <sz val="11"/>
        <color rgb="FF000000"/>
        <rFont val="Calibri"/>
      </rPr>
      <t xml:space="preserve">Without generating audit records that are specific to the security and mission needs of the organization, it would be difficult to establish, correlate, and investigate the events relating to an incident or identify those responsible for one.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Audit records can be generated from various components within the information system (e.g., module or policy filter). The "setfacl" command is used to set file access control lists.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When a user logs on, the AUID is set to the UID of the account that is being authenticated. Daemons are not user sessions and have the loginuid set to "-1". The AUID representation is an unsigned 32-bit integer, which equals "4294967295". The audit system interprets "-1", "4294967295", and "unset" in the same way.</t>
    </r>
    <r>
      <rPr>
        <sz val="11"/>
        <color rgb="FF000000"/>
        <rFont val="Calibri"/>
      </rPr>
      <t xml:space="preserve">
</t>
    </r>
    <r>
      <rPr>
        <sz val="11"/>
        <color rgb="FF000000"/>
        <rFont val="Calibri"/>
      </rPr>
      <t>Satisfies: SRG-OS-000037-GPOS-00015, SRG-OS-000042-GPOS-00020, SRG-OS-000062-GPOS-00031, SRG-OS-000392-GPOS-00172, SRG-OS-000462-GPOS-00206, SRG-OS-000471-GPOS-00215</t>
    </r>
  </si>
  <si>
    <r>
      <rPr>
        <sz val="11"/>
        <color rgb="FF000000"/>
        <rFont val="Calibri"/>
      </rPr>
      <t xml:space="preserve">Verify OL 8 generates an audit record for any use of the "setfacl" command by running the following command to check the file system rules in "/etc/audit/audit.rules":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grep -w setfacl /etc/audit/audit.rules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always,exit -F path=/usr/bin/setfacl -F perm=x -F auid&gt;=1000 -F auid!=unset -k perm_chng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a line or the line is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allows for specifying an arbitrary identifier, and the string after it does not need to match the example output above.</t>
    </r>
  </si>
  <si>
    <t>V-248771</t>
  </si>
  <si>
    <r>
      <rPr>
        <sz val="11"/>
        <rFont val="Calibri"/>
      </rPr>
      <t xml:space="preserve">OL 8 must generate audit records for any use of the </t>
    </r>
    <r>
      <rPr>
        <sz val="11"/>
        <color rgb="FF000000"/>
        <rFont val="Calibri"/>
      </rPr>
      <t>"</t>
    </r>
    <r>
      <rPr>
        <b/>
        <sz val="11"/>
        <color rgb="FF000000"/>
        <rFont val="Calibri"/>
      </rPr>
      <t>pam_timestamp_check</t>
    </r>
    <r>
      <rPr>
        <sz val="11"/>
        <color rgb="FF000000"/>
        <rFont val="Calibri"/>
      </rPr>
      <t>"</t>
    </r>
    <r>
      <rPr>
        <sz val="11"/>
        <color rgb="FF000000"/>
        <rFont val="Calibri"/>
      </rPr>
      <t xml:space="preserve"> command.</t>
    </r>
  </si>
  <si>
    <r>
      <rPr>
        <sz val="11"/>
        <color rgb="FF000000"/>
        <rFont val="Calibri"/>
      </rPr>
      <t xml:space="preserve">Configure the audit system to generate an audit event for any use of the "pam_timestamp_check" command by adding or updating the following rule in the "/etc/audit/rules.d/audit.rules"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always,exit -F path=/usr/sbin/pam_timestamp_check -F perm=x -F auid&gt;=1000 -F auid!=unset -k privileged-pam_timestamp_check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The audit daemon must be restarted for the changes to take effect. To restart the audit daemon, run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service auditd restart</t>
    </r>
  </si>
  <si>
    <r>
      <rPr>
        <sz val="11"/>
        <color rgb="FF000000"/>
        <rFont val="Calibri"/>
      </rPr>
      <t xml:space="preserve">Without generating audit records that are specific to the security and mission needs of the organization, it would be difficult to establish, correlate, and investigate the events relating to an incident or identify those responsible for one.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Audit records can be generated from various components within the information system (e.g., module or policy filter). The "pam_timestamp_check" command is used to check if the default timestamp is valid.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When a user logs on, the AUID is set to the UID of the account that is being authenticated. Daemons are not user sessions and have the loginuid set to "-1". The AUID representation is an unsigned 32-bit integer, which equals "4294967295". The audit system interprets "-1", "4294967295", and "unset" in the same way.</t>
    </r>
    <r>
      <rPr>
        <sz val="11"/>
        <color rgb="FF000000"/>
        <rFont val="Calibri"/>
      </rPr>
      <t xml:space="preserve">
</t>
    </r>
    <r>
      <rPr>
        <sz val="11"/>
        <color rgb="FF000000"/>
        <rFont val="Calibri"/>
      </rPr>
      <t>Satisfies: SRG-OS-000037-GPOS-00015, SRG-OS-000042-GPOS-00020, SRG-OS-000062-GPOS-00031, SRG-OS-000392-GPOS-00172, SRG-OS-000462-GPOS-00206, SRG-OS-000471-GPOS-00215</t>
    </r>
  </si>
  <si>
    <r>
      <rPr>
        <sz val="11"/>
        <color rgb="FF000000"/>
        <rFont val="Calibri"/>
      </rPr>
      <t xml:space="preserve">Verify OL 8 generates an audit event for any use of the "pam_timestamp_check" command by running the following command to check the file system rules in "/etc/audit/audit.rules":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grep -w pam_timestamp_check /etc/audit/audit.rules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always,exit -F path=/usr/sbin/pam_timestamp_check -F perm=x -F auid&gt;=1000 -F auid!=unset -k privileged-pam_timestamp_check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a line or the line is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allows for specifying an arbitrary identifier, and the string after it does not need to match the example output above.</t>
    </r>
  </si>
  <si>
    <t>V-248772</t>
  </si>
  <si>
    <r>
      <rPr>
        <sz val="11"/>
        <rFont val="Calibri"/>
      </rPr>
      <t xml:space="preserve">OL 8 must generate audit records for any use of the </t>
    </r>
    <r>
      <rPr>
        <sz val="11"/>
        <color rgb="FF000000"/>
        <rFont val="Calibri"/>
      </rPr>
      <t>"</t>
    </r>
    <r>
      <rPr>
        <b/>
        <sz val="11"/>
        <color rgb="FF000000"/>
        <rFont val="Calibri"/>
      </rPr>
      <t>newgrp</t>
    </r>
    <r>
      <rPr>
        <sz val="11"/>
        <color rgb="FF000000"/>
        <rFont val="Calibri"/>
      </rPr>
      <t>"</t>
    </r>
    <r>
      <rPr>
        <sz val="11"/>
        <color rgb="FF000000"/>
        <rFont val="Calibri"/>
      </rPr>
      <t xml:space="preserve"> command.</t>
    </r>
  </si>
  <si>
    <r>
      <rPr>
        <sz val="11"/>
        <color rgb="FF000000"/>
        <rFont val="Calibri"/>
      </rPr>
      <t xml:space="preserve">Configure the audit system to generate an audit event for any use of the "newgrp" command by adding or updating the following rule in the "/etc/audit/rules.d/audit.rules"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always,exit -F path=/usr/bin/newgrp -F perm=x -F auid&gt;=1000 -F auid!=unset -k priv_cmd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The audit daemon must be restarted for the changes to take effect. To restart the audit daemon, run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service auditd restart</t>
    </r>
  </si>
  <si>
    <r>
      <rPr>
        <sz val="11"/>
        <color rgb="FF000000"/>
        <rFont val="Calibri"/>
      </rPr>
      <t xml:space="preserve">Without generating audit records that are specific to the security and mission needs of the organization, it would be difficult to establish, correlate, and investigate the events relating to an incident or identify those responsible for one.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Audit records can be generated from various components within the information system (e.g., module or policy filter). The "newgrp" command is used to change the current group ID during a login session.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When a user logs on, the AUID is set to the UID of the account that is being authenticated. Daemons are not user sessions and have the loginuid set to "-1". The AUID representation is an unsigned 32-bit integer, which equals "4294967295". The audit system interprets "-1", "4294967295", and "unset" in the same way.</t>
    </r>
    <r>
      <rPr>
        <sz val="11"/>
        <color rgb="FF000000"/>
        <rFont val="Calibri"/>
      </rPr>
      <t xml:space="preserve">
</t>
    </r>
    <r>
      <rPr>
        <sz val="11"/>
        <color rgb="FF000000"/>
        <rFont val="Calibri"/>
      </rPr>
      <t>Satisfies: SRG-OS-000037-GPOS-00015, SRG-OS-000042-GPOS-00020, SRG-OS-000062-GPOS-00031, SRG-OS-000392-GPOS-00172, SRG-OS-000462-GPOS-00206, SRG-OS-000471-GPOS-00215</t>
    </r>
  </si>
  <si>
    <r>
      <rPr>
        <sz val="11"/>
        <color rgb="FF000000"/>
        <rFont val="Calibri"/>
      </rPr>
      <t xml:space="preserve">Verify OL 8 generates an audit record for any use of the "newgrp" command by running the following command to check the file system rules in "/etc/audit/audit.rules":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grep -w newgrp /etc/audit/audit.rules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always,exit -F path=/usr/bin/newgrp -F perm=x -F auid&gt;=1000 -F auid!=unset -k priv_cmd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a line or the line is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allows for specifying an arbitrary identifier, and the string after it does not need to match the example output above.</t>
    </r>
  </si>
  <si>
    <t>V-248773</t>
  </si>
  <si>
    <r>
      <rPr>
        <sz val="11"/>
        <rFont val="Calibri"/>
      </rPr>
      <t xml:space="preserve">OL 8 must generate audit records for any use of the </t>
    </r>
    <r>
      <rPr>
        <sz val="11"/>
        <color rgb="FF000000"/>
        <rFont val="Calibri"/>
      </rPr>
      <t>"</t>
    </r>
    <r>
      <rPr>
        <b/>
        <sz val="11"/>
        <color rgb="FF000000"/>
        <rFont val="Calibri"/>
      </rPr>
      <t>init_module</t>
    </r>
    <r>
      <rPr>
        <sz val="11"/>
        <color rgb="FF000000"/>
        <rFont val="Calibri"/>
      </rPr>
      <t>"</t>
    </r>
    <r>
      <rPr>
        <sz val="11"/>
        <color rgb="FF000000"/>
        <rFont val="Calibri"/>
      </rPr>
      <t xml:space="preserve"> and </t>
    </r>
    <r>
      <rPr>
        <sz val="11"/>
        <color rgb="FF000000"/>
        <rFont val="Calibri"/>
      </rPr>
      <t>"</t>
    </r>
    <r>
      <rPr>
        <b/>
        <sz val="11"/>
        <color rgb="FF000000"/>
        <rFont val="Calibri"/>
      </rPr>
      <t>finit_module</t>
    </r>
    <r>
      <rPr>
        <sz val="11"/>
        <color rgb="FF000000"/>
        <rFont val="Calibri"/>
      </rPr>
      <t>"</t>
    </r>
    <r>
      <rPr>
        <sz val="11"/>
        <color rgb="FF000000"/>
        <rFont val="Calibri"/>
      </rPr>
      <t xml:space="preserve"> system calls.</t>
    </r>
  </si>
  <si>
    <r>
      <rPr>
        <sz val="11"/>
        <color rgb="FF000000"/>
        <rFont val="Calibri"/>
      </rPr>
      <t xml:space="preserve">Configure the audit system to generate an audit event for any use of the "init_module" and "finit_module" system calls by adding or updating the following rules in the "/etc/audit/rules.d/audit.rules"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always,exit -F arch=b32 -S init_module,finit_module -F auid&gt;=1000 -F auid!=unset -k module_chng </t>
    </r>
    <r>
      <rPr>
        <sz val="11"/>
        <color rgb="FF000000"/>
        <rFont val="Calibri"/>
      </rPr>
      <t xml:space="preserve">
</t>
    </r>
    <r>
      <rPr>
        <sz val="11"/>
        <color rgb="FF000000"/>
        <rFont val="Calibri"/>
      </rPr>
      <t xml:space="preserve">-a always,exit -F arch=b64 -S init_module,finit_module -F auid&gt;=1000 -F auid!=unset -k module_chng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The audit daemon must be restarted for the changes to take effect. To restart the audit daemon, run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service auditd restart</t>
    </r>
  </si>
  <si>
    <r>
      <rPr>
        <sz val="11"/>
        <color rgb="FF000000"/>
        <rFont val="Calibri"/>
      </rPr>
      <t xml:space="preserve">Without generating audit records that are specific to the security and mission needs of the organization, it would be difficult to establish, correlate, and investigate the events relating to an incident or identify those responsible for one.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Audit records can be generated from various components within the information system (e.g., module or policy filter). The "init_module" and "finit_module" system calls are used to load a kernel module.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When a user logs on, the AUID is set to the UID of the account that is being authenticated. Daemons are not user sessions and have the loginuid set to "-1". The AUID representation is an unsigned 32-bit integer, which equals "4294967295". The audit system interprets "-1", "4294967295", and "unset" in the same way.</t>
    </r>
    <r>
      <rPr>
        <sz val="11"/>
        <color rgb="FF000000"/>
        <rFont val="Calibri"/>
      </rPr>
      <t xml:space="preserve">
</t>
    </r>
    <r>
      <rPr>
        <sz val="11"/>
        <color rgb="FF000000"/>
        <rFont val="Calibri"/>
      </rPr>
      <t>The system call rules are loaded into a matching engine that intercepts each syscall that all programs on the system makes. Therefore, it is very important to only use syscall rules when absolutely necessary since these affect performance. The more rules, the bigger the performance hit. Performance can be helped, though, by combining syscalls into one rule whenever possible.</t>
    </r>
    <r>
      <rPr>
        <sz val="11"/>
        <color rgb="FF000000"/>
        <rFont val="Calibri"/>
      </rPr>
      <t xml:space="preserve">
</t>
    </r>
    <r>
      <rPr>
        <sz val="11"/>
        <color rgb="FF000000"/>
        <rFont val="Calibri"/>
      </rPr>
      <t>Satisfies: SRG-OS-000037-GPOS-00015, SRG-OS-000042-GPOS-00020, SRG-OS-000062-GPOS-00031, SRG-OS-000392-GPOS-00172, SRG-OS-000462-GPOS-00206, SRG-OS-000471-GPOS-00215</t>
    </r>
  </si>
  <si>
    <r>
      <rPr>
        <sz val="11"/>
        <color rgb="FF000000"/>
        <rFont val="Calibri"/>
      </rPr>
      <t xml:space="preserve">Verify OL 8 generates an audit record for any use of the "init_module" and "finit_module" system calls by running the following command to check the file system rules in "/etc/audit/audit.rules":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grep init_module /etc/audit/audit.rules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always,exit -F arch=b32 -S init_module,finit_module -F auid&gt;=1000 -F auid!=unset -k module_chng </t>
    </r>
    <r>
      <rPr>
        <sz val="11"/>
        <color rgb="FF000000"/>
        <rFont val="Calibri"/>
      </rPr>
      <t xml:space="preserve">
</t>
    </r>
    <r>
      <rPr>
        <sz val="11"/>
        <color rgb="FF000000"/>
        <rFont val="Calibri"/>
      </rPr>
      <t xml:space="preserve">-a always,exit -F arch=b64 -S init_module,finit_module -F auid&gt;=1000 -F auid!=unset -k module_chng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an audit rule for "init_module" and "finit_module" or any of the lines returned are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allows for specifying an arbitrary identifier, and the string after it does not need to match the example output above.</t>
    </r>
  </si>
  <si>
    <t>V-248774</t>
  </si>
  <si>
    <r>
      <rPr>
        <sz val="11"/>
        <rFont val="Calibri"/>
      </rPr>
      <t xml:space="preserve">OL 8 must generate audit records for any use of the </t>
    </r>
    <r>
      <rPr>
        <sz val="11"/>
        <color rgb="FF000000"/>
        <rFont val="Calibri"/>
      </rPr>
      <t>"</t>
    </r>
    <r>
      <rPr>
        <b/>
        <sz val="11"/>
        <color rgb="FF000000"/>
        <rFont val="Calibri"/>
      </rPr>
      <t>rename</t>
    </r>
    <r>
      <rPr>
        <sz val="11"/>
        <color rgb="FF000000"/>
        <rFont val="Calibri"/>
      </rPr>
      <t>"</t>
    </r>
    <r>
      <rPr>
        <sz val="11"/>
        <color rgb="FF000000"/>
        <rFont val="Calibri"/>
      </rPr>
      <t xml:space="preserve">, </t>
    </r>
    <r>
      <rPr>
        <sz val="11"/>
        <color rgb="FF000000"/>
        <rFont val="Calibri"/>
      </rPr>
      <t>"</t>
    </r>
    <r>
      <rPr>
        <b/>
        <sz val="11"/>
        <color rgb="FF000000"/>
        <rFont val="Calibri"/>
      </rPr>
      <t>unlink</t>
    </r>
    <r>
      <rPr>
        <sz val="11"/>
        <color rgb="FF000000"/>
        <rFont val="Calibri"/>
      </rPr>
      <t>"</t>
    </r>
    <r>
      <rPr>
        <sz val="11"/>
        <color rgb="FF000000"/>
        <rFont val="Calibri"/>
      </rPr>
      <t xml:space="preserve">, </t>
    </r>
    <r>
      <rPr>
        <sz val="11"/>
        <color rgb="FF000000"/>
        <rFont val="Calibri"/>
      </rPr>
      <t>"</t>
    </r>
    <r>
      <rPr>
        <b/>
        <sz val="11"/>
        <color rgb="FF000000"/>
        <rFont val="Calibri"/>
      </rPr>
      <t>rmdir</t>
    </r>
    <r>
      <rPr>
        <sz val="11"/>
        <color rgb="FF000000"/>
        <rFont val="Calibri"/>
      </rPr>
      <t>"</t>
    </r>
    <r>
      <rPr>
        <sz val="11"/>
        <color rgb="FF000000"/>
        <rFont val="Calibri"/>
      </rPr>
      <t xml:space="preserve">, </t>
    </r>
    <r>
      <rPr>
        <sz val="11"/>
        <color rgb="FF000000"/>
        <rFont val="Calibri"/>
      </rPr>
      <t>"</t>
    </r>
    <r>
      <rPr>
        <b/>
        <sz val="11"/>
        <color rgb="FF000000"/>
        <rFont val="Calibri"/>
      </rPr>
      <t>renameat</t>
    </r>
    <r>
      <rPr>
        <sz val="11"/>
        <color rgb="FF000000"/>
        <rFont val="Calibri"/>
      </rPr>
      <t>"</t>
    </r>
    <r>
      <rPr>
        <sz val="11"/>
        <color rgb="FF000000"/>
        <rFont val="Calibri"/>
      </rPr>
      <t xml:space="preserve">, and </t>
    </r>
    <r>
      <rPr>
        <sz val="11"/>
        <color rgb="FF000000"/>
        <rFont val="Calibri"/>
      </rPr>
      <t>"</t>
    </r>
    <r>
      <rPr>
        <b/>
        <sz val="11"/>
        <color rgb="FF000000"/>
        <rFont val="Calibri"/>
      </rPr>
      <t>unlinkat</t>
    </r>
    <r>
      <rPr>
        <sz val="11"/>
        <color rgb="FF000000"/>
        <rFont val="Calibri"/>
      </rPr>
      <t>"</t>
    </r>
    <r>
      <rPr>
        <sz val="11"/>
        <color rgb="FF000000"/>
        <rFont val="Calibri"/>
      </rPr>
      <t xml:space="preserve"> system calls.</t>
    </r>
  </si>
  <si>
    <r>
      <rPr>
        <sz val="11"/>
        <color rgb="FF000000"/>
        <rFont val="Calibri"/>
      </rPr>
      <t>Configure OL 8 to generate audit records for any use of the "rename", "unlink", "rmdir", "renameat", and "unlinkat" system calls by adding or updating the following lines to "/etc/audit/rules.d/audit.rules":</t>
    </r>
    <r>
      <rPr>
        <sz val="11"/>
        <color rgb="FF000000"/>
        <rFont val="Calibri"/>
      </rPr>
      <t xml:space="preserve">
</t>
    </r>
    <r>
      <rPr>
        <sz val="11"/>
        <color rgb="FF000000"/>
        <rFont val="Calibri"/>
      </rPr>
      <t>-a always,exit -F arch=b32 -S rename,unlink,rmdir,renameat,unlinkat -F auid&gt;=1000 -F auid!=unset -k delete</t>
    </r>
    <r>
      <rPr>
        <sz val="11"/>
        <color rgb="FF000000"/>
        <rFont val="Calibri"/>
      </rPr>
      <t xml:space="preserve">
</t>
    </r>
    <r>
      <rPr>
        <sz val="11"/>
        <color rgb="FF000000"/>
        <rFont val="Calibri"/>
      </rPr>
      <t>-a always,exit -F arch=b64 -S rename,unlink,rmdir,renameat,unlinkat -F auid&gt;=1000 -F auid!=unset -k delete</t>
    </r>
    <r>
      <rPr>
        <sz val="11"/>
        <color rgb="FF000000"/>
        <rFont val="Calibri"/>
      </rPr>
      <t xml:space="preserve">
</t>
    </r>
    <r>
      <rPr>
        <sz val="11"/>
        <color rgb="FF000000"/>
        <rFont val="Calibri"/>
      </rPr>
      <t>The audit daemon must be restarted for the changes to take effect. To restart the audit daemon, run the following command:</t>
    </r>
    <r>
      <rPr>
        <sz val="11"/>
        <color rgb="FF000000"/>
        <rFont val="Calibri"/>
      </rPr>
      <t xml:space="preserve">
</t>
    </r>
    <r>
      <rPr>
        <sz val="11"/>
        <color rgb="FF000000"/>
        <rFont val="Calibri"/>
      </rPr>
      <t>$ sudo service auditd restart</t>
    </r>
  </si>
  <si>
    <r>
      <rPr>
        <sz val="11"/>
        <color rgb="FF000000"/>
        <rFont val="Calibri"/>
      </rPr>
      <t>Without generating audit records that are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The "rename" system call will rename the specified files by replacing the first occurrence of expression in their name by replacement.</t>
    </r>
    <r>
      <rPr>
        <sz val="11"/>
        <color rgb="FF000000"/>
        <rFont val="Calibri"/>
      </rPr>
      <t xml:space="preserve">
</t>
    </r>
    <r>
      <rPr>
        <sz val="11"/>
        <color rgb="FF000000"/>
        <rFont val="Calibri"/>
      </rPr>
      <t>The "unlink" system call deletes a name from the filesystem. If that name was the last link to a file and no processes have the file open, the file is deleted and the space it was using is made available for reuse.</t>
    </r>
    <r>
      <rPr>
        <sz val="11"/>
        <color rgb="FF000000"/>
        <rFont val="Calibri"/>
      </rPr>
      <t xml:space="preserve">
</t>
    </r>
    <r>
      <rPr>
        <sz val="11"/>
        <color rgb="FF000000"/>
        <rFont val="Calibri"/>
      </rPr>
      <t>The "rmdir" system call removes empty directories.</t>
    </r>
    <r>
      <rPr>
        <sz val="11"/>
        <color rgb="FF000000"/>
        <rFont val="Calibri"/>
      </rPr>
      <t xml:space="preserve">
</t>
    </r>
    <r>
      <rPr>
        <sz val="11"/>
        <color rgb="FF000000"/>
        <rFont val="Calibri"/>
      </rPr>
      <t>The "renameat" system call renames a file, moving it between directories, if required.</t>
    </r>
    <r>
      <rPr>
        <sz val="11"/>
        <color rgb="FF000000"/>
        <rFont val="Calibri"/>
      </rPr>
      <t xml:space="preserve">
</t>
    </r>
    <r>
      <rPr>
        <sz val="11"/>
        <color rgb="FF000000"/>
        <rFont val="Calibri"/>
      </rPr>
      <t>The "unlinkat" system call operates in exactly the same way as either "unlink" or "rmdir" except for the differences described in the manual page.</t>
    </r>
    <r>
      <rPr>
        <sz val="11"/>
        <color rgb="FF000000"/>
        <rFont val="Calibri"/>
      </rPr>
      <t xml:space="preserve">
</t>
    </r>
    <r>
      <rPr>
        <sz val="11"/>
        <color rgb="FF000000"/>
        <rFont val="Calibri"/>
      </rPr>
      <t>When a user logs on, the AUID is set to the UID of the account that is being authenticated. Daemons are not user sessions and have the loginuid set to "-1". The AUID representation is an unsigned 32-bit integer, which equals "4294967295". The audit system interprets "-1", "4294967295", and "unset" in the same way.</t>
    </r>
    <r>
      <rPr>
        <sz val="11"/>
        <color rgb="FF000000"/>
        <rFont val="Calibri"/>
      </rPr>
      <t xml:space="preserve">
</t>
    </r>
    <r>
      <rPr>
        <sz val="11"/>
        <color rgb="FF000000"/>
        <rFont val="Calibri"/>
      </rPr>
      <t>The system call rules are loaded into a matching engine that intercepts each syscall that all programs on the system makes. Therefore, it is very important to only use syscall rules when absolutely necessary since these affect performance. The more rules, the bigger the performance hit. Performance can be helped, though, by combining syscalls into one rule whenever possible.</t>
    </r>
    <r>
      <rPr>
        <sz val="11"/>
        <color rgb="FF000000"/>
        <rFont val="Calibri"/>
      </rPr>
      <t xml:space="preserve">
</t>
    </r>
    <r>
      <rPr>
        <sz val="11"/>
        <color rgb="FF000000"/>
        <rFont val="Calibri"/>
      </rPr>
      <t>Satisfies: SRG-OS-000037-GPOS-00015, SRG-OS-000042-GPOS-00020, SRG-OS-000062-GPOS-00031, SRG-OS-000392-GPOS-00172, SRG-OS-000462-GPOS-00206, SRG-OS-000471-GPOS-00215</t>
    </r>
  </si>
  <si>
    <r>
      <rPr>
        <sz val="11"/>
        <color rgb="FF000000"/>
        <rFont val="Calibri"/>
      </rPr>
      <t xml:space="preserve">Verify OL 8 is configured to generate audit records for any use of the "rename", "unlink", "rmdir", "renameat", and "unlinkat" system calls by running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grep 'rename\|unlink\|rmdir' /etc/audit/audit.rules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always,exit -F arch=b32 -S rename,unlink,rmdir,renameat,unlinkat -F auid&gt;=1000 -F auid!=unset -k delete </t>
    </r>
    <r>
      <rPr>
        <sz val="11"/>
        <color rgb="FF000000"/>
        <rFont val="Calibri"/>
      </rPr>
      <t xml:space="preserve">
</t>
    </r>
    <r>
      <rPr>
        <sz val="11"/>
        <color rgb="FF000000"/>
        <rFont val="Calibri"/>
      </rPr>
      <t xml:space="preserve">-a always,exit -F arch=b64 -S rename,unlink,rmdir,renameat,unlinkat -F auid&gt;=1000 -F auid!=unset -k delete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an audit rule for "rename", "unlink", "rmdir", "renameat" and "unlinkat" or any of the lines returned are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allows for specifying an arbitrary identifier, and the string after it does not need to match the example output above.</t>
    </r>
  </si>
  <si>
    <t>V-248779</t>
  </si>
  <si>
    <r>
      <rPr>
        <sz val="11"/>
        <rFont val="Calibri"/>
      </rPr>
      <t xml:space="preserve">OL 8 must generate audit records for any use of the </t>
    </r>
    <r>
      <rPr>
        <sz val="11"/>
        <color rgb="FF000000"/>
        <rFont val="Calibri"/>
      </rPr>
      <t>"</t>
    </r>
    <r>
      <rPr>
        <b/>
        <sz val="11"/>
        <color rgb="FF000000"/>
        <rFont val="Calibri"/>
      </rPr>
      <t>gpasswd</t>
    </r>
    <r>
      <rPr>
        <sz val="11"/>
        <color rgb="FF000000"/>
        <rFont val="Calibri"/>
      </rPr>
      <t>"</t>
    </r>
    <r>
      <rPr>
        <sz val="11"/>
        <color rgb="FF000000"/>
        <rFont val="Calibri"/>
      </rPr>
      <t xml:space="preserve"> command.</t>
    </r>
  </si>
  <si>
    <r>
      <rPr>
        <sz val="11"/>
        <color rgb="FF000000"/>
        <rFont val="Calibri"/>
      </rPr>
      <t xml:space="preserve">Configure the audit system to generate an audit event for any use of the "gpasswd" command by adding or updating the following rule in the "/etc/audit/rules.d/audit.rules"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always,exit -F path=/usr/bin/gpasswd -F perm=x -F auid&gt;=1000 -F auid!=unset -k privileged-gpasswd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The audit daemon must be restarted for the changes to take effect. To restart the audit daemon, run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service auditd restart</t>
    </r>
  </si>
  <si>
    <r>
      <rPr>
        <sz val="11"/>
        <color rgb="FF000000"/>
        <rFont val="Calibri"/>
      </rPr>
      <t xml:space="preserve">Without generating audit records that are specific to the security and mission needs of the organization, it would be difficult to establish, correlate, and investigate the events relating to an incident or identify those responsible for one.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Audit records can be generated from various components within the information system (e.g., module or policy filter). The "gpasswd" command is used to administer "/etc/group" and "/etc/gshadow". Every group can have administrators, members, and a password.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When a user logs on, the AUID is set to the UID of the account that is being authenticated. Daemons are not user sessions and have the loginuid set to "-1". The AUID representation is an unsigned 32-bit integer, which equals "4294967295". The audit system interprets "-1", "4294967295", and "unset" in the same way.</t>
    </r>
    <r>
      <rPr>
        <sz val="11"/>
        <color rgb="FF000000"/>
        <rFont val="Calibri"/>
      </rPr>
      <t xml:space="preserve">
</t>
    </r>
    <r>
      <rPr>
        <sz val="11"/>
        <color rgb="FF000000"/>
        <rFont val="Calibri"/>
      </rPr>
      <t>Satisfies: SRG-OS-000037-GPOS-00015, SRG-OS-000042-GPOS-00020, SRG-OS-000062-GPOS-00031, SRG-OS-000392-GPOS-00172, SRG-OS-000462-GPOS-00206, SRG-OS-000471-GPOS-00215</t>
    </r>
  </si>
  <si>
    <r>
      <rPr>
        <sz val="11"/>
        <color rgb="FF000000"/>
        <rFont val="Calibri"/>
      </rPr>
      <t xml:space="preserve">Verify OL 8 generates an audit event for any use of the "gpasswd" command by running the following command to check the file system rules in "/etc/audit/audit.rules":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grep -w gpasswd /etc/audit/audit.rules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always,exit -F path=/usr/bin/gpasswd -F perm=x -F auid&gt;=1000 -F auid!=unset -k privileged-gpasswd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a line or the line is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allows for specifying an arbitrary identifier, and the string after it does not need to match the example output above.</t>
    </r>
  </si>
  <si>
    <t>V-248781</t>
  </si>
  <si>
    <r>
      <rPr>
        <sz val="11"/>
        <rFont val="Calibri"/>
      </rPr>
      <t>OL 8 must generate audit records for any use of the delete_module syscall.</t>
    </r>
  </si>
  <si>
    <r>
      <rPr>
        <sz val="11"/>
        <color rgb="FF000000"/>
        <rFont val="Calibri"/>
      </rPr>
      <t xml:space="preserve">Configure the audit system to generate an audit event for any use of the "delete_module" syscall by adding or updating the following rules in the "/etc/audit/rules.d/audit.rules"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always,exit -F arch=b32 -S delete_module -F auid&gt;=1000 -F auid!=unset -k module_chng </t>
    </r>
    <r>
      <rPr>
        <sz val="11"/>
        <color rgb="FF000000"/>
        <rFont val="Calibri"/>
      </rPr>
      <t xml:space="preserve">
</t>
    </r>
    <r>
      <rPr>
        <sz val="11"/>
        <color rgb="FF000000"/>
        <rFont val="Calibri"/>
      </rPr>
      <t xml:space="preserve">-a always,exit -F arch=b64 -S delete_module -F auid&gt;=1000 -F auid!=unset -k module_chng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The audit daemon must be restarted for the changes to take effect. To restart the audit daemon, run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service auditd restart</t>
    </r>
  </si>
  <si>
    <r>
      <rPr>
        <sz val="11"/>
        <color rgb="FF000000"/>
        <rFont val="Calibri"/>
      </rPr>
      <t xml:space="preserve">Without generating audit records that are specific to the security and mission needs of the organization, it would be difficult to establish, correlate, and investigate the events relating to an incident or identify those responsible for one.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Audit records can be generated from various components within the information system (e.g., module or policy filter). The "delete_module" command is used to unload a kernel module.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When a user logs on, the AUID is set to the UID of the account that is being authenticated. Daemons are not user sessions and have the loginuid set to "-1". The AUID representation is an unsigned 32-bit integer, which equals "4294967295". The audit system interprets "-1", "4294967295", and "unset" in the same way.</t>
    </r>
    <r>
      <rPr>
        <sz val="11"/>
        <color rgb="FF000000"/>
        <rFont val="Calibri"/>
      </rPr>
      <t xml:space="preserve">
</t>
    </r>
    <r>
      <rPr>
        <sz val="11"/>
        <color rgb="FF000000"/>
        <rFont val="Calibri"/>
      </rPr>
      <t>Satisfies: SRG-OS-000037-GPOS-00015, SRG-OS-000042-GPOS-00020, SRG-OS-000062-GPOS-00031, SRG-OS-000392-GPOS-00172, SRG-OS-000462-GPOS-00206, SRG-OS-000471-GPOS-00215</t>
    </r>
  </si>
  <si>
    <r>
      <rPr>
        <sz val="11"/>
        <color rgb="FF000000"/>
        <rFont val="Calibri"/>
      </rPr>
      <t xml:space="preserve">Verify OL 8 generates an audit record for any use of the "delete_module" syscall by running the following command to check the file system rules in "/etc/audit/audit.rules":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grep -w "delete_module" /etc/audit/audit.rules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always,exit -F arch=b32 -S delete_module -F auid&gt;=1000 -F auid!=unset -k module_chng </t>
    </r>
    <r>
      <rPr>
        <sz val="11"/>
        <color rgb="FF000000"/>
        <rFont val="Calibri"/>
      </rPr>
      <t xml:space="preserve">
</t>
    </r>
    <r>
      <rPr>
        <sz val="11"/>
        <color rgb="FF000000"/>
        <rFont val="Calibri"/>
      </rPr>
      <t xml:space="preserve">-a always,exit -F arch=b64 -S delete_module -F auid&gt;=1000 -F auid!=unset -k module_chng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a line or the line is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allows for specifying an arbitrary identifier, and the string after it does not need to match the example output above.</t>
    </r>
  </si>
  <si>
    <t>V-248782</t>
  </si>
  <si>
    <r>
      <rPr>
        <sz val="11"/>
        <rFont val="Calibri"/>
      </rPr>
      <t xml:space="preserve">OL 8 must generate audit records for any use of the </t>
    </r>
    <r>
      <rPr>
        <sz val="11"/>
        <color rgb="FF000000"/>
        <rFont val="Calibri"/>
      </rPr>
      <t>"</t>
    </r>
    <r>
      <rPr>
        <b/>
        <sz val="11"/>
        <color rgb="FF000000"/>
        <rFont val="Calibri"/>
      </rPr>
      <t>crontab</t>
    </r>
    <r>
      <rPr>
        <sz val="11"/>
        <color rgb="FF000000"/>
        <rFont val="Calibri"/>
      </rPr>
      <t>"</t>
    </r>
    <r>
      <rPr>
        <sz val="11"/>
        <color rgb="FF000000"/>
        <rFont val="Calibri"/>
      </rPr>
      <t xml:space="preserve"> command.</t>
    </r>
  </si>
  <si>
    <r>
      <rPr>
        <sz val="11"/>
        <color rgb="FF000000"/>
        <rFont val="Calibri"/>
      </rPr>
      <t xml:space="preserve">Configure the audit system to generate an audit event for any use of the "crontab" command by adding or updating the following rule in the "/etc/audit/rules.d/audit.rules"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always,exit -F path=/usr/bin/crontab -F perm=x -F auid&gt;=1000 -F auid!=unset -k privileged-crontab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The audit daemon must be restarted for the changes to take effect. To restart the audit daemon, run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service auditd restart</t>
    </r>
  </si>
  <si>
    <r>
      <rPr>
        <sz val="11"/>
        <color rgb="FF000000"/>
        <rFont val="Calibri"/>
      </rPr>
      <t xml:space="preserve">Without generating audit records that are specific to the security and mission needs of the organization, it would be difficult to establish, correlate, and investigate the events relating to an incident or identify those responsible for one.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Audit records can be generated from various components within the information system (e.g., module or policy filter). The "crontab" command is used to maintain crontab files for individual users. Crontab is the program used to install, remove, or list the tables used to drive the cron daemon. This is similar to the task scheduler used in other operating systems.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When a user logs on, the AUID is set to the UID of the account that is being authenticated. Daemons are not user sessions and have the loginuid set to "-1". The AUID representation is an unsigned 32-bit integer, which equals "4294967295". The audit system interprets "-1", "4294967295", and "unset" in the same way.</t>
    </r>
    <r>
      <rPr>
        <sz val="11"/>
        <color rgb="FF000000"/>
        <rFont val="Calibri"/>
      </rPr>
      <t xml:space="preserve">
</t>
    </r>
    <r>
      <rPr>
        <sz val="11"/>
        <color rgb="FF000000"/>
        <rFont val="Calibri"/>
      </rPr>
      <t>Satisfies: SRG-OS-000037-GPOS-00015, SRG-OS-000042-GPOS-00020, SRG-OS-000062-GPOS-00031, SRG-OS-000392-GPOS-00172, SRG-OS-000462-GPOS-00206, SRG-OS-000471-GPOS-00215</t>
    </r>
  </si>
  <si>
    <r>
      <rPr>
        <sz val="11"/>
        <color rgb="FF000000"/>
        <rFont val="Calibri"/>
      </rPr>
      <t xml:space="preserve">Verify OL 8 generates an audit event for any use of the "crontab" command by running the following command to check the file system rules in "/etc/audit/audit.rules":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grep -w crontab /etc/audit/audit.rules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always,exit -F path=/usr/bin/crontab -F perm=x -F auid&gt;=1000 -F auid!=unset -k privileged-crontab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a line or the line is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allows for specifying an arbitrary identifier, and the string after it does not need to match the example output above.</t>
    </r>
  </si>
  <si>
    <t>V-248783</t>
  </si>
  <si>
    <r>
      <rPr>
        <sz val="11"/>
        <rFont val="Calibri"/>
      </rPr>
      <t xml:space="preserve">OL 8 must generate audit records for any use of the </t>
    </r>
    <r>
      <rPr>
        <sz val="11"/>
        <color rgb="FF000000"/>
        <rFont val="Calibri"/>
      </rPr>
      <t>"</t>
    </r>
    <r>
      <rPr>
        <b/>
        <sz val="11"/>
        <color rgb="FF000000"/>
        <rFont val="Calibri"/>
      </rPr>
      <t>chsh</t>
    </r>
    <r>
      <rPr>
        <sz val="11"/>
        <color rgb="FF000000"/>
        <rFont val="Calibri"/>
      </rPr>
      <t>"</t>
    </r>
    <r>
      <rPr>
        <sz val="11"/>
        <color rgb="FF000000"/>
        <rFont val="Calibri"/>
      </rPr>
      <t xml:space="preserve"> command.</t>
    </r>
  </si>
  <si>
    <r>
      <rPr>
        <sz val="11"/>
        <color rgb="FF000000"/>
        <rFont val="Calibri"/>
      </rPr>
      <t xml:space="preserve">Configure the audit system to generate an audit event for any use of the "chsh" command by adding or updating the following rule in the "/etc/audit/rules.d/audit.rules"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always,exit -F path=/usr/bin/chsh -F perm=x -F auid&gt;=1000 -F auid!=unset -k priv_cmd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The audit daemon must be restarted for the changes to take effect. To restart the audit daemon, run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service auditd restart</t>
    </r>
  </si>
  <si>
    <r>
      <rPr>
        <sz val="11"/>
        <color rgb="FF000000"/>
        <rFont val="Calibri"/>
      </rPr>
      <t xml:space="preserve">Without generating audit records that are specific to the security and mission needs of the organization, it would be difficult to establish, correlate, and investigate the events relating to an incident or identify those responsible for one.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Audit records can be generated from various components within the information system (e.g., module or policy filter). The "chsh" command is used to change the login shell.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When a user logs on, the AUID is set to the UID of the account that is being authenticated. Daemons are not user sessions and have the loginuid set to "-1". The AUID representation is an unsigned 32-bit integer, which equals "4294967295". The audit system interprets "-1", "4294967295", and "unset" in the same way.</t>
    </r>
    <r>
      <rPr>
        <sz val="11"/>
        <color rgb="FF000000"/>
        <rFont val="Calibri"/>
      </rPr>
      <t xml:space="preserve">
</t>
    </r>
    <r>
      <rPr>
        <sz val="11"/>
        <color rgb="FF000000"/>
        <rFont val="Calibri"/>
      </rPr>
      <t>Satisfies: SRG-OS-000037-GPOS-00015, SRG-OS-000042-GPOS-00020, SRG-OS-000062-GPOS-00031, SRG-OS-000392-GPOS-00172, SRG-OS-000462-GPOS-00206, SRG-OS-000471-GPOS-00215</t>
    </r>
  </si>
  <si>
    <r>
      <rPr>
        <sz val="11"/>
        <color rgb="FF000000"/>
        <rFont val="Calibri"/>
      </rPr>
      <t xml:space="preserve">Verify OL 8 generates an audit record for any use of the "chsh" command by running the following command to check the file system rules in "/etc/audit/audit.rules":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grep -w chsh /etc/audit/audit.rules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always,exit -F path=/usr/bin/chsh -F perm=x -F auid&gt;=1000 -F auid!=unset -k priv_cmd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a line or the line is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allows for specifying an arbitrary identifier, and the string after it does not need to match the example output above.</t>
    </r>
  </si>
  <si>
    <t>V-248784</t>
  </si>
  <si>
    <r>
      <rPr>
        <sz val="11"/>
        <rFont val="Calibri"/>
      </rPr>
      <t xml:space="preserve">OL 8 must generate audit records for any use of the </t>
    </r>
    <r>
      <rPr>
        <sz val="11"/>
        <color rgb="FF000000"/>
        <rFont val="Calibri"/>
      </rPr>
      <t>"</t>
    </r>
    <r>
      <rPr>
        <b/>
        <sz val="11"/>
        <color rgb="FF000000"/>
        <rFont val="Calibri"/>
      </rPr>
      <t>truncate</t>
    </r>
    <r>
      <rPr>
        <sz val="11"/>
        <color rgb="FF000000"/>
        <rFont val="Calibri"/>
      </rPr>
      <t>"</t>
    </r>
    <r>
      <rPr>
        <sz val="11"/>
        <color rgb="FF000000"/>
        <rFont val="Calibri"/>
      </rPr>
      <t xml:space="preserve">, </t>
    </r>
    <r>
      <rPr>
        <sz val="11"/>
        <color rgb="FF000000"/>
        <rFont val="Calibri"/>
      </rPr>
      <t>"</t>
    </r>
    <r>
      <rPr>
        <b/>
        <sz val="11"/>
        <color rgb="FF000000"/>
        <rFont val="Calibri"/>
      </rPr>
      <t>ftruncate</t>
    </r>
    <r>
      <rPr>
        <sz val="11"/>
        <color rgb="FF000000"/>
        <rFont val="Calibri"/>
      </rPr>
      <t>"</t>
    </r>
    <r>
      <rPr>
        <sz val="11"/>
        <color rgb="FF000000"/>
        <rFont val="Calibri"/>
      </rPr>
      <t xml:space="preserve">, </t>
    </r>
    <r>
      <rPr>
        <sz val="11"/>
        <color rgb="FF000000"/>
        <rFont val="Calibri"/>
      </rPr>
      <t>"</t>
    </r>
    <r>
      <rPr>
        <b/>
        <sz val="11"/>
        <color rgb="FF000000"/>
        <rFont val="Calibri"/>
      </rPr>
      <t>creat</t>
    </r>
    <r>
      <rPr>
        <sz val="11"/>
        <color rgb="FF000000"/>
        <rFont val="Calibri"/>
      </rPr>
      <t>"</t>
    </r>
    <r>
      <rPr>
        <sz val="11"/>
        <color rgb="FF000000"/>
        <rFont val="Calibri"/>
      </rPr>
      <t xml:space="preserve">, </t>
    </r>
    <r>
      <rPr>
        <sz val="11"/>
        <color rgb="FF000000"/>
        <rFont val="Calibri"/>
      </rPr>
      <t>"</t>
    </r>
    <r>
      <rPr>
        <b/>
        <sz val="11"/>
        <color rgb="FF000000"/>
        <rFont val="Calibri"/>
      </rPr>
      <t>open</t>
    </r>
    <r>
      <rPr>
        <sz val="11"/>
        <color rgb="FF000000"/>
        <rFont val="Calibri"/>
      </rPr>
      <t>"</t>
    </r>
    <r>
      <rPr>
        <sz val="11"/>
        <color rgb="FF000000"/>
        <rFont val="Calibri"/>
      </rPr>
      <t xml:space="preserve">, </t>
    </r>
    <r>
      <rPr>
        <sz val="11"/>
        <color rgb="FF000000"/>
        <rFont val="Calibri"/>
      </rPr>
      <t>"</t>
    </r>
    <r>
      <rPr>
        <b/>
        <sz val="11"/>
        <color rgb="FF000000"/>
        <rFont val="Calibri"/>
      </rPr>
      <t>openat</t>
    </r>
    <r>
      <rPr>
        <sz val="11"/>
        <color rgb="FF000000"/>
        <rFont val="Calibri"/>
      </rPr>
      <t>"</t>
    </r>
    <r>
      <rPr>
        <sz val="11"/>
        <color rgb="FF000000"/>
        <rFont val="Calibri"/>
      </rPr>
      <t xml:space="preserve">, and </t>
    </r>
    <r>
      <rPr>
        <sz val="11"/>
        <color rgb="FF000000"/>
        <rFont val="Calibri"/>
      </rPr>
      <t>"</t>
    </r>
    <r>
      <rPr>
        <b/>
        <sz val="11"/>
        <color rgb="FF000000"/>
        <rFont val="Calibri"/>
      </rPr>
      <t>open_by_handle_at</t>
    </r>
    <r>
      <rPr>
        <sz val="11"/>
        <color rgb="FF000000"/>
        <rFont val="Calibri"/>
      </rPr>
      <t>"</t>
    </r>
    <r>
      <rPr>
        <sz val="11"/>
        <color rgb="FF000000"/>
        <rFont val="Calibri"/>
      </rPr>
      <t xml:space="preserve"> system calls.</t>
    </r>
  </si>
  <si>
    <r>
      <rPr>
        <sz val="11"/>
        <color rgb="FF000000"/>
        <rFont val="Calibri"/>
      </rPr>
      <t xml:space="preserve">Configure the audit system to generate an audit event for any use of the "truncate", "ftruncate", "creat", "open", "openat", and "open_by_handle_at" system calls by adding or updating the following rules in the "/etc/audit/rules.d/audit.rules"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always,exit -F arch=b32 -S truncate,ftruncate,creat,open,openat,open_by_handle_at -F exit=-EPERM -F auid&gt;=1000 -F auid!=unset -k perm_access </t>
    </r>
    <r>
      <rPr>
        <sz val="11"/>
        <color rgb="FF000000"/>
        <rFont val="Calibri"/>
      </rPr>
      <t xml:space="preserve">
</t>
    </r>
    <r>
      <rPr>
        <sz val="11"/>
        <color rgb="FF000000"/>
        <rFont val="Calibri"/>
      </rPr>
      <t xml:space="preserve">-a always,exit -F arch=b64 -S truncate,ftruncate,creat,open,openat,open_by_handle_at -F exit=-EPERM -F auid&gt;=1000 -F auid!=unset -k perm_access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always,exit -F arch=b32 -S truncate,ftruncate,creat,open,openat,open_by_handle_at -F exit=-EACCES -F auid&gt;=1000 -F auid!=unset -k perm_access </t>
    </r>
    <r>
      <rPr>
        <sz val="11"/>
        <color rgb="FF000000"/>
        <rFont val="Calibri"/>
      </rPr>
      <t xml:space="preserve">
</t>
    </r>
    <r>
      <rPr>
        <sz val="11"/>
        <color rgb="FF000000"/>
        <rFont val="Calibri"/>
      </rPr>
      <t xml:space="preserve">-a always,exit -F arch=b64 -S truncate,ftruncate,creat,open,openat,open_by_handle_at -F exit=-EACCES -F auid&gt;=1000 -F auid!=unset -k perm_access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The audit daemon must be restarted for the changes to take effect. To restart the audit daemon, run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service auditd restart</t>
    </r>
  </si>
  <si>
    <r>
      <rPr>
        <sz val="11"/>
        <color rgb="FF000000"/>
        <rFont val="Calibri"/>
      </rPr>
      <t xml:space="preserve">Without generating audit records that are specific to the security and mission needs of the organization, it would be difficult to establish, correlate, and investigate the events relating to an incident or identify those responsible for one.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Audit records can be generated from various components within the information system (e.g., module or policy filter). The "truncate" and "ftruncate" functions are used to truncate a file to a specified length. </t>
    </r>
    <r>
      <rPr>
        <sz val="11"/>
        <color rgb="FF000000"/>
        <rFont val="Calibri"/>
      </rPr>
      <t xml:space="preserve">
</t>
    </r>
    <r>
      <rPr>
        <sz val="11"/>
        <color rgb="FF000000"/>
        <rFont val="Calibri"/>
      </rPr>
      <t>The "creat" system call is used to open and possibly create a file or device.</t>
    </r>
    <r>
      <rPr>
        <sz val="11"/>
        <color rgb="FF000000"/>
        <rFont val="Calibri"/>
      </rPr>
      <t xml:space="preserve">
</t>
    </r>
    <r>
      <rPr>
        <sz val="11"/>
        <color rgb="FF000000"/>
        <rFont val="Calibri"/>
      </rPr>
      <t>The "open" system call opens a file specified by a pathname. If the specified file does not exist, it may optionally be created by "open".</t>
    </r>
    <r>
      <rPr>
        <sz val="11"/>
        <color rgb="FF000000"/>
        <rFont val="Calibri"/>
      </rPr>
      <t xml:space="preserve">
</t>
    </r>
    <r>
      <rPr>
        <sz val="11"/>
        <color rgb="FF000000"/>
        <rFont val="Calibri"/>
      </rPr>
      <t>The "openat" system call opens a file specified by a relative pathname.</t>
    </r>
    <r>
      <rPr>
        <sz val="11"/>
        <color rgb="FF000000"/>
        <rFont val="Calibri"/>
      </rPr>
      <t xml:space="preserve">
</t>
    </r>
    <r>
      <rPr>
        <sz val="11"/>
        <color rgb="FF000000"/>
        <rFont val="Calibri"/>
      </rPr>
      <t>The "name_to_handle_at" and "open_by_handle_at" system calls split the functionality of openat into two parts: "name_to_handle_at" returns an opaque handle that corresponds to a specified file; "open_by_handle_at" opens the file corresponding to a handle returned by a previous call to "name_to_handle_at" and returns an open file descriptor.</t>
    </r>
    <r>
      <rPr>
        <sz val="11"/>
        <color rgb="FF000000"/>
        <rFont val="Calibri"/>
      </rPr>
      <t xml:space="preserve">
</t>
    </r>
    <r>
      <rPr>
        <sz val="11"/>
        <color rgb="FF000000"/>
        <rFont val="Calibri"/>
      </rPr>
      <t>When a user logs on, the AUID is set to the UID of the account that is being authenticated. Daemons are not user sessions and have the loginuid set to "-1". The AUID representation is an unsigned 32-bit integer, which equals "4294967295". The audit system interprets "-1", "4294967295", and "unset" in the same way.</t>
    </r>
    <r>
      <rPr>
        <sz val="11"/>
        <color rgb="FF000000"/>
        <rFont val="Calibri"/>
      </rPr>
      <t xml:space="preserve">
</t>
    </r>
    <r>
      <rPr>
        <sz val="11"/>
        <color rgb="FF000000"/>
        <rFont val="Calibri"/>
      </rPr>
      <t>The system call rules are loaded into a matching engine that intercepts each syscall that all programs on the system makes. Therefore, it is very important to only use syscall rules when absolutely necessary since these affect performance. The more rules, the bigger the performance hit. Performance can be helped, though, by combining syscalls into one rule whenever possible.</t>
    </r>
    <r>
      <rPr>
        <sz val="11"/>
        <color rgb="FF000000"/>
        <rFont val="Calibri"/>
      </rPr>
      <t xml:space="preserve">
</t>
    </r>
    <r>
      <rPr>
        <sz val="11"/>
        <color rgb="FF000000"/>
        <rFont val="Calibri"/>
      </rPr>
      <t>Satisfies: SRG-OS-000037-GPOS-00015, SRG-OS-000042-GPOS-00020, SRG-OS-000062-GPOS-00031, SRG-OS-000064-GPOS-00033, SRG-OS-000392-GPOS-00172, SRG-OS-000462-GPOS-00206, SRG-OS-000471-GPOS-00215</t>
    </r>
  </si>
  <si>
    <r>
      <rPr>
        <sz val="11"/>
        <color rgb="FF000000"/>
        <rFont val="Calibri"/>
      </rPr>
      <t>Verify OL 8 generates an audit record for any use of the "truncate", "ftruncate", "creat", "open", "openat", and "open_by_handle_at" system calls by running the following command to check the file system rules in "/etc/audit/audit.rules":</t>
    </r>
    <r>
      <rPr>
        <sz val="11"/>
        <color rgb="FF000000"/>
        <rFont val="Calibri"/>
      </rPr>
      <t xml:space="preserve">
</t>
    </r>
    <r>
      <rPr>
        <sz val="11"/>
        <color rgb="FF000000"/>
        <rFont val="Calibri"/>
      </rPr>
      <t>$ sudo grep 'open\|truncate\|creat' /etc/audit/audit.rules</t>
    </r>
    <r>
      <rPr>
        <sz val="11"/>
        <color rgb="FF000000"/>
        <rFont val="Calibri"/>
      </rPr>
      <t xml:space="preserve">
</t>
    </r>
    <r>
      <rPr>
        <sz val="11"/>
        <color rgb="FF000000"/>
        <rFont val="Calibri"/>
      </rPr>
      <t>-a always,exit -F arch=b32 -S truncate,ftruncate,creat,open,openat,open_by_handle_at -F exit=-EPERM -F auid&gt;=1000 -F auid!=unset -k perm_access</t>
    </r>
    <r>
      <rPr>
        <sz val="11"/>
        <color rgb="FF000000"/>
        <rFont val="Calibri"/>
      </rPr>
      <t xml:space="preserve">
</t>
    </r>
    <r>
      <rPr>
        <sz val="11"/>
        <color rgb="FF000000"/>
        <rFont val="Calibri"/>
      </rPr>
      <t>-a always,exit -F arch=b64 -S truncate,ftruncate,creat,open,openat,open_by_handle_at -F exit=-EPERM -F auid&gt;=1000 -F auid!=unset -k perm_access</t>
    </r>
    <r>
      <rPr>
        <sz val="11"/>
        <color rgb="FF000000"/>
        <rFont val="Calibri"/>
      </rPr>
      <t xml:space="preserve">
</t>
    </r>
    <r>
      <rPr>
        <sz val="11"/>
        <color rgb="FF000000"/>
        <rFont val="Calibri"/>
      </rPr>
      <t>-a always,exit -F arch=b32 -S truncate,ftruncate,creat,open,openat,open_by_handle_at -F exit=-EACCES -F auid&gt;=1000 -F auid!=unset -k perm_access</t>
    </r>
    <r>
      <rPr>
        <sz val="11"/>
        <color rgb="FF000000"/>
        <rFont val="Calibri"/>
      </rPr>
      <t xml:space="preserve">
</t>
    </r>
    <r>
      <rPr>
        <sz val="11"/>
        <color rgb="FF000000"/>
        <rFont val="Calibri"/>
      </rPr>
      <t>-a always,exit -F arch=b64 -S truncate,ftruncate,creat,open,openat,open_by_handle_at -F exit=-EACCES -F auid&gt;=1000 -F auid!=unset -k perm_access</t>
    </r>
    <r>
      <rPr>
        <sz val="11"/>
        <color rgb="FF000000"/>
        <rFont val="Calibri"/>
      </rPr>
      <t xml:space="preserve">
</t>
    </r>
    <r>
      <rPr>
        <sz val="11"/>
        <color rgb="FF000000"/>
        <rFont val="Calibri"/>
      </rPr>
      <t>If the output does not produce rules containing "-F exit=-EPERM", this is a finding.</t>
    </r>
    <r>
      <rPr>
        <sz val="11"/>
        <color rgb="FF000000"/>
        <rFont val="Calibri"/>
      </rPr>
      <t xml:space="preserve">
</t>
    </r>
    <r>
      <rPr>
        <sz val="11"/>
        <color rgb="FF000000"/>
        <rFont val="Calibri"/>
      </rPr>
      <t>If the output does not produce rules containing "-F exit=-EACCES", this is a finding.</t>
    </r>
    <r>
      <rPr>
        <sz val="11"/>
        <color rgb="FF000000"/>
        <rFont val="Calibri"/>
      </rPr>
      <t xml:space="preserve">
</t>
    </r>
    <r>
      <rPr>
        <sz val="11"/>
        <color rgb="FF000000"/>
        <rFont val="Calibri"/>
      </rPr>
      <t>If the command does not return an audit rule for "truncate", "ftruncate", "creat", "open", "openat", and "open_by_handle_at" or any of the lines returned are commented out, this is a finding.</t>
    </r>
    <r>
      <rPr>
        <sz val="11"/>
        <color rgb="FF000000"/>
        <rFont val="Calibri"/>
      </rPr>
      <t xml:space="preserve">
</t>
    </r>
    <r>
      <rPr>
        <sz val="11"/>
        <color rgb="FF000000"/>
        <rFont val="Calibri"/>
      </rPr>
      <t>Note: The "-k" allows for specifying an arbitrary identifier, and the string after it does not need to match the example output above.</t>
    </r>
  </si>
  <si>
    <t>V-248790</t>
  </si>
  <si>
    <r>
      <rPr>
        <sz val="11"/>
        <rFont val="Calibri"/>
      </rPr>
      <t xml:space="preserve">OL 8 must generate audit records for any use of the </t>
    </r>
    <r>
      <rPr>
        <sz val="11"/>
        <color rgb="FF000000"/>
        <rFont val="Calibri"/>
      </rPr>
      <t>"</t>
    </r>
    <r>
      <rPr>
        <b/>
        <sz val="11"/>
        <color rgb="FF000000"/>
        <rFont val="Calibri"/>
      </rPr>
      <t>chown</t>
    </r>
    <r>
      <rPr>
        <sz val="11"/>
        <color rgb="FF000000"/>
        <rFont val="Calibri"/>
      </rPr>
      <t>"</t>
    </r>
    <r>
      <rPr>
        <sz val="11"/>
        <color rgb="FF000000"/>
        <rFont val="Calibri"/>
      </rPr>
      <t xml:space="preserve">, </t>
    </r>
    <r>
      <rPr>
        <sz val="11"/>
        <color rgb="FF000000"/>
        <rFont val="Calibri"/>
      </rPr>
      <t>"</t>
    </r>
    <r>
      <rPr>
        <b/>
        <sz val="11"/>
        <color rgb="FF000000"/>
        <rFont val="Calibri"/>
      </rPr>
      <t>fchown</t>
    </r>
    <r>
      <rPr>
        <sz val="11"/>
        <color rgb="FF000000"/>
        <rFont val="Calibri"/>
      </rPr>
      <t>"</t>
    </r>
    <r>
      <rPr>
        <sz val="11"/>
        <color rgb="FF000000"/>
        <rFont val="Calibri"/>
      </rPr>
      <t xml:space="preserve">, </t>
    </r>
    <r>
      <rPr>
        <sz val="11"/>
        <color rgb="FF000000"/>
        <rFont val="Calibri"/>
      </rPr>
      <t>"</t>
    </r>
    <r>
      <rPr>
        <b/>
        <sz val="11"/>
        <color rgb="FF000000"/>
        <rFont val="Calibri"/>
      </rPr>
      <t>fchownat</t>
    </r>
    <r>
      <rPr>
        <sz val="11"/>
        <color rgb="FF000000"/>
        <rFont val="Calibri"/>
      </rPr>
      <t>"</t>
    </r>
    <r>
      <rPr>
        <sz val="11"/>
        <color rgb="FF000000"/>
        <rFont val="Calibri"/>
      </rPr>
      <t xml:space="preserve">, and </t>
    </r>
    <r>
      <rPr>
        <sz val="11"/>
        <color rgb="FF000000"/>
        <rFont val="Calibri"/>
      </rPr>
      <t>"</t>
    </r>
    <r>
      <rPr>
        <b/>
        <sz val="11"/>
        <color rgb="FF000000"/>
        <rFont val="Calibri"/>
      </rPr>
      <t>lchown</t>
    </r>
    <r>
      <rPr>
        <sz val="11"/>
        <color rgb="FF000000"/>
        <rFont val="Calibri"/>
      </rPr>
      <t>"</t>
    </r>
    <r>
      <rPr>
        <sz val="11"/>
        <color rgb="FF000000"/>
        <rFont val="Calibri"/>
      </rPr>
      <t xml:space="preserve"> system calls.</t>
    </r>
  </si>
  <si>
    <r>
      <rPr>
        <sz val="11"/>
        <color rgb="FF000000"/>
        <rFont val="Calibri"/>
      </rPr>
      <t xml:space="preserve">Configure the audit system to generate an audit event for any use of the "chown", "fchown", "fchownat", and "lchown" system calls by adding or updating the following line to "/etc/audit/rules.d/audit.rules":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always,exit -F arch=b32 -S chown,fchown,fchownat,lchown -F auid&gt;=1000 -F auid!=unset -k perm_chng </t>
    </r>
    <r>
      <rPr>
        <sz val="11"/>
        <color rgb="FF000000"/>
        <rFont val="Calibri"/>
      </rPr>
      <t xml:space="preserve">
</t>
    </r>
    <r>
      <rPr>
        <sz val="11"/>
        <color rgb="FF000000"/>
        <rFont val="Calibri"/>
      </rPr>
      <t xml:space="preserve">-a always,exit -F arch=b64 -S chown,fchown,fchownat,lchown -F auid&gt;=1000 -F auid!=unset -k perm_chng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The audit daemon must be restarted for the changes to take effect. To restart the audit daemon, run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service auditd restart</t>
    </r>
  </si>
  <si>
    <r>
      <rPr>
        <sz val="11"/>
        <color rgb="FF000000"/>
        <rFont val="Calibri"/>
      </rPr>
      <t xml:space="preserve">Without generating audit records that are specific to the security and mission needs of the organization, it would be difficult to establish, correlate, and investigate the events relating to an incident or identify those responsible for one.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The "chown" command is used to change file owner and group.</t>
    </r>
    <r>
      <rPr>
        <sz val="11"/>
        <color rgb="FF000000"/>
        <rFont val="Calibri"/>
      </rPr>
      <t xml:space="preserve">
</t>
    </r>
    <r>
      <rPr>
        <sz val="11"/>
        <color rgb="FF000000"/>
        <rFont val="Calibri"/>
      </rPr>
      <t>The "fchown" system call is used to change the ownership of a file referred to by the open file descriptor.</t>
    </r>
    <r>
      <rPr>
        <sz val="11"/>
        <color rgb="FF000000"/>
        <rFont val="Calibri"/>
      </rPr>
      <t xml:space="preserve">
</t>
    </r>
    <r>
      <rPr>
        <sz val="11"/>
        <color rgb="FF000000"/>
        <rFont val="Calibri"/>
      </rPr>
      <t>The "fchownat" system call is used to change ownership of a file relative to a directory file descriptor.</t>
    </r>
    <r>
      <rPr>
        <sz val="11"/>
        <color rgb="FF000000"/>
        <rFont val="Calibri"/>
      </rPr>
      <t xml:space="preserve">
</t>
    </r>
    <r>
      <rPr>
        <sz val="11"/>
        <color rgb="FF000000"/>
        <rFont val="Calibri"/>
      </rPr>
      <t>The "lchown" system call is used to change the ownership of the file specified by a path, which does not dereference symbolic links.</t>
    </r>
    <r>
      <rPr>
        <sz val="11"/>
        <color rgb="FF000000"/>
        <rFont val="Calibri"/>
      </rPr>
      <t xml:space="preserve">
</t>
    </r>
    <r>
      <rPr>
        <sz val="11"/>
        <color rgb="FF000000"/>
        <rFont val="Calibri"/>
      </rPr>
      <t>When a user logs on, the AUID is set to the UID of the account that is being authenticated. Daemons are not user sessions and have the loginuid set to "-1". The AUID representation is an unsigned 32-bit integer, which equals "4294967295". The audit system interprets "-1", "4294967295", and "unset" in the same way.</t>
    </r>
    <r>
      <rPr>
        <sz val="11"/>
        <color rgb="FF000000"/>
        <rFont val="Calibri"/>
      </rPr>
      <t xml:space="preserve">
</t>
    </r>
    <r>
      <rPr>
        <sz val="11"/>
        <color rgb="FF000000"/>
        <rFont val="Calibri"/>
      </rPr>
      <t>The system call rules are loaded into a matching engine that intercepts each syscall that all programs on the system makes. Therefore, it is very important to only use syscall rules when absolutely necessary since these affect performance. The more rules, the bigger the performance hit. Performance can be helped, though, by combining syscalls into one rule whenever possible.</t>
    </r>
    <r>
      <rPr>
        <sz val="11"/>
        <color rgb="FF000000"/>
        <rFont val="Calibri"/>
      </rPr>
      <t xml:space="preserve">
</t>
    </r>
    <r>
      <rPr>
        <sz val="11"/>
        <color rgb="FF000000"/>
        <rFont val="Calibri"/>
      </rPr>
      <t>Satisfies: SRG-OS-000037-GPOS-00015, SRG-OS-000042-GPOS-00020, SRG-OS-000062-GPOS-00031, SRG-OS-000064-GPOS-00033, SRG-OS-000392-GPOS-00172, SRG-OS-000462-GPOS-00206, SRG-OS-000466-GPOS-00210, SRG-OS-000471-GPOS-00215</t>
    </r>
  </si>
  <si>
    <r>
      <rPr>
        <sz val="11"/>
        <color rgb="FF000000"/>
        <rFont val="Calibri"/>
      </rPr>
      <t xml:space="preserve">Verify OL 8 generates an audit record for any use of the "chown", "fchown", "fchownat", and "lchown" system calls by running the following command to check the file system rules in "/etc/audit/audit.rules":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grep chown /etc/audit/audit.rules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always,exit -F arch=b32 -S chown,fchown,fchownat,lchown -F auid&gt;=1000 -F auid!=unset -k perm_chng </t>
    </r>
    <r>
      <rPr>
        <sz val="11"/>
        <color rgb="FF000000"/>
        <rFont val="Calibri"/>
      </rPr>
      <t xml:space="preserve">
</t>
    </r>
    <r>
      <rPr>
        <sz val="11"/>
        <color rgb="FF000000"/>
        <rFont val="Calibri"/>
      </rPr>
      <t xml:space="preserve">-a always,exit -F arch=b64 -S chown,fchown,fchownat,lchown -F auid&gt;=1000 -F auid!=unset -k perm_chng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audit rules are not defined for "chown", "fchown", "fchownat", and "lchown" or any of the lines returned are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allows for specifying an arbitrary identifier, and the string after it does not need to match the example output above.</t>
    </r>
  </si>
  <si>
    <t>V-248791</t>
  </si>
  <si>
    <r>
      <rPr>
        <sz val="11"/>
        <rFont val="Calibri"/>
      </rPr>
      <t xml:space="preserve">OL 8 must generate audit records for any use of the </t>
    </r>
    <r>
      <rPr>
        <sz val="11"/>
        <color rgb="FF000000"/>
        <rFont val="Calibri"/>
      </rPr>
      <t>"</t>
    </r>
    <r>
      <rPr>
        <b/>
        <sz val="11"/>
        <color rgb="FF000000"/>
        <rFont val="Calibri"/>
      </rPr>
      <t>chmod</t>
    </r>
    <r>
      <rPr>
        <sz val="11"/>
        <color rgb="FF000000"/>
        <rFont val="Calibri"/>
      </rPr>
      <t>"</t>
    </r>
    <r>
      <rPr>
        <sz val="11"/>
        <color rgb="FF000000"/>
        <rFont val="Calibri"/>
      </rPr>
      <t xml:space="preserve">, </t>
    </r>
    <r>
      <rPr>
        <sz val="11"/>
        <color rgb="FF000000"/>
        <rFont val="Calibri"/>
      </rPr>
      <t>"</t>
    </r>
    <r>
      <rPr>
        <b/>
        <sz val="11"/>
        <color rgb="FF000000"/>
        <rFont val="Calibri"/>
      </rPr>
      <t>fchmod</t>
    </r>
    <r>
      <rPr>
        <sz val="11"/>
        <color rgb="FF000000"/>
        <rFont val="Calibri"/>
      </rPr>
      <t>"</t>
    </r>
    <r>
      <rPr>
        <sz val="11"/>
        <color rgb="FF000000"/>
        <rFont val="Calibri"/>
      </rPr>
      <t xml:space="preserve">, and </t>
    </r>
    <r>
      <rPr>
        <sz val="11"/>
        <color rgb="FF000000"/>
        <rFont val="Calibri"/>
      </rPr>
      <t>"</t>
    </r>
    <r>
      <rPr>
        <b/>
        <sz val="11"/>
        <color rgb="FF000000"/>
        <rFont val="Calibri"/>
      </rPr>
      <t>fchmodat</t>
    </r>
    <r>
      <rPr>
        <sz val="11"/>
        <color rgb="FF000000"/>
        <rFont val="Calibri"/>
      </rPr>
      <t>"</t>
    </r>
    <r>
      <rPr>
        <sz val="11"/>
        <color rgb="FF000000"/>
        <rFont val="Calibri"/>
      </rPr>
      <t xml:space="preserve"> system calls.</t>
    </r>
  </si>
  <si>
    <r>
      <rPr>
        <sz val="11"/>
        <color rgb="FF000000"/>
        <rFont val="Calibri"/>
      </rPr>
      <t xml:space="preserve">Configure the audit system to generate an audit event for any use of the "chmod", "fchmod", and "fchmodat" syscalls by adding or updating the following line to "/etc/audit/rules.d/audit.rules":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always,exit -F arch=b32 -S chmod,fchmod,fchmodat -F auid&gt;=1000 -F auid!=unset -k perm_chng </t>
    </r>
    <r>
      <rPr>
        <sz val="11"/>
        <color rgb="FF000000"/>
        <rFont val="Calibri"/>
      </rPr>
      <t xml:space="preserve">
</t>
    </r>
    <r>
      <rPr>
        <sz val="11"/>
        <color rgb="FF000000"/>
        <rFont val="Calibri"/>
      </rPr>
      <t xml:space="preserve">-a always,exit -F arch=b64 -S chmod,fchmod,fchmodat -F auid&gt;=1000 -F auid!=unset -k perm_chng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The audit daemon must be restarted for the changes to take effect. To restart the audit daemon, run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service auditd restart</t>
    </r>
  </si>
  <si>
    <r>
      <rPr>
        <sz val="11"/>
        <color rgb="FF000000"/>
        <rFont val="Calibri"/>
      </rPr>
      <t xml:space="preserve">Without generating audit records that are specific to the security and mission needs of the organization, it would be difficult to establish, correlate, and investigate the events relating to an incident or identify those responsible for one.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Audit records can be generated from various components within the information system (e.g., module or policy filter). The "chmod" system call changes the file mode bits of each given file according to mode, which can be either a symbolic representation of changes to make or an octal number representing the bit pattern for the new mode bits.</t>
    </r>
    <r>
      <rPr>
        <sz val="11"/>
        <color rgb="FF000000"/>
        <rFont val="Calibri"/>
      </rPr>
      <t xml:space="preserve">
</t>
    </r>
    <r>
      <rPr>
        <sz val="11"/>
        <color rgb="FF000000"/>
        <rFont val="Calibri"/>
      </rPr>
      <t>The "fchmod" system call is used to change permissions of a file.</t>
    </r>
    <r>
      <rPr>
        <sz val="11"/>
        <color rgb="FF000000"/>
        <rFont val="Calibri"/>
      </rPr>
      <t xml:space="preserve">
</t>
    </r>
    <r>
      <rPr>
        <sz val="11"/>
        <color rgb="FF000000"/>
        <rFont val="Calibri"/>
      </rPr>
      <t>The "fchmodat" system call is used to change permissions of a file relative to a directory file descriptor.</t>
    </r>
    <r>
      <rPr>
        <sz val="11"/>
        <color rgb="FF000000"/>
        <rFont val="Calibri"/>
      </rPr>
      <t xml:space="preserve">
</t>
    </r>
    <r>
      <rPr>
        <sz val="11"/>
        <color rgb="FF000000"/>
        <rFont val="Calibri"/>
      </rPr>
      <t>When a user logs on, the AUID is set to the UID of the account that is being authenticated. Daemons are not user sessions and have the loginuid set to "-1". The AUID representation is an unsigned 32-bit integer, which equals "4294967295". The audit system interprets "-1", "4294967295", and "unset" in the same way.</t>
    </r>
    <r>
      <rPr>
        <sz val="11"/>
        <color rgb="FF000000"/>
        <rFont val="Calibri"/>
      </rPr>
      <t xml:space="preserve">
</t>
    </r>
    <r>
      <rPr>
        <sz val="11"/>
        <color rgb="FF000000"/>
        <rFont val="Calibri"/>
      </rPr>
      <t>The system call rules are loaded into a matching engine that intercepts each syscall that all programs on the system makes. Therefore, it is very important to only use syscall rules when absolutely necessary since these affect performance. The more rules, the bigger the performance hit. Performance can be helped, though, by combining syscalls into one rule whenever possible.</t>
    </r>
    <r>
      <rPr>
        <sz val="11"/>
        <color rgb="FF000000"/>
        <rFont val="Calibri"/>
      </rPr>
      <t xml:space="preserve">
</t>
    </r>
    <r>
      <rPr>
        <sz val="11"/>
        <color rgb="FF000000"/>
        <rFont val="Calibri"/>
      </rPr>
      <t>Satisfies: SRG-OS-000037-GPOS-00015, SRG-OS-000042-GPOS-00020, SRG-OS-000062-GPOS-00031, SRG-OS-000064-GPOS-00033, SRG-OS-000392-GPOS-00172, SRG-OS-000462-GPOS-00206, SRG-OS-000466-GPOS-00210, SRG-OS-000471-GPOS-00215</t>
    </r>
  </si>
  <si>
    <r>
      <rPr>
        <sz val="11"/>
        <color rgb="FF000000"/>
        <rFont val="Calibri"/>
      </rPr>
      <t xml:space="preserve">Verify OL 8 generates an audit record for any use of the "chmod","fchmod", and "fchmodat" syscalls by running the following command to check the file system rules in "/etc/audit/audit.rules":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grep chmod /etc/audit/audit.rules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always,exit -F arch=b32 -S chmod,fchmod,fchmodat -F auid&gt;=1000 -F auid!=unset -k perm_chng </t>
    </r>
    <r>
      <rPr>
        <sz val="11"/>
        <color rgb="FF000000"/>
        <rFont val="Calibri"/>
      </rPr>
      <t xml:space="preserve">
</t>
    </r>
    <r>
      <rPr>
        <sz val="11"/>
        <color rgb="FF000000"/>
        <rFont val="Calibri"/>
      </rPr>
      <t xml:space="preserve">-a always,exit -F arch=b64 -S chmod,fchmod,fchmodat -F auid&gt;=1000 -F auid!=unset -k perm_chng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an audit rule for "chmod", "fchmod", and "fchmodat", or any of the lines returned are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allows for specifying an arbitrary identifier, and the string after it does not need to match the example output above.</t>
    </r>
  </si>
  <si>
    <t>V-248797</t>
  </si>
  <si>
    <r>
      <rPr>
        <sz val="11"/>
        <rFont val="Calibri"/>
      </rPr>
      <t xml:space="preserve">OL 8 must generate audit records for any use of the </t>
    </r>
    <r>
      <rPr>
        <sz val="11"/>
        <color rgb="FF000000"/>
        <rFont val="Calibri"/>
      </rPr>
      <t>"</t>
    </r>
    <r>
      <rPr>
        <b/>
        <sz val="11"/>
        <color rgb="FF000000"/>
        <rFont val="Calibri"/>
      </rPr>
      <t>sudo</t>
    </r>
    <r>
      <rPr>
        <sz val="11"/>
        <color rgb="FF000000"/>
        <rFont val="Calibri"/>
      </rPr>
      <t>"</t>
    </r>
    <r>
      <rPr>
        <sz val="11"/>
        <color rgb="FF000000"/>
        <rFont val="Calibri"/>
      </rPr>
      <t xml:space="preserve"> command.</t>
    </r>
  </si>
  <si>
    <r>
      <rPr>
        <sz val="11"/>
        <color rgb="FF000000"/>
        <rFont val="Calibri"/>
      </rPr>
      <t xml:space="preserve">Configure the audit system to generate an audit event for any use of the "sudo" command by adding or updating the following rule in the "/etc/audit/rules.d/audit.rules"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always,exit -F path=/usr/bin/sudo -F perm=x -F auid&gt;=1000 -F auid!=unset -k priv_cmd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The audit daemon must be restarted for the changes to take effect. To restart the audit daemon, run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service auditd restart</t>
    </r>
  </si>
  <si>
    <r>
      <rPr>
        <sz val="11"/>
        <color rgb="FF000000"/>
        <rFont val="Calibri"/>
      </rPr>
      <t xml:space="preserve">Without generating audit records that are specific to the security and mission needs of the organization, it would be difficult to establish, correlate, and investigate the events relating to an incident or identify those responsible for one.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Audit records can be generated from various components within the information system (e.g., module or policy filter). The "sudo" command allows a permitted user to execute a command as the superuser or another user as specified by the security policy.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When a user logs on, the AUID is set to the UID of the account that is being authenticated. Daemons are not user sessions and have the loginuid set to "-1". The AUID representation is an unsigned 32-bit integer, which equals "4294967295". The audit system interprets "-1", "4294967295", and "unset" in the same way.</t>
    </r>
    <r>
      <rPr>
        <sz val="11"/>
        <color rgb="FF000000"/>
        <rFont val="Calibri"/>
      </rPr>
      <t xml:space="preserve">
</t>
    </r>
    <r>
      <rPr>
        <sz val="11"/>
        <color rgb="FF000000"/>
        <rFont val="Calibri"/>
      </rPr>
      <t>Satisfies: SRG-OS-000037-GPOS-00015, SRG-OS-000042-GPOS-00020, SRG-OS-000062-GPOS-00031, SRG-OS-000392-GPOS-00172, SRG-OS-000462-GPOS-00206, SRG-OS-000466-GPOS-00210, SRG-OS-000471-GPOS-00215</t>
    </r>
  </si>
  <si>
    <r>
      <rPr>
        <sz val="11"/>
        <color rgb="FF000000"/>
        <rFont val="Calibri"/>
      </rPr>
      <t xml:space="preserve">Verify OL 8 generates an audit event for any use of the "sudo" command by running the following command to check the file system rules in "/etc/audit/audit.rules":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grep -w sudo /etc/audit/audit.rules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always,exit -F path=/usr/bin/sudo -F perm=x -F auid&gt;=1000 -F auid!=unset -k priv_cmd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a line or the line is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allows for specifying an arbitrary identifier, and the string after it does not need to match the example output above.</t>
    </r>
  </si>
  <si>
    <t>V-248798</t>
  </si>
  <si>
    <r>
      <rPr>
        <sz val="11"/>
        <rFont val="Calibri"/>
      </rPr>
      <t xml:space="preserve">OL 8 must generate audit records for any use of the </t>
    </r>
    <r>
      <rPr>
        <sz val="11"/>
        <color rgb="FF000000"/>
        <rFont val="Calibri"/>
      </rPr>
      <t>"</t>
    </r>
    <r>
      <rPr>
        <b/>
        <sz val="11"/>
        <color rgb="FF000000"/>
        <rFont val="Calibri"/>
      </rPr>
      <t>usermod</t>
    </r>
    <r>
      <rPr>
        <sz val="11"/>
        <color rgb="FF000000"/>
        <rFont val="Calibri"/>
      </rPr>
      <t>"</t>
    </r>
    <r>
      <rPr>
        <sz val="11"/>
        <color rgb="FF000000"/>
        <rFont val="Calibri"/>
      </rPr>
      <t xml:space="preserve"> command.</t>
    </r>
  </si>
  <si>
    <r>
      <rPr>
        <sz val="11"/>
        <color rgb="FF000000"/>
        <rFont val="Calibri"/>
      </rPr>
      <t xml:space="preserve">Configure the audit system to generate an audit event for any use of the "usermod" command by adding or updating the following rule in the "/etc/audit/rules.d/audit.rules"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always,exit -F path=/usr/sbin/usermod -F perm=x -F auid&gt;=1000 -F auid!=unset -k privileged-usermod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The audit daemon must be restarted for the changes to take effect. To restart the audit daemon, run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service auditd restart</t>
    </r>
  </si>
  <si>
    <r>
      <rPr>
        <sz val="11"/>
        <color rgb="FF000000"/>
        <rFont val="Calibri"/>
      </rPr>
      <t xml:space="preserve">Without generating audit records that are specific to the security and mission needs of the organization, it would be difficult to establish, correlate, and investigate the events relating to an incident or identify those responsible for one.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Audit records can be generated from various components within the information system (e.g., module or policy filter). The "usermod" command modifies the system account files to reflect the changes that are specified on the command line.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When a user logs on, the AUID is set to the UID of the account that is being authenticated. Daemons are not user sessions and have the loginuid set to "-1". The AUID representation is an unsigned 32-bit integer, which equals "4294967295". The audit system interprets "-1", "4294967295", and "unset" in the same way.</t>
    </r>
    <r>
      <rPr>
        <sz val="11"/>
        <color rgb="FF000000"/>
        <rFont val="Calibri"/>
      </rPr>
      <t xml:space="preserve">
</t>
    </r>
    <r>
      <rPr>
        <sz val="11"/>
        <color rgb="FF000000"/>
        <rFont val="Calibri"/>
      </rPr>
      <t>Satisfies: SRG-OS-000037-GPOS-00015, SRG-OS-000042-GPOS-00020, SRG-OS-000062-GPOS-00031, SRG-OS-000392-GPOS-00172, SRG-OS-000462-GPOS-00206, SRG-OS-000466-GPOS-00210, SRG-OS-000471-GPOS-00215</t>
    </r>
  </si>
  <si>
    <r>
      <rPr>
        <sz val="11"/>
        <color rgb="FF000000"/>
        <rFont val="Calibri"/>
      </rPr>
      <t xml:space="preserve">Verify OL 8 generates an audit event for any use of the "usermod" command by running the following command to check the file system rules in "/etc/audit/audit.rules":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grep -w usermod /etc/audit/audit.rules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always,exit -F path=/usr/sbin/usermod -F perm=x -F auid&gt;=1000 -F auid!=unset -k privileged-usermod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a line or the line is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allows for specifying an arbitrary identifier, and the string after it does not need to match the example output above.</t>
    </r>
  </si>
  <si>
    <t>V-248799</t>
  </si>
  <si>
    <r>
      <rPr>
        <sz val="11"/>
        <rFont val="Calibri"/>
      </rPr>
      <t xml:space="preserve">OL 8 must generate audit records for any use of the </t>
    </r>
    <r>
      <rPr>
        <sz val="11"/>
        <color rgb="FF000000"/>
        <rFont val="Calibri"/>
      </rPr>
      <t>"</t>
    </r>
    <r>
      <rPr>
        <b/>
        <sz val="11"/>
        <color rgb="FF000000"/>
        <rFont val="Calibri"/>
      </rPr>
      <t>chacl</t>
    </r>
    <r>
      <rPr>
        <sz val="11"/>
        <color rgb="FF000000"/>
        <rFont val="Calibri"/>
      </rPr>
      <t>"</t>
    </r>
    <r>
      <rPr>
        <sz val="11"/>
        <color rgb="FF000000"/>
        <rFont val="Calibri"/>
      </rPr>
      <t xml:space="preserve"> command.</t>
    </r>
  </si>
  <si>
    <r>
      <rPr>
        <sz val="11"/>
        <color rgb="FF000000"/>
        <rFont val="Calibri"/>
      </rPr>
      <t xml:space="preserve">Configure the audit system to generate an audit event for any use of the "chacl" command by adding or updating the following rule in the "/etc/audit/rules.d/audit.rules"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always,exit -F path=/usr/bin/chacl -F perm=x -F auid&gt;=1000 -F auid!=unset -k perm_chng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The audit daemon must be restarted for the changes to take effect. To restart the audit daemon, run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service auditd restart</t>
    </r>
  </si>
  <si>
    <r>
      <rPr>
        <sz val="11"/>
        <color rgb="FF000000"/>
        <rFont val="Calibri"/>
      </rPr>
      <t xml:space="preserve">Without generating audit records that are specific to the security and mission needs of the organization, it would be difficult to establish, correlate, and investigate the events relating to an incident or identify those responsible for one.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Audit records can be generated from various components within the information system (e.g., module or policy filter). The "chacl" command is used to change the access control list of a file or directory.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When a user logs on, the AUID is set to the UID of the account that is being authenticated. Daemons are not user sessions and have the loginuid set to "-1". The AUID representation is an unsigned 32-bit integer, which equals "4294967295". The audit system interprets "-1", "4294967295", and "unset" in the same way.</t>
    </r>
    <r>
      <rPr>
        <sz val="11"/>
        <color rgb="FF000000"/>
        <rFont val="Calibri"/>
      </rPr>
      <t xml:space="preserve">
</t>
    </r>
    <r>
      <rPr>
        <sz val="11"/>
        <color rgb="FF000000"/>
        <rFont val="Calibri"/>
      </rPr>
      <t>Satisfies: SRG-OS-000037-GPOS-00015, SRG-OS-000042-GPOS-00020, SRG-OS-000062-GPOS-00031, SRG-OS-000392-GPOS-00172, SRG-OS-000462-GPOS-00206, SRG-OS-000466-GPOS-00210, SRG-OS-000471-GPOS-00215</t>
    </r>
  </si>
  <si>
    <r>
      <rPr>
        <sz val="11"/>
        <color rgb="FF000000"/>
        <rFont val="Calibri"/>
      </rPr>
      <t xml:space="preserve">Verify OL 8 generates an audit record for any use of the "chacl" command by running the following command to check the file system rules in "/etc/audit/audit.rules":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grep -w chacl /etc/audit/audit.rules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always,exit -F path=/usr/bin/chacl -F perm=x -F auid&gt;=1000 -F auid!=unset -k perm_chng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a line or the line is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allows for specifying an arbitrary identifier, and the string after it does not need to match the example output above.</t>
    </r>
  </si>
  <si>
    <t>V-248800</t>
  </si>
  <si>
    <r>
      <rPr>
        <sz val="11"/>
        <rFont val="Calibri"/>
      </rPr>
      <t xml:space="preserve">OL 8 must generate audit records for any use of the </t>
    </r>
    <r>
      <rPr>
        <sz val="11"/>
        <color rgb="FF000000"/>
        <rFont val="Calibri"/>
      </rPr>
      <t>"</t>
    </r>
    <r>
      <rPr>
        <b/>
        <sz val="11"/>
        <color rgb="FF000000"/>
        <rFont val="Calibri"/>
      </rPr>
      <t>kmod</t>
    </r>
    <r>
      <rPr>
        <sz val="11"/>
        <color rgb="FF000000"/>
        <rFont val="Calibri"/>
      </rPr>
      <t>"</t>
    </r>
    <r>
      <rPr>
        <sz val="11"/>
        <color rgb="FF000000"/>
        <rFont val="Calibri"/>
      </rPr>
      <t xml:space="preserve"> command.</t>
    </r>
  </si>
  <si>
    <r>
      <rPr>
        <sz val="11"/>
        <color rgb="FF000000"/>
        <rFont val="Calibri"/>
      </rPr>
      <t xml:space="preserve">Configure OL 8 to audit the execution of the module management program "kmod" by adding or updating the following line to "/etc/audit/rules.d/audit.rules":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-w /usr/bin/kmod -p x -k modules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The audit daemon must be restarted for the changes to take effect. To restart the audit daemon, run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service auditd restart</t>
    </r>
  </si>
  <si>
    <r>
      <rPr>
        <sz val="11"/>
        <color rgb="FF000000"/>
        <rFont val="Calibri"/>
      </rPr>
      <t xml:space="preserve">Without the capability to generate audit records, it would be difficult to establish, correlate, and investigate the events relating to an incident or identify those responsible for one.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Audit records can be generated from various components within the information system (e.g., module or policy filter). The "kmod" command is used to control Linux Kernel modules.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The list of audited events is the set of events for which audits are to be generated. This set of events is typically a subset of the list of all events for which the system is capable of generating audit records.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DoD has defined the list of events for which OL 8 will provide an audit record generation capability as the following: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1) Successful and unsuccessful attempts to access, modify, or delete privileges, security objects, security levels, or categories of information (e.g., classification levels);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2) Access actions, such as successful and unsuccessful logon attempts, privileged activities or other system-level access, starting and ending time for user access to the system, concurrent logons from different workstations, successful and unsuccessful accesses to objects, all program initiations, and all direct access to the information system;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3) All account creations, modifications, disabling, and terminations; 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4) All kernel module load, unload, and restart actions.</t>
    </r>
    <r>
      <rPr>
        <sz val="11"/>
        <color rgb="FF000000"/>
        <rFont val="Calibri"/>
      </rPr>
      <t xml:space="preserve">
</t>
    </r>
    <r>
      <rPr>
        <sz val="11"/>
        <color rgb="FF000000"/>
        <rFont val="Calibri"/>
      </rPr>
      <t>Satisfies: SRG-OS-000037-GPOS-00015, SRG-OS-000042-GPOS-00020, SRG-OS-000062-GPOS-00031, SRG-OS-000392-GPOS-00172, SRG-OS-000462-GPOS-00206, SRG-OS-000471-GPOS-00215, SRG-OS-000471-GPOS-00216, SRG-OS-000477-GPOS-00222</t>
    </r>
  </si>
  <si>
    <r>
      <rPr>
        <sz val="11"/>
        <color rgb="FF000000"/>
        <rFont val="Calibri"/>
      </rPr>
      <t xml:space="preserve">Verify OL 8 is configured to audit the execution of the module management program "kmod" by running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grep "/usr/bin/kmod" /etc/audit/audit.rules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-w /usr/bin/kmod -p x -k modules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a line or the line is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allows for specifying an arbitrary identifier, and the string after it does not need to match the example output above.</t>
    </r>
  </si>
  <si>
    <t>V-248801</t>
  </si>
  <si>
    <r>
      <rPr>
        <sz val="11"/>
        <rFont val="Calibri"/>
      </rPr>
      <t xml:space="preserve">OL 8 must generate audit records for any attempted modifications to the </t>
    </r>
    <r>
      <rPr>
        <sz val="11"/>
        <color rgb="FF000000"/>
        <rFont val="Calibri"/>
      </rPr>
      <t>"</t>
    </r>
    <r>
      <rPr>
        <b/>
        <sz val="11"/>
        <color rgb="FF000000"/>
        <rFont val="Calibri"/>
      </rPr>
      <t>faillock</t>
    </r>
    <r>
      <rPr>
        <sz val="11"/>
        <color rgb="FF000000"/>
        <rFont val="Calibri"/>
      </rPr>
      <t>"</t>
    </r>
    <r>
      <rPr>
        <sz val="11"/>
        <color rgb="FF000000"/>
        <rFont val="Calibri"/>
      </rPr>
      <t xml:space="preserve"> log file.</t>
    </r>
  </si>
  <si>
    <r>
      <rPr>
        <sz val="11"/>
        <color rgb="FF000000"/>
        <rFont val="Calibri"/>
      </rPr>
      <t xml:space="preserve">Configure the audit system to generate an audit event for any attempted modifications to the "faillock" file by adding or updating the following rules in the "/etc/audit/rules.d/audit.rules"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-w /var/log/faillock -p wa -k logins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The audit daemon must be restarted for the changes to take effect. To restart the audit daemon, run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service auditd restart</t>
    </r>
  </si>
  <si>
    <r>
      <rPr>
        <sz val="11"/>
        <color rgb="FF000000"/>
        <rFont val="Calibri"/>
      </rPr>
      <t xml:space="preserve">Without the capability to generate audit records, it would be difficult to establish, correlate, and investigate the events relating to an incident or identify those responsible for one.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Audit records can be generated from various components within the information system (e.g., module or policy filter).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The list of audited events is the set of events for which audits are to be generated. This set of events is typically a subset of the list of all events for which the system is capable of generating audit records.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DoD has defined the list of events for which OL 8 will provide an audit record generation capability as the following: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1) Successful and unsuccessful attempts to access, modify, or delete privileges, security objects, security levels, or categories of information (e.g., classification levels);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2) Access actions, such as successful and unsuccessful logon attempts, privileged activities or other system-level access, starting and ending time for user access to the system, concurrent logons from different workstations, successful and unsuccessful accesses to objects, all program initiations, and all direct access to the information system;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3) All account creations, modifications, disabling, and terminations; 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4) All kernel module load, unload, and restart actions.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From "Pam_Faillock man" pages: Note the default directory that "pam_faillock" uses is usually cleared on system boot so the access will be reenabled after system reboot. If that is undesirable, a different tally directory must be set with the "dir" option.</t>
    </r>
    <r>
      <rPr>
        <sz val="11"/>
        <color rgb="FF000000"/>
        <rFont val="Calibri"/>
      </rPr>
      <t xml:space="preserve">
</t>
    </r>
    <r>
      <rPr>
        <sz val="11"/>
        <color rgb="FF000000"/>
        <rFont val="Calibri"/>
      </rPr>
      <t>Satisfies: SRG-OS-000037-GPOS-00015, SRG-OS-000042-GPOS-00020, SRG-OS-000062-GPOS-00031, SRG-OS-000392-GPOS-00172, SRG-OS-000462-GPOS-00206, SRG-OS-000471-GPOS-00215, SRG-OS-000473-GPOS-00218</t>
    </r>
  </si>
  <si>
    <r>
      <rPr>
        <sz val="11"/>
        <color rgb="FF000000"/>
        <rFont val="Calibri"/>
      </rPr>
      <t xml:space="preserve">Verify OL 8 generates an audit record for any attempted modifications to the "faillock"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Determine where the faillock tallies are stored with the following commands: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For OL versions 8.0 and 8.1: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grep -i pam_faillock.so /etc/pam.d/system-auth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auth required pam_faillock.so preauth dir=/var/log/faillock silent deny=3 fail_interval=900 even_deny_root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For OL versions 8.2 and newer: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grep dir /etc/security/faillock.conf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dir=/var/log/faillock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Using the location of the faillock log file, check that the following calls are being audited by running the following command to check the file system rules in "/etc/audit/audit.rules":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grep -w faillock /etc/audit/audit.rules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-w /var/log/faillock -p wa -k logins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command does not return a line or the line is commented out, this is a finding.</t>
    </r>
  </si>
  <si>
    <t>V-248802</t>
  </si>
  <si>
    <r>
      <rPr>
        <sz val="11"/>
        <rFont val="Calibri"/>
      </rPr>
      <t xml:space="preserve">OL 8 must generate audit records for any attempted modifications to the </t>
    </r>
    <r>
      <rPr>
        <sz val="11"/>
        <color rgb="FF000000"/>
        <rFont val="Calibri"/>
      </rPr>
      <t>"</t>
    </r>
    <r>
      <rPr>
        <b/>
        <sz val="11"/>
        <color rgb="FF000000"/>
        <rFont val="Calibri"/>
      </rPr>
      <t>lastlog</t>
    </r>
    <r>
      <rPr>
        <sz val="11"/>
        <color rgb="FF000000"/>
        <rFont val="Calibri"/>
      </rPr>
      <t>"</t>
    </r>
    <r>
      <rPr>
        <sz val="11"/>
        <color rgb="FF000000"/>
        <rFont val="Calibri"/>
      </rPr>
      <t xml:space="preserve"> file.</t>
    </r>
  </si>
  <si>
    <r>
      <rPr>
        <sz val="11"/>
        <color rgb="FF000000"/>
        <rFont val="Calibri"/>
      </rPr>
      <t xml:space="preserve">Configure the audit system to generate an audit event for any attempted modifications to the "lastlog" file by adding or updating the following rules in the "/etc/audit/rules.d/audit.rules"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-w /var/log/lastlog -p wa -k logins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The audit daemon must be restarted for the changes to take effect. To restart the audit daemon, run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service auditd restart</t>
    </r>
  </si>
  <si>
    <r>
      <rPr>
        <sz val="11"/>
        <color rgb="FF000000"/>
        <rFont val="Calibri"/>
      </rPr>
      <t xml:space="preserve">Without the capability to generate audit records, it would be difficult to establish, correlate, and investigate the events relating to an incident or identify those responsible for one.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Audit records can be generated from various components within the information system (e.g., module or policy filter).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The list of audited events is the set of events for which audits are to be generated. This set of events is typically a subset of the list of all events for which the system is capable of generating audit records.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DoD has defined the list of events for which OL 8 will provide an audit record generation capability as the following: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1) Successful and unsuccessful attempts to access, modify, or delete privileges, security objects, security levels, or categories of information (e.g., classification levels);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2) Access actions, such as successful and unsuccessful logon attempts, privileged activities or other system-level access, starting and ending time for user access to the system, concurrent logons from different workstations, successful and unsuccessful accesses to objects, all program initiations, and all direct access to the information system;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3) All account creations, modifications, disabling, and terminations; 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4) All kernel module load, unload, and restart actions.</t>
    </r>
    <r>
      <rPr>
        <sz val="11"/>
        <color rgb="FF000000"/>
        <rFont val="Calibri"/>
      </rPr>
      <t xml:space="preserve">
</t>
    </r>
    <r>
      <rPr>
        <sz val="11"/>
        <color rgb="FF000000"/>
        <rFont val="Calibri"/>
      </rPr>
      <t>Satisfies: SRG-OS-000037-GPOS-00015, SRG-OS-000042-GPOS-00020, SRG-OS-000062-GPOS-00031, SRG-OS-000392-GPOS-00172, SRG-OS-000462-GPOS-00206, SRG-OS-000471-GPOS-00215, SRG-OS-000473-GPOS-00218</t>
    </r>
  </si>
  <si>
    <r>
      <rPr>
        <sz val="11"/>
        <color rgb="FF000000"/>
        <rFont val="Calibri"/>
      </rPr>
      <t xml:space="preserve">Verify OL 8 generates an audit record for any attempted modifications to the "lastlog" file by running the following command to check the file system rules in "/etc/audit/audit.rules":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grep -w lastlog /etc/audit/audit.rules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-w /var/log/lastlog -p wa -k logins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a line or the line is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allows for specifying an arbitrary identifier, and the string after it does not need to match the example output above.</t>
    </r>
  </si>
  <si>
    <t>V-248803</t>
  </si>
  <si>
    <r>
      <rPr>
        <sz val="11"/>
        <rFont val="Calibri"/>
      </rPr>
      <t>OL 8 must enable auditing of processes that start prior to the audit daemon.</t>
    </r>
  </si>
  <si>
    <r>
      <rPr>
        <sz val="11"/>
        <color rgb="FF000000"/>
        <rFont val="Calibri"/>
      </rPr>
      <t>Configure OL 8 to audit processes that start prior to the audit daemon with the following command:</t>
    </r>
    <r>
      <rPr>
        <sz val="11"/>
        <color rgb="FF000000"/>
        <rFont val="Calibri"/>
      </rPr>
      <t xml:space="preserve">
</t>
    </r>
    <r>
      <rPr>
        <sz val="11"/>
        <color rgb="FF000000"/>
        <rFont val="Calibri"/>
      </rPr>
      <t>$ sudo grubby --update-kernel=ALL --args="audit=1"</t>
    </r>
    <r>
      <rPr>
        <sz val="11"/>
        <color rgb="FF000000"/>
        <rFont val="Calibri"/>
      </rPr>
      <t xml:space="preserve">
</t>
    </r>
    <r>
      <rPr>
        <sz val="11"/>
        <color rgb="FF000000"/>
        <rFont val="Calibri"/>
      </rPr>
      <t>Add or modify the following line in "/etc/default/grub" to ensure the configuration survives kernel updates:</t>
    </r>
    <r>
      <rPr>
        <sz val="11"/>
        <color rgb="FF000000"/>
        <rFont val="Calibri"/>
      </rPr>
      <t xml:space="preserve">
</t>
    </r>
    <r>
      <rPr>
        <sz val="11"/>
        <color rgb="FF000000"/>
        <rFont val="Calibri"/>
      </rPr>
      <t>GRUB_CMDLINE_LINUX="audit=1"</t>
    </r>
  </si>
  <si>
    <r>
      <rPr>
        <sz val="11"/>
        <color rgb="FF000000"/>
        <rFont val="Calibri"/>
      </rPr>
      <t>Verify OL 8 enables auditing of processes that start prior to the audit daemon with the following commands:</t>
    </r>
    <r>
      <rPr>
        <sz val="11"/>
        <color rgb="FF000000"/>
        <rFont val="Calibri"/>
      </rPr>
      <t xml:space="preserve">
</t>
    </r>
    <r>
      <rPr>
        <sz val="11"/>
        <color rgb="FF000000"/>
        <rFont val="Calibri"/>
      </rPr>
      <t>$ sudo grub2-editenv list | grep audit</t>
    </r>
    <r>
      <rPr>
        <sz val="11"/>
        <color rgb="FF000000"/>
        <rFont val="Calibri"/>
      </rPr>
      <t xml:space="preserve">
</t>
    </r>
    <r>
      <rPr>
        <sz val="11"/>
        <color rgb="FF000000"/>
        <rFont val="Calibri"/>
      </rPr>
      <t>kernelopts=root=/dev/mapper/ol-root ro crashkernel=auto resume=/dev/mapper/ol-swap rd.lvm.lv=ol/root rd.lvm.lv=ol/swap rhgb quiet fips=1 audit=1 audit_backlog_limit=8192 boot=UUID=8d171156-cd61-421c-ba41-1c021ac29e82</t>
    </r>
    <r>
      <rPr>
        <sz val="11"/>
        <color rgb="FF000000"/>
        <rFont val="Calibri"/>
      </rPr>
      <t xml:space="preserve">
</t>
    </r>
    <r>
      <rPr>
        <sz val="11"/>
        <color rgb="FF000000"/>
        <rFont val="Calibri"/>
      </rPr>
      <t>If the "audit" entry does not equal "1", is missing, or the line is commented out, this is a finding.</t>
    </r>
    <r>
      <rPr>
        <sz val="11"/>
        <color rgb="FF000000"/>
        <rFont val="Calibri"/>
      </rPr>
      <t xml:space="preserve">
</t>
    </r>
    <r>
      <rPr>
        <sz val="11"/>
        <color rgb="FF000000"/>
        <rFont val="Calibri"/>
      </rPr>
      <t xml:space="preserve">Check that auditing is enabled by default to persist in kernel updates: </t>
    </r>
    <r>
      <rPr>
        <sz val="11"/>
        <color rgb="FF000000"/>
        <rFont val="Calibri"/>
      </rPr>
      <t xml:space="preserve">
</t>
    </r>
    <r>
      <rPr>
        <sz val="11"/>
        <color rgb="FF000000"/>
        <rFont val="Calibri"/>
      </rPr>
      <t>$ sudo grep audit /etc/default/grub</t>
    </r>
    <r>
      <rPr>
        <sz val="11"/>
        <color rgb="FF000000"/>
        <rFont val="Calibri"/>
      </rPr>
      <t xml:space="preserve">
</t>
    </r>
    <r>
      <rPr>
        <sz val="11"/>
        <color rgb="FF000000"/>
        <rFont val="Calibri"/>
      </rPr>
      <t>GRUB_CMDLINE_LINUX="audit=1"</t>
    </r>
    <r>
      <rPr>
        <sz val="11"/>
        <color rgb="FF000000"/>
        <rFont val="Calibri"/>
      </rPr>
      <t xml:space="preserve">
</t>
    </r>
    <r>
      <rPr>
        <sz val="11"/>
        <color rgb="FF000000"/>
        <rFont val="Calibri"/>
      </rPr>
      <t>If "audit" is not set to "1", is missing or commented out, this is a finding.</t>
    </r>
  </si>
  <si>
    <t>V-248804</t>
  </si>
  <si>
    <r>
      <rPr>
        <sz val="11"/>
        <rFont val="Calibri"/>
      </rPr>
      <t xml:space="preserve">OL 8 must allocate an </t>
    </r>
    <r>
      <rPr>
        <sz val="11"/>
        <color rgb="FF000000"/>
        <rFont val="Calibri"/>
      </rPr>
      <t>"</t>
    </r>
    <r>
      <rPr>
        <b/>
        <sz val="11"/>
        <color rgb="FF000000"/>
        <rFont val="Calibri"/>
      </rPr>
      <t>audit_backlog_limit</t>
    </r>
    <r>
      <rPr>
        <sz val="11"/>
        <color rgb="FF000000"/>
        <rFont val="Calibri"/>
      </rPr>
      <t>"</t>
    </r>
    <r>
      <rPr>
        <sz val="11"/>
        <color rgb="FF000000"/>
        <rFont val="Calibri"/>
      </rPr>
      <t xml:space="preserve"> of sufficient size to capture processes that start prior to the audit daemon.</t>
    </r>
  </si>
  <si>
    <r>
      <rPr>
        <sz val="11"/>
        <color rgb="FF000000"/>
        <rFont val="Calibri"/>
      </rPr>
      <t xml:space="preserve">Configure OL 8 to allocate sufficient "audit_backlog_limit" to capture processes that start prior to the audit daemon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grubby --update-kernel=ALL --args="audit_backlog_limit=8192"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line in "/etc/default/grub" to ensure the configuration survives kernel updates: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GRUB_CMDLINE_LINUX="audit_backlog_limit=8192"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audit records are not stored on a partition made specifically for audit records, a new partition with sufficient space will need be to be created.</t>
    </r>
  </si>
  <si>
    <r>
      <rPr>
        <sz val="11"/>
        <color rgb="FF000000"/>
        <rFont val="Calibri"/>
      </rPr>
      <t xml:space="preserve">Without the capability to generate audit records, it would be difficult to establish, correlate, and investigate the events relating to an incident or identify those responsible for one.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auditing is enabled late in the startup process, the actions of some startup processes may not be audited. Some audit systems also maintain state information only available if auditing is enabled before a given process is created.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Audit records can be generated from various components within the information system (e.g., module or policy filter).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Allocating an "audit_backlog_limit" of sufficient size is critical in maintaining a stable boot process. With an insufficient limit allocated, the system is susceptible to boot failures and crashes.</t>
    </r>
    <r>
      <rPr>
        <sz val="11"/>
        <color rgb="FF000000"/>
        <rFont val="Calibri"/>
      </rPr>
      <t xml:space="preserve">
</t>
    </r>
    <r>
      <rPr>
        <sz val="11"/>
        <color rgb="FF000000"/>
        <rFont val="Calibri"/>
      </rPr>
      <t>Satisfies: SRG-OS-000037-GPOS-00015, SRG-OS-000042-GPOS-00020, SRG-OS-000062-GPOS-00031, SRG-OS-000392-GPOS-00172, SRG-OS-000462-GPOS-00206, SRG-OS-000471-GPOS-00215</t>
    </r>
  </si>
  <si>
    <r>
      <rPr>
        <sz val="11"/>
        <color rgb="FF000000"/>
        <rFont val="Calibri"/>
      </rPr>
      <t xml:space="preserve">Verify OL 8 allocates a sufficient "audit_backlog_limit" to capture processes that start prior to the audit daemon with the following commands: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grub2-editenv list | grep audit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kernelopts=root=/dev/mapper/ol-root ro crashkernel=auto resume=/dev/mapper/ol-swap rd.lvm.lv=ol/root rd.lvm.lv=ol/swap rhgb quiet fips=1 audit=1 audit_backlog_limit=8192 boot=UUID=8d171156-cd61-421c-ba41-1c021ac29e82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"audit_backlog_limit" entry does not equal "8192" or larger, is missing, or the line is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Verify "audit_backlog_limit" is set to persist in kernel updates: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grep audit /etc/default/grub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GRUB_CMDLINE_LINUX="audit_backlog_limit=8192"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"audit_backlog_limit" is not set to "8192" or larger or is missing or commented out, this is a finding.</t>
    </r>
  </si>
  <si>
    <t>V-248805</t>
  </si>
  <si>
    <r>
      <rPr>
        <sz val="11"/>
        <rFont val="Calibri"/>
      </rPr>
      <t>OL 8 must enable Linux audit logging for the USBGuard daemon.</t>
    </r>
  </si>
  <si>
    <r>
      <rPr>
        <sz val="11"/>
        <color rgb="FF000000"/>
        <rFont val="Calibri"/>
      </rPr>
      <t xml:space="preserve">Configure OL 8 to enable Linux audit logging of the USBGuard daemon by adding or modifying the following line in "/etc/usbguard/usbguard-daemon.conf":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AuditBackend=LinuxAudit</t>
    </r>
  </si>
  <si>
    <r>
      <rPr>
        <sz val="11"/>
        <color rgb="FF000000"/>
        <rFont val="Calibri"/>
      </rPr>
      <t xml:space="preserve">Without generating audit records that are specific to the security and mission needs of the organization, it would be difficult to establish, correlate, and investigate the events relating to an incident or identify those responsible for one.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Audit records can be generated from various components within the information system (e.g., module or policy filter).</t>
    </r>
  </si>
  <si>
    <r>
      <rPr>
        <sz val="11"/>
        <color rgb="FF000000"/>
        <rFont val="Calibri"/>
      </rPr>
      <t xml:space="preserve">Verify OL 8 enables Linux audit logging of the USBGuard daemon with the following commands.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Note: If the USBGuard daemon is not installed and enabled, this requirement is not applicable.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grep -i auditbackend /etc/usbguard/usbguard-daemon.conf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AuditBackend=LinuxAudit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"AuditBackend" entry does not equal "LinuxAudit", is missing, or the line is commented out, this is a finding.</t>
    </r>
  </si>
  <si>
    <t>V-248806</t>
  </si>
  <si>
    <r>
      <rPr>
        <sz val="11"/>
        <rFont val="Calibri"/>
      </rPr>
      <t>OL 8 must allow only the Information System Security Manager (ISSM) (or individuals or roles appointed by the ISSM) to select which auditable events are to be audited.</t>
    </r>
  </si>
  <si>
    <r>
      <rPr>
        <sz val="11"/>
        <color rgb="FF000000"/>
        <rFont val="Calibri"/>
      </rPr>
      <t xml:space="preserve">Configure the "/etc/audit/rules.d/*.rules" and "/etc/audit/auditd.conf" files to have a mode of "0640" with the following commands: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chmod 0640 /etc/audit/rules.d/*.rules </t>
    </r>
    <r>
      <rPr>
        <sz val="11"/>
        <color rgb="FF000000"/>
        <rFont val="Calibri"/>
      </rPr>
      <t xml:space="preserve">
</t>
    </r>
    <r>
      <rPr>
        <sz val="11"/>
        <color rgb="FF000000"/>
        <rFont val="Calibri"/>
      </rPr>
      <t>$ sudo chmod 0640 /etc/audit/auditd.conf</t>
    </r>
  </si>
  <si>
    <r>
      <rPr>
        <sz val="11"/>
        <color rgb="FF000000"/>
        <rFont val="Calibri"/>
      </rPr>
      <t>Without the capability to restrict the roles and individuals that can select which events are audited, unauthorized personnel may be able to prevent the auditing of critical events. Misconfigured audits may degrade the system's performance by overwhelming the audit log. Misconfigured audits may also make it more difficult to establish, correlate, and investigate the events relating to an incident or identify those responsible for one.</t>
    </r>
  </si>
  <si>
    <r>
      <rPr>
        <sz val="11"/>
        <color rgb="FF000000"/>
        <rFont val="Calibri"/>
      </rPr>
      <t xml:space="preserve">Verify  the "/etc/audit/rules.d/*.rules" and "/etc/audit/auditd.conf" file have a mode of "0640" or less permissive by using the following commands: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ls -al /etc/audit/rules.d/*.rules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-rw-r----- 1 root root 1280 Feb 16 17:09 audit.rules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ls -al /etc/audit/auditd.conf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-rw-r----- 1 root root 621 Sep 22 2014 auditd.conf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"/etc/audit/rules.d/*.rules" or "/etc/audit/auditd.conf" files have a mode more permissive than "0640", this is a finding.</t>
    </r>
  </si>
  <si>
    <t>V-248807</t>
  </si>
  <si>
    <r>
      <rPr>
        <sz val="11"/>
        <rFont val="Calibri"/>
      </rPr>
      <t xml:space="preserve">OL 8 audit tools must have a mode of </t>
    </r>
    <r>
      <rPr>
        <sz val="11"/>
        <color rgb="FF000000"/>
        <rFont val="Calibri"/>
      </rPr>
      <t>"</t>
    </r>
    <r>
      <rPr>
        <b/>
        <sz val="11"/>
        <color rgb="FF000000"/>
        <rFont val="Calibri"/>
      </rPr>
      <t>0755</t>
    </r>
    <r>
      <rPr>
        <sz val="11"/>
        <color rgb="FF000000"/>
        <rFont val="Calibri"/>
      </rPr>
      <t>"</t>
    </r>
    <r>
      <rPr>
        <sz val="11"/>
        <color rgb="FF000000"/>
        <rFont val="Calibri"/>
      </rPr>
      <t xml:space="preserve"> or less permissive.</t>
    </r>
  </si>
  <si>
    <r>
      <rPr>
        <sz val="11"/>
        <color rgb="FF000000"/>
        <rFont val="Calibri"/>
      </rPr>
      <t xml:space="preserve">Configure the audit tools to be protected from unauthorized access by setting the correct permissive mode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chmod 0755 [audit_tool]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Replace "[audit_tool]" with the audit tool that does not have the correct permissive mode.</t>
    </r>
  </si>
  <si>
    <r>
      <rPr>
        <sz val="11"/>
        <color rgb="FF000000"/>
        <rFont val="Calibri"/>
      </rPr>
      <t xml:space="preserve">Protecting audit information includes identifying and protecting the tools used to view and manipulate log data. Therefore, protecting audit tools is necessary to prevent unauthorized operation on audit information.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OL 8 systems providing tools to interface with audit information will leverage user permissions and roles identifying the user accessing the tools, and the corresponding user rights, to make access decisions regarding the access to audit tools.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Audit tools include but are not limited to vendor-provided and open source audit tools needed to successfully view and manipulate audit information system activity and records. Audit tools include custom queries and report generators.</t>
    </r>
  </si>
  <si>
    <r>
      <rPr>
        <sz val="11"/>
        <color rgb="FF000000"/>
        <rFont val="Calibri"/>
      </rPr>
      <t xml:space="preserve">Verify the audit tools are protected from unauthorized access, deletion, or modification by checking the permissive mode.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Check the octal permission of each audit tool by running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stat -c "%a %n" /sbin/auditctl /sbin/aureport /sbin/ausearch /sbin/autrace /sbin/auditd /sbin/rsyslogd /sbin/augenrules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755 /sbin/auditctl </t>
    </r>
    <r>
      <rPr>
        <sz val="11"/>
        <color rgb="FF000000"/>
        <rFont val="Calibri"/>
      </rPr>
      <t xml:space="preserve">
</t>
    </r>
    <r>
      <rPr>
        <sz val="11"/>
        <color rgb="FF000000"/>
        <rFont val="Calibri"/>
      </rPr>
      <t xml:space="preserve">755 /sbin/aureport </t>
    </r>
    <r>
      <rPr>
        <sz val="11"/>
        <color rgb="FF000000"/>
        <rFont val="Calibri"/>
      </rPr>
      <t xml:space="preserve">
</t>
    </r>
    <r>
      <rPr>
        <sz val="11"/>
        <color rgb="FF000000"/>
        <rFont val="Calibri"/>
      </rPr>
      <t xml:space="preserve">755 /sbin/ausearch </t>
    </r>
    <r>
      <rPr>
        <sz val="11"/>
        <color rgb="FF000000"/>
        <rFont val="Calibri"/>
      </rPr>
      <t xml:space="preserve">
</t>
    </r>
    <r>
      <rPr>
        <sz val="11"/>
        <color rgb="FF000000"/>
        <rFont val="Calibri"/>
      </rPr>
      <t xml:space="preserve">750 /sbin/autrace </t>
    </r>
    <r>
      <rPr>
        <sz val="11"/>
        <color rgb="FF000000"/>
        <rFont val="Calibri"/>
      </rPr>
      <t xml:space="preserve">
</t>
    </r>
    <r>
      <rPr>
        <sz val="11"/>
        <color rgb="FF000000"/>
        <rFont val="Calibri"/>
      </rPr>
      <t xml:space="preserve">755 /sbin/auditd </t>
    </r>
    <r>
      <rPr>
        <sz val="11"/>
        <color rgb="FF000000"/>
        <rFont val="Calibri"/>
      </rPr>
      <t xml:space="preserve">
</t>
    </r>
    <r>
      <rPr>
        <sz val="11"/>
        <color rgb="FF000000"/>
        <rFont val="Calibri"/>
      </rPr>
      <t xml:space="preserve">755 /sbin/rsyslogd </t>
    </r>
    <r>
      <rPr>
        <sz val="11"/>
        <color rgb="FF000000"/>
        <rFont val="Calibri"/>
      </rPr>
      <t xml:space="preserve">
</t>
    </r>
    <r>
      <rPr>
        <sz val="11"/>
        <color rgb="FF000000"/>
        <rFont val="Calibri"/>
      </rPr>
      <t xml:space="preserve">755 /sbin/augenrules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any of the audit tools has a mode more permissive than "0755", this is a finding.</t>
    </r>
  </si>
  <si>
    <t>V-248808</t>
  </si>
  <si>
    <r>
      <rPr>
        <sz val="11"/>
        <rFont val="Calibri"/>
      </rPr>
      <t>OL 8 audit tools must be owned by root.</t>
    </r>
  </si>
  <si>
    <r>
      <rPr>
        <sz val="11"/>
        <color rgb="FF000000"/>
        <rFont val="Calibri"/>
      </rPr>
      <t xml:space="preserve">Configure the audit tools to be owned by "root" by running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chown root [audit_tool]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Replace "[audit_tool]" with each audit tool not owned by "root".</t>
    </r>
  </si>
  <si>
    <r>
      <rPr>
        <sz val="11"/>
        <color rgb="FF000000"/>
        <rFont val="Calibri"/>
      </rPr>
      <t xml:space="preserve">Protecting audit information includes identifying and protecting the tools used to view and manipulate log data. Therefore, protecting audit tools is necessary to prevent unauthorized operation on audit information.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OL 8 systems providing tools to interface with audit information will leverage user permissions and roles identifying the user accessing the tools, and the corresponding user rights, to make access decisions regarding the access to audit tools.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Audit tools include but are not limited to vendor-provided and open source audit tools needed to successfully view and manipulate audit information system activity and records. Audit tools include custom queries and report generators.</t>
    </r>
    <r>
      <rPr>
        <sz val="11"/>
        <color rgb="FF000000"/>
        <rFont val="Calibri"/>
      </rPr>
      <t xml:space="preserve">
</t>
    </r>
    <r>
      <rPr>
        <sz val="11"/>
        <color rgb="FF000000"/>
        <rFont val="Calibri"/>
      </rPr>
      <t>Satisfies: SRG-OS-000256-GPOS-00097, SRG-OS-000257-GPOS-00098, SRG-OS-000258-GPOS-00099</t>
    </r>
  </si>
  <si>
    <r>
      <rPr>
        <sz val="11"/>
        <color rgb="FF000000"/>
        <rFont val="Calibri"/>
      </rPr>
      <t xml:space="preserve">Verify the audit tools are owned by "root" to prevent any unauthorized access, deletion, or modification.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Check the owner of each audit tool by running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stat -c "%U %n" /sbin/auditctl /sbin/aureport /sbin/ausearch /sbin/autrace /sbin/auditd /sbin/rsyslogd /sbin/augenrules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root /sbin/auditctl </t>
    </r>
    <r>
      <rPr>
        <sz val="11"/>
        <color rgb="FF000000"/>
        <rFont val="Calibri"/>
      </rPr>
      <t xml:space="preserve">
</t>
    </r>
    <r>
      <rPr>
        <sz val="11"/>
        <color rgb="FF000000"/>
        <rFont val="Calibri"/>
      </rPr>
      <t xml:space="preserve">root /sbin/aureport </t>
    </r>
    <r>
      <rPr>
        <sz val="11"/>
        <color rgb="FF000000"/>
        <rFont val="Calibri"/>
      </rPr>
      <t xml:space="preserve">
</t>
    </r>
    <r>
      <rPr>
        <sz val="11"/>
        <color rgb="FF000000"/>
        <rFont val="Calibri"/>
      </rPr>
      <t xml:space="preserve">root /sbin/ausearch </t>
    </r>
    <r>
      <rPr>
        <sz val="11"/>
        <color rgb="FF000000"/>
        <rFont val="Calibri"/>
      </rPr>
      <t xml:space="preserve">
</t>
    </r>
    <r>
      <rPr>
        <sz val="11"/>
        <color rgb="FF000000"/>
        <rFont val="Calibri"/>
      </rPr>
      <t xml:space="preserve">root /sbin/autrace </t>
    </r>
    <r>
      <rPr>
        <sz val="11"/>
        <color rgb="FF000000"/>
        <rFont val="Calibri"/>
      </rPr>
      <t xml:space="preserve">
</t>
    </r>
    <r>
      <rPr>
        <sz val="11"/>
        <color rgb="FF000000"/>
        <rFont val="Calibri"/>
      </rPr>
      <t xml:space="preserve">root /sbin/auditd </t>
    </r>
    <r>
      <rPr>
        <sz val="11"/>
        <color rgb="FF000000"/>
        <rFont val="Calibri"/>
      </rPr>
      <t xml:space="preserve">
</t>
    </r>
    <r>
      <rPr>
        <sz val="11"/>
        <color rgb="FF000000"/>
        <rFont val="Calibri"/>
      </rPr>
      <t xml:space="preserve">root /sbin/rsyslogd </t>
    </r>
    <r>
      <rPr>
        <sz val="11"/>
        <color rgb="FF000000"/>
        <rFont val="Calibri"/>
      </rPr>
      <t xml:space="preserve">
</t>
    </r>
    <r>
      <rPr>
        <sz val="11"/>
        <color rgb="FF000000"/>
        <rFont val="Calibri"/>
      </rPr>
      <t xml:space="preserve">root /sbin/augenrules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any of the audit tools are not owned by "root", this is a finding.</t>
    </r>
  </si>
  <si>
    <t>V-248809</t>
  </si>
  <si>
    <r>
      <rPr>
        <sz val="11"/>
        <rFont val="Calibri"/>
      </rPr>
      <t>OL 8 audit tools must be group-owned by root.</t>
    </r>
  </si>
  <si>
    <r>
      <rPr>
        <sz val="11"/>
        <color rgb="FF000000"/>
        <rFont val="Calibri"/>
      </rPr>
      <t xml:space="preserve">Configure the audit tools to be group-owned by "root" by running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chgrp root [audit_tool]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Replace "[audit_tool]" with each audit tool not group-owned by "root".</t>
    </r>
  </si>
  <si>
    <r>
      <rPr>
        <sz val="11"/>
        <color rgb="FF000000"/>
        <rFont val="Calibri"/>
      </rPr>
      <t xml:space="preserve">Protecting audit information also includes identifying and protecting the tools used to view and manipulate log data. Therefore, protecting audit tools is necessary to prevent unauthorized operation on audit information.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OL 8 systems providing tools to interface with audit information will leverage user permissions and roles identifying the user accessing the tools, and the corresponding user rights, to make access decisions regarding the access to audit tools.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Audit tools include but are not limited to vendor-provided and open source audit tools needed to successfully view and manipulate audit information system activity and records. Audit tools include custom queries and report generators.</t>
    </r>
    <r>
      <rPr>
        <sz val="11"/>
        <color rgb="FF000000"/>
        <rFont val="Calibri"/>
      </rPr>
      <t xml:space="preserve">
</t>
    </r>
    <r>
      <rPr>
        <sz val="11"/>
        <color rgb="FF000000"/>
        <rFont val="Calibri"/>
      </rPr>
      <t>Satisfies: SRG-OS-000256-GPOS-00097, SRG-OS-000257-GPOS-00098, SRG-OS-000258-GPOS-00099</t>
    </r>
  </si>
  <si>
    <r>
      <rPr>
        <sz val="11"/>
        <color rgb="FF000000"/>
        <rFont val="Calibri"/>
      </rPr>
      <t xml:space="preserve">Verify the audit tools are group-owned by "root" to prevent any unauthorized access, deletion, or modification.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Check the owner of each audit tool by running the following commands: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stat -c "%G %n" /sbin/auditctl /sbin/aureport /sbin/ausearch /sbin/autrace /sbin/auditd /sbin/rsyslogd /sbin/augenrules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root /sbin/auditctl </t>
    </r>
    <r>
      <rPr>
        <sz val="11"/>
        <color rgb="FF000000"/>
        <rFont val="Calibri"/>
      </rPr>
      <t xml:space="preserve">
</t>
    </r>
    <r>
      <rPr>
        <sz val="11"/>
        <color rgb="FF000000"/>
        <rFont val="Calibri"/>
      </rPr>
      <t xml:space="preserve">root /sbin/aureport </t>
    </r>
    <r>
      <rPr>
        <sz val="11"/>
        <color rgb="FF000000"/>
        <rFont val="Calibri"/>
      </rPr>
      <t xml:space="preserve">
</t>
    </r>
    <r>
      <rPr>
        <sz val="11"/>
        <color rgb="FF000000"/>
        <rFont val="Calibri"/>
      </rPr>
      <t xml:space="preserve">root /sbin/ausearch </t>
    </r>
    <r>
      <rPr>
        <sz val="11"/>
        <color rgb="FF000000"/>
        <rFont val="Calibri"/>
      </rPr>
      <t xml:space="preserve">
</t>
    </r>
    <r>
      <rPr>
        <sz val="11"/>
        <color rgb="FF000000"/>
        <rFont val="Calibri"/>
      </rPr>
      <t xml:space="preserve">root /sbin/autrace </t>
    </r>
    <r>
      <rPr>
        <sz val="11"/>
        <color rgb="FF000000"/>
        <rFont val="Calibri"/>
      </rPr>
      <t xml:space="preserve">
</t>
    </r>
    <r>
      <rPr>
        <sz val="11"/>
        <color rgb="FF000000"/>
        <rFont val="Calibri"/>
      </rPr>
      <t xml:space="preserve">root /sbin/auditd </t>
    </r>
    <r>
      <rPr>
        <sz val="11"/>
        <color rgb="FF000000"/>
        <rFont val="Calibri"/>
      </rPr>
      <t xml:space="preserve">
</t>
    </r>
    <r>
      <rPr>
        <sz val="11"/>
        <color rgb="FF000000"/>
        <rFont val="Calibri"/>
      </rPr>
      <t xml:space="preserve">root /sbin/rsyslogd </t>
    </r>
    <r>
      <rPr>
        <sz val="11"/>
        <color rgb="FF000000"/>
        <rFont val="Calibri"/>
      </rPr>
      <t xml:space="preserve">
</t>
    </r>
    <r>
      <rPr>
        <sz val="11"/>
        <color rgb="FF000000"/>
        <rFont val="Calibri"/>
      </rPr>
      <t xml:space="preserve">root /sbin/augenrules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any of the audit tools are not group-owned by "root", this is a finding.</t>
    </r>
  </si>
  <si>
    <t>V-248810</t>
  </si>
  <si>
    <r>
      <rPr>
        <sz val="11"/>
        <rFont val="Calibri"/>
      </rPr>
      <t>OL 8 must use cryptographic mechanisms to protect the integrity of audit tools.</t>
    </r>
  </si>
  <si>
    <r>
      <rPr>
        <sz val="11"/>
        <color rgb="FF000000"/>
        <rFont val="Calibri"/>
      </rPr>
      <t xml:space="preserve">Add or update the following lines to "/etc/aide.conf" to protect the integrity of the audit tools.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Audit Tools </t>
    </r>
    <r>
      <rPr>
        <sz val="11"/>
        <color rgb="FF000000"/>
        <rFont val="Calibri"/>
      </rPr>
      <t xml:space="preserve">
</t>
    </r>
    <r>
      <rPr>
        <sz val="11"/>
        <color rgb="FF000000"/>
        <rFont val="Calibri"/>
      </rPr>
      <t xml:space="preserve">/usr/sbin/auditctl p+i+n+u+g+s+b+acl+xattrs+sha512 </t>
    </r>
    <r>
      <rPr>
        <sz val="11"/>
        <color rgb="FF000000"/>
        <rFont val="Calibri"/>
      </rPr>
      <t xml:space="preserve">
</t>
    </r>
    <r>
      <rPr>
        <sz val="11"/>
        <color rgb="FF000000"/>
        <rFont val="Calibri"/>
      </rPr>
      <t xml:space="preserve">/usr/sbin/auditd p+i+n+u+g+s+b+acl+xattrs+sha512 </t>
    </r>
    <r>
      <rPr>
        <sz val="11"/>
        <color rgb="FF000000"/>
        <rFont val="Calibri"/>
      </rPr>
      <t xml:space="preserve">
</t>
    </r>
    <r>
      <rPr>
        <sz val="11"/>
        <color rgb="FF000000"/>
        <rFont val="Calibri"/>
      </rPr>
      <t xml:space="preserve">/usr/sbin/ausearch p+i+n+u+g+s+b+acl+xattrs+sha512 </t>
    </r>
    <r>
      <rPr>
        <sz val="11"/>
        <color rgb="FF000000"/>
        <rFont val="Calibri"/>
      </rPr>
      <t xml:space="preserve">
</t>
    </r>
    <r>
      <rPr>
        <sz val="11"/>
        <color rgb="FF000000"/>
        <rFont val="Calibri"/>
      </rPr>
      <t xml:space="preserve">/usr/sbin/aureport p+i+n+u+g+s+b+acl+xattrs+sha512 </t>
    </r>
    <r>
      <rPr>
        <sz val="11"/>
        <color rgb="FF000000"/>
        <rFont val="Calibri"/>
      </rPr>
      <t xml:space="preserve">
</t>
    </r>
    <r>
      <rPr>
        <sz val="11"/>
        <color rgb="FF000000"/>
        <rFont val="Calibri"/>
      </rPr>
      <t xml:space="preserve">/usr/sbin/autrace p+i+n+u+g+s+b+acl+xattrs+sha512 </t>
    </r>
    <r>
      <rPr>
        <sz val="11"/>
        <color rgb="FF000000"/>
        <rFont val="Calibri"/>
      </rPr>
      <t xml:space="preserve">
</t>
    </r>
    <r>
      <rPr>
        <sz val="11"/>
        <color rgb="FF000000"/>
        <rFont val="Calibri"/>
      </rPr>
      <t xml:space="preserve">/usr/sbin/rsyslogd p+i+n+u+g+s+b+acl+xattrs+sha512 </t>
    </r>
    <r>
      <rPr>
        <sz val="11"/>
        <color rgb="FF000000"/>
        <rFont val="Calibri"/>
      </rPr>
      <t xml:space="preserve">
</t>
    </r>
    <r>
      <rPr>
        <sz val="11"/>
        <color rgb="FF000000"/>
        <rFont val="Calibri"/>
      </rPr>
      <t>/usr/sbin/augenrules p+i+n+u+g+s+b+acl+xattrs+sha512</t>
    </r>
  </si>
  <si>
    <r>
      <rPr>
        <sz val="11"/>
        <color rgb="FF000000"/>
        <rFont val="Calibri"/>
      </rPr>
      <t xml:space="preserve">Protecting the integrity of the tools used for auditing purposes is a critical step toward ensuring the integrity of audit information. Audit information includes all information (e.g., audit records, audit settings, and audit reports) needed to successfully audit information system activity.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Audit tools include but are not limited to vendor-provided and open source audit tools needed to successfully view and manipulate audit information system activity and records. Audit tools include custom queries and report generators.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It is not uncommon for attackers to replace the audit tools or inject code into the existing tools to provide the capability to hide or erase system activity from the audit logs.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To address this risk, audit tools must be cryptographically signed to provide the capability to identify when the audit tools have been modified, manipulated, or replaced. An example is a checksum hash of the file or files.</t>
    </r>
  </si>
  <si>
    <r>
      <rPr>
        <sz val="11"/>
        <color rgb="FF000000"/>
        <rFont val="Calibri"/>
      </rPr>
      <t xml:space="preserve">Verify that Advanced Intrusion Detection Environment (AIDE) is properly configured to use cryptographic mechanisms to protect the integrity of audit tools.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Check the selection lines to ensure AIDE is configured to add/check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grep -E '(\/usr\/sbin\/(audit|au|rsys))' /etc/aide.conf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/usr/sbin/auditctl p+i+n+u+g+s+b+acl+xattrs+sha512 </t>
    </r>
    <r>
      <rPr>
        <sz val="11"/>
        <color rgb="FF000000"/>
        <rFont val="Calibri"/>
      </rPr>
      <t xml:space="preserve">
</t>
    </r>
    <r>
      <rPr>
        <sz val="11"/>
        <color rgb="FF000000"/>
        <rFont val="Calibri"/>
      </rPr>
      <t xml:space="preserve">     /usr/sbin/auditd p+i+n+u+g+s+b+acl+xattrs+sha512 </t>
    </r>
    <r>
      <rPr>
        <sz val="11"/>
        <color rgb="FF000000"/>
        <rFont val="Calibri"/>
      </rPr>
      <t xml:space="preserve">
</t>
    </r>
    <r>
      <rPr>
        <sz val="11"/>
        <color rgb="FF000000"/>
        <rFont val="Calibri"/>
      </rPr>
      <t xml:space="preserve">     /usr/sbin/ausearch p+i+n+u+g+s+b+acl+xattrs+sha512 </t>
    </r>
    <r>
      <rPr>
        <sz val="11"/>
        <color rgb="FF000000"/>
        <rFont val="Calibri"/>
      </rPr>
      <t xml:space="preserve">
</t>
    </r>
    <r>
      <rPr>
        <sz val="11"/>
        <color rgb="FF000000"/>
        <rFont val="Calibri"/>
      </rPr>
      <t xml:space="preserve">     /usr/sbin/aureport p+i+n+u+g+s+b+acl+xattrs+sha512 </t>
    </r>
    <r>
      <rPr>
        <sz val="11"/>
        <color rgb="FF000000"/>
        <rFont val="Calibri"/>
      </rPr>
      <t xml:space="preserve">
</t>
    </r>
    <r>
      <rPr>
        <sz val="11"/>
        <color rgb="FF000000"/>
        <rFont val="Calibri"/>
      </rPr>
      <t xml:space="preserve">     /usr/sbin/autrace p+i+n+u+g+s+b+acl+xattrs+sha512 </t>
    </r>
    <r>
      <rPr>
        <sz val="11"/>
        <color rgb="FF000000"/>
        <rFont val="Calibri"/>
      </rPr>
      <t xml:space="preserve">
</t>
    </r>
    <r>
      <rPr>
        <sz val="11"/>
        <color rgb="FF000000"/>
        <rFont val="Calibri"/>
      </rPr>
      <t xml:space="preserve">     /usr/sbin/rsyslogd p+i+n+u+g+s+b+acl+xattrs+sha512 </t>
    </r>
    <r>
      <rPr>
        <sz val="11"/>
        <color rgb="FF000000"/>
        <rFont val="Calibri"/>
      </rPr>
      <t xml:space="preserve">
</t>
    </r>
    <r>
      <rPr>
        <sz val="11"/>
        <color rgb="FF000000"/>
        <rFont val="Calibri"/>
      </rPr>
      <t xml:space="preserve">     /usr/sbin/augenrules p+i+n+u+g+s+b+acl+xattrs+sha512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any of the audit tools listed above do not have an appropriate selection line, this is a finding.</t>
    </r>
  </si>
  <si>
    <t>V-248811</t>
  </si>
  <si>
    <r>
      <rPr>
        <sz val="11"/>
        <rFont val="Calibri"/>
      </rPr>
      <t>OL 8 must allocate audit record storage capacity to store at least one week of audit records when audit records are not immediately sent to a central audit record storage facility.</t>
    </r>
  </si>
  <si>
    <r>
      <rPr>
        <sz val="11"/>
        <color rgb="FF000000"/>
        <rFont val="Calibri"/>
      </rPr>
      <t xml:space="preserve">Allocate enough storage capacity for at least one week of audit records when audit records are not immediately sent to a central audit record storage facility.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audit records are stored on a partition made specifically for audit records, use the "X" program to resize the partition with sufficient space to contain one week of audit records.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audit records are not stored on a partition made specifically for audit records, a new partition with sufficient space will need be to be created.</t>
    </r>
  </si>
  <si>
    <r>
      <rPr>
        <sz val="11"/>
        <color rgb="FF000000"/>
        <rFont val="Calibri"/>
      </rPr>
      <t xml:space="preserve">To ensure OL 8 systems have a sufficient storage capacity in which to write the audit logs, OL 8 needs to be able to allocate audit record storage capacity.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 task of allocating audit record storage capacity is usually performed during initial installation of OL 8.</t>
    </r>
  </si>
  <si>
    <r>
      <rPr>
        <sz val="11"/>
        <color rgb="FF000000"/>
        <rFont val="Calibri"/>
      </rPr>
      <t xml:space="preserve">Verify OL 8 allocates audit record storage capacity to store at least one week of audit records when audit records are not immediately sent to a central audit record storage facility.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Determine to which partition the audit records are being written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grep -iw log_file /etc/audit/auditd.conf </t>
    </r>
    <r>
      <rPr>
        <sz val="11"/>
        <color rgb="FF000000"/>
        <rFont val="Calibri"/>
      </rPr>
      <t xml:space="preserve">
</t>
    </r>
    <r>
      <rPr>
        <sz val="11"/>
        <color rgb="FF000000"/>
        <rFont val="Calibri"/>
      </rPr>
      <t xml:space="preserve">log_file = /var/log/audit/audit.log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Check the size of the partition to which audit records are written (with the example being "/var/log/audit/")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df -h /var/log/audit/ </t>
    </r>
    <r>
      <rPr>
        <sz val="11"/>
        <color rgb="FF000000"/>
        <rFont val="Calibri"/>
      </rPr>
      <t xml:space="preserve">
</t>
    </r>
    <r>
      <rPr>
        <sz val="11"/>
        <color rgb="FF000000"/>
        <rFont val="Calibri"/>
      </rPr>
      <t xml:space="preserve">/dev/sda2 24G 10.4G 13.6G 43% /var/log/audit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audit records are not written to a partition made specifically for audit records ("/var/log/audit" is a separate partition), determine the amount of space being used by other files in the partition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du -sh [audit_partition] </t>
    </r>
    <r>
      <rPr>
        <sz val="11"/>
        <color rgb="FF000000"/>
        <rFont val="Calibri"/>
      </rPr>
      <t xml:space="preserve">
</t>
    </r>
    <r>
      <rPr>
        <sz val="11"/>
        <color rgb="FF000000"/>
        <rFont val="Calibri"/>
      </rPr>
      <t xml:space="preserve">1.8G /var/log/audit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audit record partition is not allocated for sufficient storage capacity,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partition size needed to capture a week of audit records is based on the activity level of the system and the total storage capacity available. Typically 10.0 GB of storage space for audit records should be sufficient.</t>
    </r>
  </si>
  <si>
    <t>V-248812</t>
  </si>
  <si>
    <r>
      <rPr>
        <sz val="11"/>
        <rFont val="Calibri"/>
      </rPr>
      <t>OL 8 must have the packages required for offloading audit logs installed.</t>
    </r>
  </si>
  <si>
    <r>
      <rPr>
        <sz val="11"/>
        <color rgb="FF000000"/>
        <rFont val="Calibri"/>
      </rPr>
      <t xml:space="preserve">Configure the operating system to offload audit logs by installing the required packages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yum install rsyslog</t>
    </r>
  </si>
  <si>
    <r>
      <rPr>
        <sz val="11"/>
        <color rgb="FF000000"/>
        <rFont val="Calibri"/>
      </rPr>
      <t xml:space="preserve">Information stored in one location is vulnerable to accidental or incidental deletion or alteration.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Offloading is a common process in information systems with limited audit storage capacity.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OL 8 installation media provides "rsyslogd". This is a system utility providing support for message logging. Support for both internet and UNIX domain sockets enables this utility to support both local and remote logging. Coupling this utility with "gnutls" (which is a secure communications library implementing the SSL, TLS, and DTLS protocols) provides a method to securely encrypt and offload auditing.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Rsyslog provides three ways to forward message: the traditional UDP transport, which is extremely lossy but standard; the plain TCP based transport, which loses messages only during certain situations but is widely available; and the RELP transport, which does not lose messages but is currently available only as part of the rsyslogd 3.15.0 and above.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Examples of each configuration follow: </t>
    </r>
    <r>
      <rPr>
        <sz val="11"/>
        <color rgb="FF000000"/>
        <rFont val="Calibri"/>
      </rPr>
      <t xml:space="preserve">
</t>
    </r>
    <r>
      <rPr>
        <sz val="11"/>
        <color rgb="FF000000"/>
        <rFont val="Calibri"/>
      </rPr>
      <t xml:space="preserve">UDP *.* @remotesystemname </t>
    </r>
    <r>
      <rPr>
        <sz val="11"/>
        <color rgb="FF000000"/>
        <rFont val="Calibri"/>
      </rPr>
      <t xml:space="preserve">
</t>
    </r>
    <r>
      <rPr>
        <sz val="11"/>
        <color rgb="FF000000"/>
        <rFont val="Calibri"/>
      </rPr>
      <t xml:space="preserve">TCP *.* @@remotesystemname </t>
    </r>
    <r>
      <rPr>
        <sz val="11"/>
        <color rgb="FF000000"/>
        <rFont val="Calibri"/>
      </rPr>
      <t xml:space="preserve">
</t>
    </r>
    <r>
      <rPr>
        <sz val="11"/>
        <color rgb="FF000000"/>
        <rFont val="Calibri"/>
      </rPr>
      <t xml:space="preserve">RELP *.* :omrelp:remotesystemname:2514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that a port number was given as there is no standard port for RELP.</t>
    </r>
  </si>
  <si>
    <r>
      <rPr>
        <sz val="11"/>
        <color rgb="FF000000"/>
        <rFont val="Calibri"/>
      </rPr>
      <t xml:space="preserve">Verify the operating system has the packages required for offloading audit logs installed with the following commands: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yum list installed rsyslog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rsyslog.x86_64 8.1911.0-3.el8 @AppStream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"rsyslog" package is not installed, ask the administrator to indicate how audit logs are being offloaded and what packages are installed to support it.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there is no evidence of audit logs being offloaded, this is a finding.</t>
    </r>
  </si>
  <si>
    <t>V-248813</t>
  </si>
  <si>
    <r>
      <rPr>
        <sz val="11"/>
        <rFont val="Calibri"/>
      </rPr>
      <t>OL 8 must have the packages required for encrypting offloaded audit logs installed.</t>
    </r>
  </si>
  <si>
    <r>
      <rPr>
        <sz val="11"/>
        <color rgb="FF000000"/>
        <rFont val="Calibri"/>
      </rPr>
      <t xml:space="preserve">Configure the operating system to encrypt offloaded audit logs by installing the required packages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yum install rsyslog-gnutls</t>
    </r>
  </si>
  <si>
    <r>
      <rPr>
        <sz val="11"/>
        <color rgb="FF000000"/>
        <rFont val="Calibri"/>
      </rPr>
      <t xml:space="preserve">Information stored in one location is vulnerable to accidental or incidental deletion or alteration.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Offloading is a common process in information systems with limited audit storage capacity.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OL 8 installation media provides "rsyslogd". This is a system utility providing support for message logging. Support for both internet and UNIX domain sockets enables this utility to support both local and remote logging. Coupling this utility with "gnutls" (which is a secure communications library implementing the SSL, TLS and DTLS protocols) provides a method to securely encrypt and offload auditing.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Rsyslog provides three ways to forward message: the traditional UDP transport, which is extremely lossy but standard; the plain TCP based transport, which loses messages only during certain situations but is widely available; and the RELP transport, which does not lose messages but is currently available only as part of the rsyslogd 3.15.0 and above.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Examples of each configuration follow: </t>
    </r>
    <r>
      <rPr>
        <sz val="11"/>
        <color rgb="FF000000"/>
        <rFont val="Calibri"/>
      </rPr>
      <t xml:space="preserve">
</t>
    </r>
    <r>
      <rPr>
        <sz val="11"/>
        <color rgb="FF000000"/>
        <rFont val="Calibri"/>
      </rPr>
      <t xml:space="preserve">UDP *.* @remotesystemname </t>
    </r>
    <r>
      <rPr>
        <sz val="11"/>
        <color rgb="FF000000"/>
        <rFont val="Calibri"/>
      </rPr>
      <t xml:space="preserve">
</t>
    </r>
    <r>
      <rPr>
        <sz val="11"/>
        <color rgb="FF000000"/>
        <rFont val="Calibri"/>
      </rPr>
      <t xml:space="preserve">TCP *.* @@remotesystemname </t>
    </r>
    <r>
      <rPr>
        <sz val="11"/>
        <color rgb="FF000000"/>
        <rFont val="Calibri"/>
      </rPr>
      <t xml:space="preserve">
</t>
    </r>
    <r>
      <rPr>
        <sz val="11"/>
        <color rgb="FF000000"/>
        <rFont val="Calibri"/>
      </rPr>
      <t xml:space="preserve">RELP *.* :omrelp:remotesystemname:2514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that a port number was given as there is no standard port for RELP.</t>
    </r>
  </si>
  <si>
    <r>
      <rPr>
        <sz val="11"/>
        <color rgb="FF000000"/>
        <rFont val="Calibri"/>
      </rPr>
      <t xml:space="preserve">Verify the operating system has the packages required for encrypting offloaded audit logs installed with the following commands: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yum list installed rsyslog-gnutls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rsyslog-gnutls.x86_64 8.1911.0-6.el8 @AppStream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"rsyslog-gnutls" package is not installed, ask the administrator to indicate how audit logs are being encrypted during offloading and what packages are installed to support it.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there is no evidence of audit logs being encrypted during offloading, this is a finding.</t>
    </r>
  </si>
  <si>
    <t>V-248814</t>
  </si>
  <si>
    <r>
      <rPr>
        <sz val="11"/>
        <rFont val="Calibri"/>
      </rPr>
      <t>The OL 8 audit records must be offloaded onto a different system or storage media from the system being audited.</t>
    </r>
  </si>
  <si>
    <r>
      <rPr>
        <sz val="11"/>
        <color rgb="FF000000"/>
        <rFont val="Calibri"/>
      </rPr>
      <t xml:space="preserve">Configure OL 8 to offload audit records onto a different system or media from the system being audited by specifying the remote logging server in "/etc/rsyslog.conf" or "/etc/rsyslog.d/[customfile].conf" with the name or IP address of the log aggregation server.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For UDP:</t>
    </r>
    <r>
      <rPr>
        <sz val="11"/>
        <color rgb="FF000000"/>
        <rFont val="Calibri"/>
      </rPr>
      <t xml:space="preserve">
</t>
    </r>
    <r>
      <rPr>
        <sz val="11"/>
        <color rgb="FF000000"/>
        <rFont val="Calibri"/>
      </rPr>
      <t xml:space="preserve">     *.* @[logaggregationserver.example.mil]:[port]</t>
    </r>
    <r>
      <rPr>
        <sz val="11"/>
        <color rgb="FF000000"/>
        <rFont val="Calibri"/>
      </rPr>
      <t xml:space="preserve">
</t>
    </r>
    <r>
      <rPr>
        <sz val="11"/>
        <color rgb="FF000000"/>
        <rFont val="Calibri"/>
      </rPr>
      <t xml:space="preserve">For TCP: </t>
    </r>
    <r>
      <rPr>
        <sz val="11"/>
        <color rgb="FF000000"/>
        <rFont val="Calibri"/>
      </rPr>
      <t xml:space="preserve">
</t>
    </r>
    <r>
      <rPr>
        <sz val="11"/>
        <color rgb="FF000000"/>
        <rFont val="Calibri"/>
      </rPr>
      <t xml:space="preserve">     *.* @@[logaggregationserver.example.mil]:[port]</t>
    </r>
  </si>
  <si>
    <r>
      <rPr>
        <sz val="11"/>
        <color rgb="FF000000"/>
        <rFont val="Calibri"/>
      </rPr>
      <t xml:space="preserve">Information stored in one location is vulnerable to accidental or incidental deletion or alteration.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Offloading is a common process in information systems with limited audit storage capacity.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OL 8 installation media provides "rsyslogd". This is a system utility providing support for message logging. Support for both internet and UNIX domain sockets enables this utility to support both local and remote logging. Coupling this utility with "gnutls" (which is a secure communications library implementing the SSL, TLS and DTLS protocols) provides a method to securely encrypt and offload auditing.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Rsyslog provides three ways to forward message: the traditional UDP transport, which is extremely lossy but standard; the plain TCP based transport, which loses messages only during certain situations but is widely available; and the RELP transport, which does not lose messages but is currently available only as part of the rsyslogd 3.15.0 and above.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Examples of each configuration follow: </t>
    </r>
    <r>
      <rPr>
        <sz val="11"/>
        <color rgb="FF000000"/>
        <rFont val="Calibri"/>
      </rPr>
      <t xml:space="preserve">
</t>
    </r>
    <r>
      <rPr>
        <sz val="11"/>
        <color rgb="FF000000"/>
        <rFont val="Calibri"/>
      </rPr>
      <t xml:space="preserve">UDP *.* @remotesystemname </t>
    </r>
    <r>
      <rPr>
        <sz val="11"/>
        <color rgb="FF000000"/>
        <rFont val="Calibri"/>
      </rPr>
      <t xml:space="preserve">
</t>
    </r>
    <r>
      <rPr>
        <sz val="11"/>
        <color rgb="FF000000"/>
        <rFont val="Calibri"/>
      </rPr>
      <t xml:space="preserve">TCP *.* @@remotesystemname </t>
    </r>
    <r>
      <rPr>
        <sz val="11"/>
        <color rgb="FF000000"/>
        <rFont val="Calibri"/>
      </rPr>
      <t xml:space="preserve">
</t>
    </r>
    <r>
      <rPr>
        <sz val="11"/>
        <color rgb="FF000000"/>
        <rFont val="Calibri"/>
      </rPr>
      <t xml:space="preserve">RELP *.* :omrelp:remotesystemname:2514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that a port number was given as there is no standard port for RELP.</t>
    </r>
    <r>
      <rPr>
        <sz val="11"/>
        <color rgb="FF000000"/>
        <rFont val="Calibri"/>
      </rPr>
      <t xml:space="preserve">
</t>
    </r>
    <r>
      <rPr>
        <sz val="11"/>
        <color rgb="FF000000"/>
        <rFont val="Calibri"/>
      </rPr>
      <t>Satisfies: SRG-OS-000342-GPOS-00133, SRG-OS-000479-GPOS-00224</t>
    </r>
  </si>
  <si>
    <r>
      <rPr>
        <sz val="11"/>
        <color rgb="FF000000"/>
        <rFont val="Calibri"/>
      </rPr>
      <t xml:space="preserve">Verify the audit system offloads audit records onto a different system or media from the system being audited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grep @@ /etc/rsyslog.conf /etc/rsyslog.d/*.conf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/etc/rsyslog.conf:*.* @@[logaggregationserver.example.mil]:[port]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a remote server is not configured or the line is commented out, ask the system administrator to indicate how the audit logs are offloaded to a different system or media.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there is no evidence that the audit logs are being offloaded to another system or media, this is a finding.</t>
    </r>
  </si>
  <si>
    <t>V-248815</t>
  </si>
  <si>
    <r>
      <rPr>
        <sz val="11"/>
        <rFont val="Calibri"/>
      </rPr>
      <t>OL 8 must take appropriate action when the internal event queue is full.</t>
    </r>
  </si>
  <si>
    <r>
      <rPr>
        <sz val="11"/>
        <color rgb="FF000000"/>
        <rFont val="Calibri"/>
      </rPr>
      <t xml:space="preserve">Edit the "/etc/audit/auditd.conf" file and add or update the "overflow_action" option: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overflow_action = syslog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 audit daemon must be restarted for changes to take effect.</t>
    </r>
  </si>
  <si>
    <r>
      <rPr>
        <sz val="11"/>
        <color rgb="FF000000"/>
        <rFont val="Calibri"/>
      </rPr>
      <t xml:space="preserve">Information stored in one location is vulnerable to accidental or incidental deletion or alteration.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Offloading is a common process in information systems with limited audit storage capacity.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OL 8 installation media provides "rsyslogd". This is a system utility providing support for message logging. Support for both internet and UNIX domain sockets enables this utility to support both local and remote logging. Coupling this utility with "gnutls" (which is a secure communications library implementing the SSL, TLS and DTLS protocols) provides a method to securely encrypt and offload auditing.</t>
    </r>
    <r>
      <rPr>
        <sz val="11"/>
        <color rgb="FF000000"/>
        <rFont val="Calibri"/>
      </rPr>
      <t xml:space="preserve">
</t>
    </r>
    <r>
      <rPr>
        <sz val="11"/>
        <color rgb="FF000000"/>
        <rFont val="Calibri"/>
      </rPr>
      <t>Satisfies: SRG-OS-000342-GPOS-00133, SRG-OS-000479-GPOS-00224</t>
    </r>
  </si>
  <si>
    <r>
      <rPr>
        <sz val="11"/>
        <color rgb="FF000000"/>
        <rFont val="Calibri"/>
      </rPr>
      <t xml:space="preserve">Verify the audit system is configured to take an appropriate action when the internal event queue is full: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grep -i overflow_action /etc/audit/auditd.conf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overflow_action = syslog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value of the "overflow_action" option is not set to "syslog", "single", or "halt", or the line is commented out, ask the System Administrator to indicate how the audit logs are offloaded to a different system or media.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there is no evidence that the transfer of the audit logs being offloaded to another system or media takes appropriate action if the internal event queue becomes full, this is a finding.</t>
    </r>
  </si>
  <si>
    <t>V-248816</t>
  </si>
  <si>
    <r>
      <rPr>
        <sz val="11"/>
        <rFont val="Calibri"/>
      </rPr>
      <t>OL 8 must encrypt the transfer of audit records offloaded onto a different system or media from the system being audited.</t>
    </r>
  </si>
  <si>
    <r>
      <rPr>
        <sz val="11"/>
        <color rgb="FF000000"/>
        <rFont val="Calibri"/>
      </rPr>
      <t xml:space="preserve">Configure the operating system to encrypt offloaded audit records by setting the following options in "/etc/rsyslog.conf" or "/etc/rsyslog.d/[customfile].conf":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$DefaultNetstreamDriver gtls </t>
    </r>
    <r>
      <rPr>
        <sz val="11"/>
        <color rgb="FF000000"/>
        <rFont val="Calibri"/>
      </rPr>
      <t xml:space="preserve">
</t>
    </r>
    <r>
      <rPr>
        <sz val="11"/>
        <color rgb="FF000000"/>
        <rFont val="Calibri"/>
      </rPr>
      <t>$ActionSendStreamDriverMode 1</t>
    </r>
  </si>
  <si>
    <r>
      <rPr>
        <sz val="11"/>
        <color rgb="FF000000"/>
        <rFont val="Calibri"/>
      </rPr>
      <t xml:space="preserve">Information stored in one location is vulnerable to accidental or incidental deletion or alteration.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Offloading is a common process in information systems with limited audit storage capacity.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OL 8 installation media provides "rsyslogd". This is a system utility providing support for message logging. Support for both internet and UNIX domain sockets enables this utility to support both local and remote logging. Coupling this utility with "gnutls" (which is a secure communications library implementing the SSL, TLS, and DTLS protocols) provides a method to securely encrypt and offload auditing.</t>
    </r>
    <r>
      <rPr>
        <sz val="11"/>
        <color rgb="FF000000"/>
        <rFont val="Calibri"/>
      </rPr>
      <t xml:space="preserve">
</t>
    </r>
    <r>
      <rPr>
        <sz val="11"/>
        <color rgb="FF000000"/>
        <rFont val="Calibri"/>
      </rPr>
      <t>Satisfies: SRG-OS-000342-GPOS-00133, SRG-OS-000479-GPOS-00224</t>
    </r>
  </si>
  <si>
    <r>
      <rPr>
        <sz val="11"/>
        <color rgb="FF000000"/>
        <rFont val="Calibri"/>
      </rPr>
      <t xml:space="preserve">Verify the operating system encrypts audit records offloaded onto a different system or media from the system being audited with the following commands: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grep -i '$DefaultNetstreamDriver' /etc/rsyslog.conf /etc/rsyslog.d/*.conf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/etc/rsyslog.conf:$DefaultNetstreamDriver gtls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value of the "$DefaultNetstreamDriver" option is not set to "gtls" or the line is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grep -i '$ActionSendStreamDriverMode' /etc/rsyslog.conf /etc/rsyslog.d/*.conf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/etc/rsyslog.conf:$ActionSendStreamDriverMode 1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value of the "$ActionSendStreamDriverMode" option is not set to "1" or the line is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neither of the definitions above are set, ask the System Administrator to indicate how the audit logs are offloaded to a different system or media.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there is no evidence that the transfer of the audit logs being offloaded to another system or media is encrypted, this is a finding.</t>
    </r>
  </si>
  <si>
    <t>V-248817</t>
  </si>
  <si>
    <r>
      <rPr>
        <sz val="11"/>
        <rFont val="Calibri"/>
      </rPr>
      <t>OL 8 must authenticate the remote logging server for offloading audit logs.</t>
    </r>
  </si>
  <si>
    <r>
      <rPr>
        <sz val="11"/>
        <color rgb="FF000000"/>
        <rFont val="Calibri"/>
      </rPr>
      <t xml:space="preserve">Configure the operating system to authenticate the remote logging server for off-loading audit logs by setting the following option in "/etc/rsyslog.conf" or "/etc/rsyslog.d/[customfile].conf":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$ActionSendStreamDriverAuthMode x509/name</t>
    </r>
  </si>
  <si>
    <r>
      <rPr>
        <sz val="11"/>
        <color rgb="FF000000"/>
        <rFont val="Calibri"/>
      </rPr>
      <t xml:space="preserve">Information stored in one location is vulnerable to accidental or incidental deletion or alteration.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Off-loading is a common process in information systems with limited audit storage capacity.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OL 8 installation media provides "rsyslogd". This is a system utility providing support for message logging. Support for both internet and Unix domain sockets enables this utility to support both local and remote logging. Coupling this utility with "gnutls" (which is a secure communications library implementing the SSL, TLS and DTLS protocols) provides a method to securely encrypt and offload auditing.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"Rsyslog" supported authentication modes include the following: </t>
    </r>
    <r>
      <rPr>
        <sz val="11"/>
        <color rgb="FF000000"/>
        <rFont val="Calibri"/>
      </rPr>
      <t xml:space="preserve">
</t>
    </r>
    <r>
      <rPr>
        <sz val="11"/>
        <color rgb="FF000000"/>
        <rFont val="Calibri"/>
      </rPr>
      <t xml:space="preserve">anon - anonymous authentication </t>
    </r>
    <r>
      <rPr>
        <sz val="11"/>
        <color rgb="FF000000"/>
        <rFont val="Calibri"/>
      </rPr>
      <t xml:space="preserve">
</t>
    </r>
    <r>
      <rPr>
        <sz val="11"/>
        <color rgb="FF000000"/>
        <rFont val="Calibri"/>
      </rPr>
      <t xml:space="preserve">x509/fingerprint - certificate fingerprint authentication </t>
    </r>
    <r>
      <rPr>
        <sz val="11"/>
        <color rgb="FF000000"/>
        <rFont val="Calibri"/>
      </rPr>
      <t xml:space="preserve">
</t>
    </r>
    <r>
      <rPr>
        <sz val="11"/>
        <color rgb="FF000000"/>
        <rFont val="Calibri"/>
      </rPr>
      <t xml:space="preserve">x509/certvalid - certificate validation only </t>
    </r>
    <r>
      <rPr>
        <sz val="11"/>
        <color rgb="FF000000"/>
        <rFont val="Calibri"/>
      </rPr>
      <t xml:space="preserve">
</t>
    </r>
    <r>
      <rPr>
        <sz val="11"/>
        <color rgb="FF000000"/>
        <rFont val="Calibri"/>
      </rPr>
      <t>x509/name - certificate validation and subject name authentication</t>
    </r>
    <r>
      <rPr>
        <sz val="11"/>
        <color rgb="FF000000"/>
        <rFont val="Calibri"/>
      </rPr>
      <t xml:space="preserve">
</t>
    </r>
    <r>
      <rPr>
        <sz val="11"/>
        <color rgb="FF000000"/>
        <rFont val="Calibri"/>
      </rPr>
      <t>Satisfies: SRG-OS-000342-GPOS-00133, SRG-OS-000479-GPOS-00224</t>
    </r>
  </si>
  <si>
    <r>
      <rPr>
        <sz val="11"/>
        <color rgb="FF000000"/>
        <rFont val="Calibri"/>
      </rPr>
      <t xml:space="preserve">Verify the operating system authenticates the remote logging server for offloading audit logs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grep -i '$ActionSendStreamDriverAuthMode' /etc/rsyslog.conf /etc/rsyslog.d/*.conf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/etc/rsyslog.conf:$ActionSendStreamDriverAuthMode x509/name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value of the "$ActionSendStreamDriverAuthMode" option is not set to "x509/name" or the line is commented out, ask the system administrator to indicate how the audit logs are offloaded to a different system or media.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variable name "StreamDriverAuthMode" is present in an omfwd statement block, this is not a finding. However, if the "StreamDriverAuthMode" variable is in a module block, this is a finding.</t>
    </r>
    <r>
      <rPr>
        <sz val="11"/>
        <color rgb="FF000000"/>
        <rFont val="Calibri"/>
      </rPr>
      <t xml:space="preserve">
</t>
    </r>
    <r>
      <rPr>
        <sz val="11"/>
        <color rgb="FF000000"/>
        <rFont val="Calibri"/>
      </rPr>
      <t>If there is no evidence that the transfer of the audit logs being offloaded to another system or media is encrypted, this is a finding.</t>
    </r>
  </si>
  <si>
    <t>V-248818</t>
  </si>
  <si>
    <r>
      <rPr>
        <sz val="11"/>
        <rFont val="Calibri"/>
      </rPr>
      <t>OL 8 must take action when allocated audit record storage volume reaches 75 percent of the repository maximum audit record storage capacity.</t>
    </r>
  </si>
  <si>
    <r>
      <rPr>
        <sz val="11"/>
        <color rgb="FF000000"/>
        <rFont val="Calibri"/>
      </rPr>
      <t>Configure OL 8 to initiate an action to notify the SA and ISSO (at a minimum) when allocated audit record storage volume reaches (at most) 75 percent of the repository maximum audit record storage capacity by adding/modifying the following line in the /etc/audit/auditd.conf file.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space_left = 25%</t>
    </r>
  </si>
  <si>
    <r>
      <rPr>
        <sz val="11"/>
        <color rgb="FF000000"/>
        <rFont val="Calibri"/>
      </rPr>
      <t>If security personnel are not notified immediately when storage volume reaches a maximum of 75 percent utilization, they are unable to plan for audit record storage capacity expansion. The notification can be set to trigger at lower utilization thresholds at the information system security officer's (ISSO's) discretion.</t>
    </r>
  </si>
  <si>
    <r>
      <rPr>
        <sz val="11"/>
        <color rgb="FF000000"/>
        <rFont val="Calibri"/>
      </rPr>
      <t xml:space="preserve">Verify OL 8 takes action when allocated audit record storage volume reaches 75 percent of the repository maximum audit record storage capacity with the following commands: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grep -w space_left /etc/audit/auditd.conf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space_left = 25%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value of the "space_left" keyword is not set to 25 percent or greater of the storage volume allocated to audit logs, or if the line is commented out, ask the system administrator (SA) to indicate how the system is providing real-time alerts to the SA and ISSO. If the "space_left" value is not configured to the value 25 percent or more,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there is no evidence that real-time alerts are configured on the system, this is a finding.</t>
    </r>
  </si>
  <si>
    <t>V-248819</t>
  </si>
  <si>
    <r>
      <rPr>
        <sz val="11"/>
        <rFont val="Calibri"/>
      </rPr>
      <t>OL 8 must notify the System Administrator (SA) and Information System Security Officer (ISSO) (at a minimum) when allocated audit record storage volume 75 percent utilization.</t>
    </r>
  </si>
  <si>
    <r>
      <rPr>
        <sz val="11"/>
        <color rgb="FF000000"/>
        <rFont val="Calibri"/>
      </rPr>
      <t>Configure the operating system to initiate an action to notify the SA and ISSO (at a minimum) when allocated audit record storage volume reaches 75 percent of the repository maximum audit record storage capacity by adding/modifying the following line in the /etc/audit/auditd.conf file.</t>
    </r>
    <r>
      <rPr>
        <sz val="11"/>
        <color rgb="FF000000"/>
        <rFont val="Calibri"/>
      </rPr>
      <t xml:space="preserve">
</t>
    </r>
    <r>
      <rPr>
        <sz val="11"/>
        <color rgb="FF000000"/>
        <rFont val="Calibri"/>
      </rPr>
      <t>space_left_action = email</t>
    </r>
    <r>
      <rPr>
        <sz val="11"/>
        <color rgb="FF000000"/>
        <rFont val="Calibri"/>
      </rPr>
      <t xml:space="preserve">
</t>
    </r>
    <r>
      <rPr>
        <sz val="11"/>
        <color rgb="FF000000"/>
        <rFont val="Calibri"/>
      </rPr>
      <t>Note: Option names and values in the auditd.conf file are case insensitive.</t>
    </r>
  </si>
  <si>
    <r>
      <rPr>
        <sz val="11"/>
        <color rgb="FF000000"/>
        <rFont val="Calibri"/>
      </rPr>
      <t>If security personnel are not notified immediately when storage volume reaches 75 percent utilization, they are unable to plan for audit record storage capacity expansion.</t>
    </r>
  </si>
  <si>
    <r>
      <rPr>
        <sz val="11"/>
        <color rgb="FF000000"/>
        <rFont val="Calibri"/>
      </rPr>
      <t>Verify OL 8 notifies the SA and ISSO (at a minimum) when allocated audit record storage volume reaches 75 percent of the repository maximum audit record storage capacity with the following command:</t>
    </r>
    <r>
      <rPr>
        <sz val="11"/>
        <color rgb="FF000000"/>
        <rFont val="Calibri"/>
      </rPr>
      <t xml:space="preserve">
</t>
    </r>
    <r>
      <rPr>
        <sz val="11"/>
        <color rgb="FF000000"/>
        <rFont val="Calibri"/>
      </rPr>
      <t>$ sudo grep -w space_left_action /etc/audit/auditd.conf</t>
    </r>
    <r>
      <rPr>
        <sz val="11"/>
        <color rgb="FF000000"/>
        <rFont val="Calibri"/>
      </rPr>
      <t xml:space="preserve">
</t>
    </r>
    <r>
      <rPr>
        <sz val="11"/>
        <color rgb="FF000000"/>
        <rFont val="Calibri"/>
      </rPr>
      <t>space_left_action = email</t>
    </r>
    <r>
      <rPr>
        <sz val="11"/>
        <color rgb="FF000000"/>
        <rFont val="Calibri"/>
      </rPr>
      <t xml:space="preserve">
</t>
    </r>
    <r>
      <rPr>
        <sz val="11"/>
        <color rgb="FF000000"/>
        <rFont val="Calibri"/>
      </rPr>
      <t>If the value of the "space_left_action" is not set to "email", or if the line is commented out, ask the System Administrator to indicate how the system is providing real-time alerts to the SA and ISSO.</t>
    </r>
    <r>
      <rPr>
        <sz val="11"/>
        <color rgb="FF000000"/>
        <rFont val="Calibri"/>
      </rPr>
      <t xml:space="preserve">
</t>
    </r>
    <r>
      <rPr>
        <sz val="11"/>
        <color rgb="FF000000"/>
        <rFont val="Calibri"/>
      </rPr>
      <t>If there is no evidence that real-time alerts are configured on the system, this is a finding.</t>
    </r>
  </si>
  <si>
    <t>V-248820</t>
  </si>
  <si>
    <r>
      <rPr>
        <sz val="11"/>
        <rFont val="Calibri"/>
      </rPr>
      <t>OL 8 must compare internal information system clocks at least every 24 hours with a server synchronized to an authoritative time source, such as the United States Naval Observatory (USNO) time servers, or a time server designated for the appropriate DOD network (NIPRNet/SIPRNet), and/or the Global Positioning System (GPS).</t>
    </r>
  </si>
  <si>
    <r>
      <rPr>
        <sz val="11"/>
        <color rgb="FF000000"/>
        <rFont val="Calibri"/>
      </rPr>
      <t xml:space="preserve">Configure OL 8 to compare internal information system clocks at least every 24 hours with an NTP server by adding/modifying the following line in the "/etc/chrony.conf"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server [ntp.server.name] iburst maxpoll 16</t>
    </r>
  </si>
  <si>
    <r>
      <rPr>
        <sz val="11"/>
        <color rgb="FF000000"/>
        <rFont val="Calibri"/>
      </rPr>
      <t xml:space="preserve">Inaccurate time stamps make it more difficult to correlate events and can lead to an inaccurate analysis. Determining the correct time a particular event occurred on a system is critical when conducting forensic analysis and investigating system events. Sources outside the configured acceptable allowance (drift) may be inaccurate.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Synchronizing internal information system clocks provides uniformity of time stamps for information systems with multiple system clocks and systems connected over a network.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Organizations should consider endpoints that may not have regular access to the authoritative time server (e.g., mobile, teleworking, and tactical endpoints).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time stamps are not consistently applied and there is no common time reference, it is difficult to perform forensic analysis.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Time stamps generated by the operating system include date and time. Time is commonly expressed in Coordinated Universal Time (UTC), a modern continuation of Greenwich Mean Time (GMT), or local time with an offset from UTC.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OL 8 uses the "timedatectl" command to view the status of the "systemd-timesyncd.service". The "timedatectl" status will display the local time, UTC, and the offset from UTC.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that USNO offers authenticated NTP service to DOD and U.S. Government agencies operating on the NIPR and SIPR networks. Visit https://www.usno.navy.mil/USNO/time/ntp/dod-customers for more information.</t>
    </r>
    <r>
      <rPr>
        <sz val="11"/>
        <color rgb="FF000000"/>
        <rFont val="Calibri"/>
      </rPr>
      <t xml:space="preserve">
</t>
    </r>
    <r>
      <rPr>
        <sz val="11"/>
        <color rgb="FF000000"/>
        <rFont val="Calibri"/>
      </rPr>
      <t>Satisfies: SRG-OS-000355-GPOS-00143, SRG-OS-000356-GPOS-00144, SRG-OS-000359-GPOS-00146</t>
    </r>
  </si>
  <si>
    <r>
      <rPr>
        <sz val="11"/>
        <color rgb="FF000000"/>
        <rFont val="Calibri"/>
      </rPr>
      <t xml:space="preserve">Verify OL 8 is comparing internal information system clocks at least every 24 hours with an NTP server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grep maxpoll /etc/chrony.conf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server [ntp.server.name] iburst maxpoll 16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"maxpoll" option is set to a number greater than "16" or the line is commented out, this is a finding.</t>
    </r>
  </si>
  <si>
    <t>V-248821</t>
  </si>
  <si>
    <r>
      <rPr>
        <sz val="11"/>
        <rFont val="Calibri"/>
      </rPr>
      <t>OL 8 must disable the chrony daemon from acting as a server.</t>
    </r>
  </si>
  <si>
    <r>
      <rPr>
        <sz val="11"/>
        <color rgb="FF000000"/>
        <rFont val="Calibri"/>
      </rPr>
      <t xml:space="preserve">Configure OL 8 to disable the chrony daemon from acting as a server by adding or modifying the following line in the "/etc/chrony.conf"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port 0</t>
    </r>
  </si>
  <si>
    <r>
      <rPr>
        <sz val="11"/>
        <color rgb="FF000000"/>
        <rFont val="Calibri"/>
      </rPr>
      <t xml:space="preserve">Inaccurate time stamps make it more difficult to correlate events and can lead to an inaccurate analysis. Determining the correct time a particular event occurred on a system is critical when conducting forensic analysis and investigating system events. Sources outside the configured acceptable allowance (drift) may be inaccurate.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Minimizing the exposure of the server functionality of the chrony daemon diminishes the attack surface.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that USNO offers authenticated NTP service to DOD and U.S. Government agencies operating on the NIPR and SIPR networks. Visit https://www.usno.navy.mil/USNO/time/ntp/DOD-customers for more information.</t>
    </r>
  </si>
  <si>
    <r>
      <rPr>
        <sz val="11"/>
        <color rgb="FF000000"/>
        <rFont val="Calibri"/>
      </rPr>
      <t>Note: If the system is approved and documented by the information system security officer (ISSO) to function as an NTP time server, this requirement is Not Applicable.</t>
    </r>
    <r>
      <rPr>
        <sz val="11"/>
        <color rgb="FF000000"/>
        <rFont val="Calibri"/>
      </rPr>
      <t xml:space="preserve">
</t>
    </r>
    <r>
      <rPr>
        <sz val="11"/>
        <color rgb="FF000000"/>
        <rFont val="Calibri"/>
      </rPr>
      <t xml:space="preserve">Verify OL 8 disables the chrony daemon from acting as a server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grep -w 'port' /etc/chrony.conf </t>
    </r>
    <r>
      <rPr>
        <sz val="11"/>
        <color rgb="FF000000"/>
        <rFont val="Calibri"/>
      </rPr>
      <t xml:space="preserve">
</t>
    </r>
    <r>
      <rPr>
        <sz val="11"/>
        <color rgb="FF000000"/>
        <rFont val="Calibri"/>
      </rPr>
      <t xml:space="preserve">     port 0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"port" option is not set to "0" or is commented out or missing, this is a finding.</t>
    </r>
  </si>
  <si>
    <t>V-248822</t>
  </si>
  <si>
    <r>
      <rPr>
        <sz val="11"/>
        <rFont val="Calibri"/>
      </rPr>
      <t>OL 8 must disable network management of the chrony daemon.</t>
    </r>
  </si>
  <si>
    <r>
      <rPr>
        <sz val="11"/>
        <color rgb="FF000000"/>
        <rFont val="Calibri"/>
      </rPr>
      <t xml:space="preserve">Configure OL 8 to disable network management of the chrony daemon by adding or modifying the following line in the "/etc/chrony.conf"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cmdport 0</t>
    </r>
  </si>
  <si>
    <r>
      <rPr>
        <sz val="11"/>
        <color rgb="FF000000"/>
        <rFont val="Calibri"/>
      </rPr>
      <t>Note: If the system is approved and documented by the information system security officer (ISSO) to function as an NTP time server, this requirement is Not Applicable.</t>
    </r>
    <r>
      <rPr>
        <sz val="11"/>
        <color rgb="FF000000"/>
        <rFont val="Calibri"/>
      </rPr>
      <t xml:space="preserve">
</t>
    </r>
    <r>
      <rPr>
        <sz val="11"/>
        <color rgb="FF000000"/>
        <rFont val="Calibri"/>
      </rPr>
      <t xml:space="preserve">Verify OL 8 disables network management of the chrony daemon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grep -w 'cmdport' /etc/chrony.conf </t>
    </r>
    <r>
      <rPr>
        <sz val="11"/>
        <color rgb="FF000000"/>
        <rFont val="Calibri"/>
      </rPr>
      <t xml:space="preserve">
</t>
    </r>
    <r>
      <rPr>
        <sz val="11"/>
        <color rgb="FF000000"/>
        <rFont val="Calibri"/>
      </rPr>
      <t xml:space="preserve">     cmdport 0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"cmdport" option is not set to "0" or is commented out or missing, this is a finding.</t>
    </r>
  </si>
  <si>
    <t>V-248823</t>
  </si>
  <si>
    <r>
      <rPr>
        <sz val="11"/>
        <rFont val="Calibri"/>
      </rPr>
      <t>OL 8 must not have the telnet-server package installed.</t>
    </r>
  </si>
  <si>
    <r>
      <rPr>
        <sz val="11"/>
        <color rgb="FF000000"/>
        <rFont val="Calibri"/>
      </rPr>
      <t xml:space="preserve">Configure OL 8 to disable non-essential capabilities by removing the telnet-server package from the system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yum remove telnet-server</t>
    </r>
  </si>
  <si>
    <r>
      <rPr>
        <sz val="11"/>
        <color rgb="FF000000"/>
        <rFont val="Calibri"/>
      </rPr>
      <t xml:space="preserve">It is detrimental for operating systems to provide, or install by default, functionality exceeding requirements or mission objectives. These unnecessary capabilities or services are often overlooked and therefore may remain unsecured. They increase the risk to the platform by providing additional attack vectors.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Operating systems are capable of providing a wide variety of functions and services. Some of the functions and services, provided by default, may not be necessary to support essential organizational operations (e.g., key missions, functions).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Examples of non-essential capabilities include but are not limited to games, software packages, tools, and demonstration software not related to requirements or providing a wide array of functionality not required for every mission, but which cannot be disabled.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Verify the operating system is configured to disable non-essential capabilities. The most secure way of ensuring a non-essential capability is disabled is to not have the capability installed.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The telnet service provides an unencrypted remote access service that does not provide for the confidentiality and integrity of user passwords or the remote session.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 privileged user were to log on using this service, the privileged user password could be compromised.</t>
    </r>
  </si>
  <si>
    <r>
      <rPr>
        <sz val="11"/>
        <color rgb="FF000000"/>
        <rFont val="Calibri"/>
      </rPr>
      <t xml:space="preserve">Determine if the telnet-server package is installed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yum list installed telnet-server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telnet-server package is installed, this is a finding.</t>
    </r>
  </si>
  <si>
    <t>V-248824</t>
  </si>
  <si>
    <r>
      <rPr>
        <sz val="11"/>
        <rFont val="Calibri"/>
      </rPr>
      <t>OL 8 must not have any automated bug reporting tools installed.</t>
    </r>
  </si>
  <si>
    <r>
      <rPr>
        <sz val="11"/>
        <color rgb="FF000000"/>
        <rFont val="Calibri"/>
      </rPr>
      <t>Configure the operating system to disable non-essential capabilities by removing automated bug reporting packages from the system with the following command:</t>
    </r>
    <r>
      <rPr>
        <sz val="11"/>
        <color rgb="FF000000"/>
        <rFont val="Calibri"/>
      </rPr>
      <t xml:space="preserve">
</t>
    </r>
    <r>
      <rPr>
        <sz val="11"/>
        <color rgb="FF000000"/>
        <rFont val="Calibri"/>
      </rPr>
      <t>$ sudo yum remove abrt*</t>
    </r>
  </si>
  <si>
    <r>
      <rPr>
        <sz val="11"/>
        <color rgb="FF000000"/>
        <rFont val="Calibri"/>
      </rPr>
      <t xml:space="preserve">It is detrimental for operating systems to provide, or install by default, functionality exceeding requirements or mission objectives. These unnecessary capabilities or services are often overlooked and therefore may remain unsecured. They increase the risk to the platform by providing additional attack vectors.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Operating systems are capable of providing a wide variety of functions and services. Some of the functions and services, provided by default, may not be necessary to support essential organizational operations (e.g., key missions, functions).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Examples of non-essential capabilities include but are not limited to games, software packages, tools, and demonstration software not related to requirements or providing a wide array of functionality not required for every mission, but which cannot be disabled.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Verify the operating system is configured to disable non-essential capabilities. The most secure way of ensuring a non-essential capability is disabled is to not have the capability installed.</t>
    </r>
  </si>
  <si>
    <r>
      <rPr>
        <sz val="11"/>
        <color rgb="FF000000"/>
        <rFont val="Calibri"/>
      </rPr>
      <t>Determine if any automated bug reporting packages are installed with the following command:</t>
    </r>
    <r>
      <rPr>
        <sz val="11"/>
        <color rgb="FF000000"/>
        <rFont val="Calibri"/>
      </rPr>
      <t xml:space="preserve">
</t>
    </r>
    <r>
      <rPr>
        <sz val="11"/>
        <color rgb="FF000000"/>
        <rFont val="Calibri"/>
      </rPr>
      <t>$ sudo yum list installed abrt*</t>
    </r>
    <r>
      <rPr>
        <sz val="11"/>
        <color rgb="FF000000"/>
        <rFont val="Calibri"/>
      </rPr>
      <t xml:space="preserve">
</t>
    </r>
    <r>
      <rPr>
        <sz val="11"/>
        <color rgb="FF000000"/>
        <rFont val="Calibri"/>
      </rPr>
      <t>If any automated bug reporting package is installed, this is a finding.</t>
    </r>
  </si>
  <si>
    <t>V-248825</t>
  </si>
  <si>
    <r>
      <rPr>
        <sz val="11"/>
        <rFont val="Calibri"/>
      </rPr>
      <t>OL 8 must not have the sendmail package installed.</t>
    </r>
  </si>
  <si>
    <r>
      <rPr>
        <sz val="11"/>
        <color rgb="FF000000"/>
        <rFont val="Calibri"/>
      </rPr>
      <t>Configure the operating system to disable non-essential capabilities by removing the sendmail package from the system with the following command:</t>
    </r>
    <r>
      <rPr>
        <sz val="11"/>
        <color rgb="FF000000"/>
        <rFont val="Calibri"/>
      </rPr>
      <t xml:space="preserve">
</t>
    </r>
    <r>
      <rPr>
        <sz val="11"/>
        <color rgb="FF000000"/>
        <rFont val="Calibri"/>
      </rPr>
      <t>$ sudo yum remove sendmail</t>
    </r>
  </si>
  <si>
    <r>
      <rPr>
        <sz val="11"/>
        <color rgb="FF000000"/>
        <rFont val="Calibri"/>
      </rPr>
      <t>Determine if the sendmail package is installed with the following command:</t>
    </r>
    <r>
      <rPr>
        <sz val="11"/>
        <color rgb="FF000000"/>
        <rFont val="Calibri"/>
      </rPr>
      <t xml:space="preserve">
</t>
    </r>
    <r>
      <rPr>
        <sz val="11"/>
        <color rgb="FF000000"/>
        <rFont val="Calibri"/>
      </rPr>
      <t>$ sudo yum list installed sendmail</t>
    </r>
    <r>
      <rPr>
        <sz val="11"/>
        <color rgb="FF000000"/>
        <rFont val="Calibri"/>
      </rPr>
      <t xml:space="preserve">
</t>
    </r>
    <r>
      <rPr>
        <sz val="11"/>
        <color rgb="FF000000"/>
        <rFont val="Calibri"/>
      </rPr>
      <t>If the sendmail package is installed, this is a finding.</t>
    </r>
  </si>
  <si>
    <t>V-248826</t>
  </si>
  <si>
    <r>
      <rPr>
        <sz val="11"/>
        <rFont val="Calibri"/>
      </rPr>
      <t>OL 8 must enable mitigations against processor-based vulnerabilities.</t>
    </r>
  </si>
  <si>
    <r>
      <rPr>
        <sz val="11"/>
        <color rgb="FF000000"/>
        <rFont val="Calibri"/>
      </rPr>
      <t>Configure OL 8 to enable kernel page-table isolation with the following command:</t>
    </r>
    <r>
      <rPr>
        <sz val="11"/>
        <color rgb="FF000000"/>
        <rFont val="Calibri"/>
      </rPr>
      <t xml:space="preserve">
</t>
    </r>
    <r>
      <rPr>
        <sz val="11"/>
        <color rgb="FF000000"/>
        <rFont val="Calibri"/>
      </rPr>
      <t>$ sudo grubby --update-kernel=ALL --args="pti=on"</t>
    </r>
    <r>
      <rPr>
        <sz val="11"/>
        <color rgb="FF000000"/>
        <rFont val="Calibri"/>
      </rPr>
      <t xml:space="preserve">
</t>
    </r>
    <r>
      <rPr>
        <sz val="11"/>
        <color rgb="FF000000"/>
        <rFont val="Calibri"/>
      </rPr>
      <t>Add or modify the following line in "/etc/default/grub" to ensure the configuration survives kernel updates:</t>
    </r>
    <r>
      <rPr>
        <sz val="11"/>
        <color rgb="FF000000"/>
        <rFont val="Calibri"/>
      </rPr>
      <t xml:space="preserve">
</t>
    </r>
    <r>
      <rPr>
        <sz val="11"/>
        <color rgb="FF000000"/>
        <rFont val="Calibri"/>
      </rPr>
      <t>GRUB_CMDLINE_LINUX="pti=on"</t>
    </r>
  </si>
  <si>
    <r>
      <rPr>
        <sz val="11"/>
        <color rgb="FF000000"/>
        <rFont val="Calibri"/>
      </rPr>
      <t>It is detrimental for operating systems to provide, or install by default, functionality exceeding requirements or mission objectives. These unnecessary capabilities or services are often overlooked and therefore may remain unsecured. They increase the risk to the platform by providing additional attack vectors.</t>
    </r>
    <r>
      <rPr>
        <sz val="11"/>
        <color rgb="FF000000"/>
        <rFont val="Calibri"/>
      </rPr>
      <t xml:space="preserve">
</t>
    </r>
    <r>
      <rPr>
        <sz val="11"/>
        <color rgb="FF000000"/>
        <rFont val="Calibri"/>
      </rPr>
      <t>Operating systems are capable of providing a wide variety of functions and services. Some of the functions and services, provided by default, may not be necessary to support essential organizational operations (e.g., key missions, functions).</t>
    </r>
    <r>
      <rPr>
        <sz val="11"/>
        <color rgb="FF000000"/>
        <rFont val="Calibri"/>
      </rPr>
      <t xml:space="preserve">
</t>
    </r>
    <r>
      <rPr>
        <sz val="11"/>
        <color rgb="FF000000"/>
        <rFont val="Calibri"/>
      </rPr>
      <t>Examples of non-essential capabilities include, but are not limited to, games, software packages, tools, and demonstration software not related to requirements or providing a wide array of functionality not required for every mission, but which cannot be disabled.</t>
    </r>
    <r>
      <rPr>
        <sz val="11"/>
        <color rgb="FF000000"/>
        <rFont val="Calibri"/>
      </rPr>
      <t xml:space="preserve">
</t>
    </r>
    <r>
      <rPr>
        <sz val="11"/>
        <color rgb="FF000000"/>
        <rFont val="Calibri"/>
      </rPr>
      <t>Verify the operating system is configured to disable non-essential capabilities. The most secure way of ensuring a non-essential capability is disabled is to not have the capability installed.</t>
    </r>
    <r>
      <rPr>
        <sz val="11"/>
        <color rgb="FF000000"/>
        <rFont val="Calibri"/>
      </rPr>
      <t xml:space="preserve">
</t>
    </r>
    <r>
      <rPr>
        <sz val="11"/>
        <color rgb="FF000000"/>
        <rFont val="Calibri"/>
      </rPr>
      <t>Kernel page-table isolation is a kernel feature that mitigates the Meltdown security vulnerability and hardens the kernel against attempts to bypass kernel address space layout randomization (KASLR).</t>
    </r>
  </si>
  <si>
    <r>
      <rPr>
        <sz val="11"/>
        <color rgb="FF000000"/>
        <rFont val="Calibri"/>
      </rPr>
      <t>Verify OL 8 enables kernel page-table isolation with the following commands:</t>
    </r>
    <r>
      <rPr>
        <sz val="11"/>
        <color rgb="FF000000"/>
        <rFont val="Calibri"/>
      </rPr>
      <t xml:space="preserve">
</t>
    </r>
    <r>
      <rPr>
        <sz val="11"/>
        <color rgb="FF000000"/>
        <rFont val="Calibri"/>
      </rPr>
      <t>$ sudo grub2-editenv list | grep pti</t>
    </r>
    <r>
      <rPr>
        <sz val="11"/>
        <color rgb="FF000000"/>
        <rFont val="Calibri"/>
      </rPr>
      <t xml:space="preserve">
</t>
    </r>
    <r>
      <rPr>
        <sz val="11"/>
        <color rgb="FF000000"/>
        <rFont val="Calibri"/>
      </rPr>
      <t>kernelopts=root=/dev/mapper/ol-root ro crashkernel=auto resume=/dev/mapper/ol-swap rd.lvm.lv=ol/root rd.lvm.lv=ol/swap rhgb quiet fips=1 audit=1 audit_backlog_limit=8192 pti=on boot=UUID=8d171156-cd61-421c-ba41-1c021ac29e82</t>
    </r>
    <r>
      <rPr>
        <sz val="11"/>
        <color rgb="FF000000"/>
        <rFont val="Calibri"/>
      </rPr>
      <t xml:space="preserve">
</t>
    </r>
    <r>
      <rPr>
        <sz val="11"/>
        <color rgb="FF000000"/>
        <rFont val="Calibri"/>
      </rPr>
      <t>If the "pti" entry does not equal "on", is missing, or the line is commented out, this is a finding.</t>
    </r>
    <r>
      <rPr>
        <sz val="11"/>
        <color rgb="FF000000"/>
        <rFont val="Calibri"/>
      </rPr>
      <t xml:space="preserve">
</t>
    </r>
    <r>
      <rPr>
        <sz val="11"/>
        <color rgb="FF000000"/>
        <rFont val="Calibri"/>
      </rPr>
      <t xml:space="preserve">Check that kernel page-table isolation is enabled by default to persist in kernel updates: </t>
    </r>
    <r>
      <rPr>
        <sz val="11"/>
        <color rgb="FF000000"/>
        <rFont val="Calibri"/>
      </rPr>
      <t xml:space="preserve">
</t>
    </r>
    <r>
      <rPr>
        <sz val="11"/>
        <color rgb="FF000000"/>
        <rFont val="Calibri"/>
      </rPr>
      <t>$ sudo grep pti /etc/default/grub</t>
    </r>
    <r>
      <rPr>
        <sz val="11"/>
        <color rgb="FF000000"/>
        <rFont val="Calibri"/>
      </rPr>
      <t xml:space="preserve">
</t>
    </r>
    <r>
      <rPr>
        <sz val="11"/>
        <color rgb="FF000000"/>
        <rFont val="Calibri"/>
      </rPr>
      <t>GRUB_CMDLINE_LINUX="pti=on"</t>
    </r>
    <r>
      <rPr>
        <sz val="11"/>
        <color rgb="FF000000"/>
        <rFont val="Calibri"/>
      </rPr>
      <t xml:space="preserve">
</t>
    </r>
    <r>
      <rPr>
        <sz val="11"/>
        <color rgb="FF000000"/>
        <rFont val="Calibri"/>
      </rPr>
      <t>If "pti" is not set to "on", is missing or commented out, this is a finding.</t>
    </r>
  </si>
  <si>
    <t>V-248827</t>
  </si>
  <si>
    <r>
      <rPr>
        <sz val="11"/>
        <rFont val="Calibri"/>
      </rPr>
      <t>OL 8 must not install packages from the Extra Packages for Enterprise Linux (EPEL) repository.</t>
    </r>
  </si>
  <si>
    <r>
      <rPr>
        <sz val="11"/>
        <color rgb="FF000000"/>
        <rFont val="Calibri"/>
      </rPr>
      <t>The repo package can be manually removed with the following command:</t>
    </r>
    <r>
      <rPr>
        <sz val="11"/>
        <color rgb="FF000000"/>
        <rFont val="Calibri"/>
      </rPr>
      <t xml:space="preserve">
</t>
    </r>
    <r>
      <rPr>
        <sz val="11"/>
        <color rgb="FF000000"/>
        <rFont val="Calibri"/>
      </rPr>
      <t>$ sudo dnf remove epel-release</t>
    </r>
    <r>
      <rPr>
        <sz val="11"/>
        <color rgb="FF000000"/>
        <rFont val="Calibri"/>
      </rPr>
      <t xml:space="preserve">
</t>
    </r>
    <r>
      <rPr>
        <sz val="11"/>
        <color rgb="FF000000"/>
        <rFont val="Calibri"/>
      </rPr>
      <t>Configure OL 8 to disable use of the EPEL repository with the following command:</t>
    </r>
    <r>
      <rPr>
        <sz val="11"/>
        <color rgb="FF000000"/>
        <rFont val="Calibri"/>
      </rPr>
      <t xml:space="preserve">
</t>
    </r>
    <r>
      <rPr>
        <sz val="11"/>
        <color rgb="FF000000"/>
        <rFont val="Calibri"/>
      </rPr>
      <t>$ sudo dnf config-manager --set-disabled epel</t>
    </r>
  </si>
  <si>
    <r>
      <rPr>
        <sz val="11"/>
        <color rgb="FF000000"/>
        <rFont val="Calibri"/>
      </rPr>
      <t>The EPEL is a repository of high-quality open-source packages for enterprise-class Linux distributions such as RHEL, CentOS, AlmaLinux, Rocky Linux, and Oracle Linux. These packages are not part of the official distribution but are built using the same Fedora build system to ensure compatibility and maintain quality standards.</t>
    </r>
  </si>
  <si>
    <r>
      <rPr>
        <sz val="11"/>
        <color rgb="FF000000"/>
        <rFont val="Calibri"/>
      </rPr>
      <t>Verify that OL 8 is not able to install packages from the EPEL with the following command:</t>
    </r>
    <r>
      <rPr>
        <sz val="11"/>
        <color rgb="FF000000"/>
        <rFont val="Calibri"/>
      </rPr>
      <t xml:space="preserve">
</t>
    </r>
    <r>
      <rPr>
        <sz val="11"/>
        <color rgb="FF000000"/>
        <rFont val="Calibri"/>
      </rPr>
      <t>$ dnf repolist</t>
    </r>
    <r>
      <rPr>
        <sz val="11"/>
        <color rgb="FF000000"/>
        <rFont val="Calibri"/>
      </rPr>
      <t xml:space="preserve">
</t>
    </r>
    <r>
      <rPr>
        <sz val="11"/>
        <color rgb="FF000000"/>
        <rFont val="Calibri"/>
      </rPr>
      <t>repo id                         repo name</t>
    </r>
    <r>
      <rPr>
        <sz val="11"/>
        <color rgb="FF000000"/>
        <rFont val="Calibri"/>
      </rPr>
      <t xml:space="preserve">
</t>
    </r>
    <r>
      <rPr>
        <sz val="11"/>
        <color rgb="FF000000"/>
        <rFont val="Calibri"/>
      </rPr>
      <t>ol8_UEKR7                       Latest Unbreakable Enterprise Kernel Release 7 for Oracle Linux 8 (x86_64)</t>
    </r>
    <r>
      <rPr>
        <sz val="11"/>
        <color rgb="FF000000"/>
        <rFont val="Calibri"/>
      </rPr>
      <t xml:space="preserve">
</t>
    </r>
    <r>
      <rPr>
        <sz val="11"/>
        <color rgb="FF000000"/>
        <rFont val="Calibri"/>
      </rPr>
      <t>ol8_appstream                   Oracle Linux 8 Application Stream (x86_64)</t>
    </r>
    <r>
      <rPr>
        <sz val="11"/>
        <color rgb="FF000000"/>
        <rFont val="Calibri"/>
      </rPr>
      <t xml:space="preserve">
</t>
    </r>
    <r>
      <rPr>
        <sz val="11"/>
        <color rgb="FF000000"/>
        <rFont val="Calibri"/>
      </rPr>
      <t>ol8_baseos_latest               Oracle Linux 8 BaseOS Latest (x86_64)</t>
    </r>
    <r>
      <rPr>
        <sz val="11"/>
        <color rgb="FF000000"/>
        <rFont val="Calibri"/>
      </rPr>
      <t xml:space="preserve">
</t>
    </r>
    <r>
      <rPr>
        <sz val="11"/>
        <color rgb="FF000000"/>
        <rFont val="Calibri"/>
      </rPr>
      <t>If any repositories containing the word "epel" in the name exist, this is a finding.</t>
    </r>
  </si>
  <si>
    <t>V-248828</t>
  </si>
  <si>
    <r>
      <rPr>
        <sz val="11"/>
        <rFont val="Calibri"/>
      </rPr>
      <t>OL 8 must cover or disable the built-in or attached camera when not in use.</t>
    </r>
  </si>
  <si>
    <r>
      <rPr>
        <sz val="11"/>
        <color rgb="FF000000"/>
        <rFont val="Calibri"/>
      </rPr>
      <t>Configure OL 8 to disable the built-in or attached camera when not in use.</t>
    </r>
    <r>
      <rPr>
        <sz val="11"/>
        <color rgb="FF000000"/>
        <rFont val="Calibri"/>
      </rPr>
      <t xml:space="preserve">
</t>
    </r>
    <r>
      <rPr>
        <sz val="11"/>
        <color rgb="FF000000"/>
        <rFont val="Calibri"/>
      </rPr>
      <t>Build or modify the "/etc/modprobe.d/blacklist.conf" file by using the following example:</t>
    </r>
    <r>
      <rPr>
        <sz val="11"/>
        <color rgb="FF000000"/>
        <rFont val="Calibri"/>
      </rPr>
      <t xml:space="preserve">
</t>
    </r>
    <r>
      <rPr>
        <sz val="11"/>
        <color rgb="FF000000"/>
        <rFont val="Calibri"/>
      </rPr>
      <t xml:space="preserve">     install uvcvideo /bin/false</t>
    </r>
    <r>
      <rPr>
        <sz val="11"/>
        <color rgb="FF000000"/>
        <rFont val="Calibri"/>
      </rPr>
      <t xml:space="preserve">
</t>
    </r>
    <r>
      <rPr>
        <sz val="11"/>
        <color rgb="FF000000"/>
        <rFont val="Calibri"/>
      </rPr>
      <t xml:space="preserve">     blacklist uvcvideo</t>
    </r>
    <r>
      <rPr>
        <sz val="11"/>
        <color rgb="FF000000"/>
        <rFont val="Calibri"/>
      </rPr>
      <t xml:space="preserve">
</t>
    </r>
    <r>
      <rPr>
        <sz val="11"/>
        <color rgb="FF000000"/>
        <rFont val="Calibri"/>
      </rPr>
      <t>Reboot the system for the settings to take effect.</t>
    </r>
  </si>
  <si>
    <r>
      <rPr>
        <sz val="11"/>
        <color rgb="FF000000"/>
        <rFont val="Calibri"/>
      </rPr>
      <t xml:space="preserve">It is detrimental for operating systems to provide, or install by default, functionality exceeding requirements or mission objectives. These unnecessary capabilities or services are often overlooked and therefore may remain unsecured. They increase the risk to the platform by providing additional attack vectors.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Failing to disconnect from collaborative computing devices (i.e., cameras) can result in subsequent compromises of organizational information. Providing easy methods to physically disconnect from such devices after a collaborative computing session helps to ensure participants actually carry out the disconnect activity without having to go through complex and tedious procedures.</t>
    </r>
  </si>
  <si>
    <r>
      <rPr>
        <sz val="11"/>
        <color rgb="FF000000"/>
        <rFont val="Calibri"/>
      </rPr>
      <t>If the device or operating system does not have a camera installed, this requirement is not applicable.</t>
    </r>
    <r>
      <rPr>
        <sz val="11"/>
        <color rgb="FF000000"/>
        <rFont val="Calibri"/>
      </rPr>
      <t xml:space="preserve">
</t>
    </r>
    <r>
      <rPr>
        <sz val="11"/>
        <color rgb="FF000000"/>
        <rFont val="Calibri"/>
      </rPr>
      <t>This requirement is not applicable to mobile devices (smartphones and tablets), where the use of the camera is a local AO decision.</t>
    </r>
    <r>
      <rPr>
        <sz val="11"/>
        <color rgb="FF000000"/>
        <rFont val="Calibri"/>
      </rPr>
      <t xml:space="preserve">
</t>
    </r>
    <r>
      <rPr>
        <sz val="11"/>
        <color rgb="FF000000"/>
        <rFont val="Calibri"/>
      </rPr>
      <t>This requirement is not applicable to dedicated VTC suites located in approved VTC locations that are centrally managed.</t>
    </r>
    <r>
      <rPr>
        <sz val="11"/>
        <color rgb="FF000000"/>
        <rFont val="Calibri"/>
      </rPr>
      <t xml:space="preserve">
</t>
    </r>
    <r>
      <rPr>
        <sz val="11"/>
        <color rgb="FF000000"/>
        <rFont val="Calibri"/>
      </rPr>
      <t>For an external camera, if there is not a method for the operator to manually disconnect the camera at the end of collaborative computing sessions, this is a finding.</t>
    </r>
    <r>
      <rPr>
        <sz val="11"/>
        <color rgb="FF000000"/>
        <rFont val="Calibri"/>
      </rPr>
      <t xml:space="preserve">
</t>
    </r>
    <r>
      <rPr>
        <sz val="11"/>
        <color rgb="FF000000"/>
        <rFont val="Calibri"/>
      </rPr>
      <t>For a built-in camera, the camera must be protected by a camera cover (e.g., laptop camera cover slide) when not in use.</t>
    </r>
    <r>
      <rPr>
        <sz val="11"/>
        <color rgb="FF000000"/>
        <rFont val="Calibri"/>
      </rPr>
      <t xml:space="preserve">
</t>
    </r>
    <r>
      <rPr>
        <sz val="11"/>
        <color rgb="FF000000"/>
        <rFont val="Calibri"/>
      </rPr>
      <t>If the built-in camera is not protected with a camera cover or is not physically disabled, this is a finding.</t>
    </r>
    <r>
      <rPr>
        <sz val="11"/>
        <color rgb="FF000000"/>
        <rFont val="Calibri"/>
      </rPr>
      <t xml:space="preserve">
</t>
    </r>
    <r>
      <rPr>
        <sz val="11"/>
        <color rgb="FF000000"/>
        <rFont val="Calibri"/>
      </rPr>
      <t>If the camera is not disconnected, covered, or physically disabled, determine if it is being disabled via software with the following commands:</t>
    </r>
    <r>
      <rPr>
        <sz val="11"/>
        <color rgb="FF000000"/>
        <rFont val="Calibri"/>
      </rPr>
      <t xml:space="preserve">
</t>
    </r>
    <r>
      <rPr>
        <sz val="11"/>
        <color rgb="FF000000"/>
        <rFont val="Calibri"/>
      </rPr>
      <t>Verify the operating system disables the ability to load the uvcvideo kernel module.</t>
    </r>
    <r>
      <rPr>
        <sz val="11"/>
        <color rgb="FF000000"/>
        <rFont val="Calibri"/>
      </rPr>
      <t xml:space="preserve">
</t>
    </r>
    <r>
      <rPr>
        <sz val="11"/>
        <color rgb="FF000000"/>
        <rFont val="Calibri"/>
      </rPr>
      <t xml:space="preserve">     $ sudo grep -r uvcvideo /etc/modprobe.d/* | grep "/bin/false"</t>
    </r>
    <r>
      <rPr>
        <sz val="11"/>
        <color rgb="FF000000"/>
        <rFont val="Calibri"/>
      </rPr>
      <t xml:space="preserve">
</t>
    </r>
    <r>
      <rPr>
        <sz val="11"/>
        <color rgb="FF000000"/>
        <rFont val="Calibri"/>
      </rPr>
      <t xml:space="preserve">     install uvcvideo /bin/false</t>
    </r>
    <r>
      <rPr>
        <sz val="11"/>
        <color rgb="FF000000"/>
        <rFont val="Calibri"/>
      </rPr>
      <t xml:space="preserve">
</t>
    </r>
    <r>
      <rPr>
        <sz val="11"/>
        <color rgb="FF000000"/>
        <rFont val="Calibri"/>
      </rPr>
      <t>If the command does not return any output, or the line is commented out, and the collaborative computing device has not been authorized for use, this is a finding.</t>
    </r>
    <r>
      <rPr>
        <sz val="11"/>
        <color rgb="FF000000"/>
        <rFont val="Calibri"/>
      </rPr>
      <t xml:space="preserve">
</t>
    </r>
    <r>
      <rPr>
        <sz val="11"/>
        <color rgb="FF000000"/>
        <rFont val="Calibri"/>
      </rPr>
      <t>Verify the camera is disabled via blacklist with the following command:</t>
    </r>
    <r>
      <rPr>
        <sz val="11"/>
        <color rgb="FF000000"/>
        <rFont val="Calibri"/>
      </rPr>
      <t xml:space="preserve">
</t>
    </r>
    <r>
      <rPr>
        <sz val="11"/>
        <color rgb="FF000000"/>
        <rFont val="Calibri"/>
      </rPr>
      <t xml:space="preserve">     $ sudo grep -r uvcvideo /etc/modprobe.d/* | grep "blacklist"</t>
    </r>
    <r>
      <rPr>
        <sz val="11"/>
        <color rgb="FF000000"/>
        <rFont val="Calibri"/>
      </rPr>
      <t xml:space="preserve">
</t>
    </r>
    <r>
      <rPr>
        <sz val="11"/>
        <color rgb="FF000000"/>
        <rFont val="Calibri"/>
      </rPr>
      <t xml:space="preserve">     blacklist uvcvideo</t>
    </r>
    <r>
      <rPr>
        <sz val="11"/>
        <color rgb="FF000000"/>
        <rFont val="Calibri"/>
      </rPr>
      <t xml:space="preserve">
</t>
    </r>
    <r>
      <rPr>
        <sz val="11"/>
        <color rgb="FF000000"/>
        <rFont val="Calibri"/>
      </rPr>
      <t>If the command does not return any output or the output is not "blacklist uvcvideo", and the collaborative computing device has not been authorized for use, this is a finding.</t>
    </r>
  </si>
  <si>
    <t>V-248829</t>
  </si>
  <si>
    <r>
      <rPr>
        <sz val="11"/>
        <rFont val="Calibri"/>
      </rPr>
      <t>OL 8 must not have the asynchronous transfer mode (ATM) kernel module installed if not required for operational support.</t>
    </r>
  </si>
  <si>
    <r>
      <rPr>
        <sz val="11"/>
        <color rgb="FF000000"/>
        <rFont val="Calibri"/>
      </rPr>
      <t xml:space="preserve">Configure OL 8 to disable the ability to use the "atm" kernel module.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Create a file under "/etc/modprobe.d"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touch /etc/modprobe.d/atm.conf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the following line to the created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install atm /bin/false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Configure OL 8 to disable the ability to use the atm kernel module.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vi /etc/modprobe.d/blacklist.conf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update the line: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blacklist atm</t>
    </r>
  </si>
  <si>
    <r>
      <rPr>
        <sz val="11"/>
        <color rgb="FF000000"/>
        <rFont val="Calibri"/>
      </rPr>
      <t xml:space="preserve">The ATM is a transport layer protocol </t>
    </r>
    <r>
      <rPr>
        <sz val="11"/>
        <color rgb="FF000000"/>
        <rFont val="Calibri"/>
      </rPr>
      <t xml:space="preserve">
</t>
    </r>
    <r>
      <rPr>
        <sz val="11"/>
        <color rgb="FF000000"/>
        <rFont val="Calibri"/>
      </rPr>
      <t>designed for digital transmission of multiple types of traffic, including telephony (voice), data, and video signals, in one network without the use of separate overlay networks. Disabling ATM protects the system against exploitation of any flaws in its implementation.</t>
    </r>
  </si>
  <si>
    <r>
      <rPr>
        <sz val="11"/>
        <color rgb="FF000000"/>
        <rFont val="Calibri"/>
      </rPr>
      <t xml:space="preserve">Verify the operating system disables the ability to load the "atm" kernel module.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grep -r atm /etc/modprobe.d/* | grep -i "/bin/false" | grep -v "^#" </t>
    </r>
    <r>
      <rPr>
        <sz val="11"/>
        <color rgb="FF000000"/>
        <rFont val="Calibri"/>
      </rPr>
      <t xml:space="preserve">
</t>
    </r>
    <r>
      <rPr>
        <sz val="11"/>
        <color rgb="FF000000"/>
        <rFont val="Calibri"/>
      </rPr>
      <t xml:space="preserve">     install atm /bin/false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any output or the line is commented out, and use of ATM is not documented with the Information System Security Officer (ISSO) as an operational requirement,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Verify the operating system disables the ability to use ATM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grep atm /etc/modprobe.d/* | grep -i "blacklist" | grep -v "^#" </t>
    </r>
    <r>
      <rPr>
        <sz val="11"/>
        <color rgb="FF000000"/>
        <rFont val="Calibri"/>
      </rPr>
      <t xml:space="preserve">
</t>
    </r>
    <r>
      <rPr>
        <sz val="11"/>
        <color rgb="FF000000"/>
        <rFont val="Calibri"/>
      </rPr>
      <t xml:space="preserve">     blacklist atm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command does not return any output or the output is not "blacklist atm", and use of ATM is not documented with the ISSO as an operational requirement, this is a finding.</t>
    </r>
  </si>
  <si>
    <t>V-248830</t>
  </si>
  <si>
    <r>
      <rPr>
        <sz val="11"/>
        <rFont val="Calibri"/>
      </rPr>
      <t>OL 8 must not have the Controller Area Network (CAN) kernel module installed if not required for operational support.</t>
    </r>
  </si>
  <si>
    <r>
      <rPr>
        <sz val="11"/>
        <color rgb="FF000000"/>
        <rFont val="Calibri"/>
      </rPr>
      <t xml:space="preserve">Configure OL 8 to disable the ability to use the "can" kernel module.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Create a file under "/etc/modprobe.d"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touch /etc/modprobe.d/can.conf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the following line to the created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install can /bin/false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Configure OL 8 to disable the ability to use the can kernel module.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vi /etc/modprobe.d/blacklist.conf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update the line: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blacklist can</t>
    </r>
  </si>
  <si>
    <r>
      <rPr>
        <sz val="11"/>
        <color rgb="FF000000"/>
        <rFont val="Calibri"/>
      </rPr>
      <t>The CAN protocol is a robust vehicle bus standard designed to allow microcontrollers and devices to communicate with each other's applications without a host computer. Disabling CAN protects the system against exploitation of any flaws in its implementation.</t>
    </r>
  </si>
  <si>
    <r>
      <rPr>
        <sz val="11"/>
        <color rgb="FF000000"/>
        <rFont val="Calibri"/>
      </rPr>
      <t xml:space="preserve">Verify the operating system disables the ability to load the "can" kernel module.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grep -r can /etc/modprobe.d/* | grep -i "/bin/false" | grep -v "^#" </t>
    </r>
    <r>
      <rPr>
        <sz val="11"/>
        <color rgb="FF000000"/>
        <rFont val="Calibri"/>
      </rPr>
      <t xml:space="preserve">
</t>
    </r>
    <r>
      <rPr>
        <sz val="11"/>
        <color rgb="FF000000"/>
        <rFont val="Calibri"/>
      </rPr>
      <t xml:space="preserve">     install can /bin/false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any output or the line is commented out, and use of "can" is not documented with the Information System Security Officer (ISSO) as an operational requirement,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Verify the operating system disables the ability to use CAN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grep can /etc/modprobe.d/* | grep -i "blacklist" | grep -v "^#" </t>
    </r>
    <r>
      <rPr>
        <sz val="11"/>
        <color rgb="FF000000"/>
        <rFont val="Calibri"/>
      </rPr>
      <t xml:space="preserve">
</t>
    </r>
    <r>
      <rPr>
        <sz val="11"/>
        <color rgb="FF000000"/>
        <rFont val="Calibri"/>
      </rPr>
      <t xml:space="preserve">     blacklist can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command does not return any output or the output is not "blacklist can", and use of CAN is not documented with the ISSO as an operational requirement, this is a finding.</t>
    </r>
  </si>
  <si>
    <t>V-248831</t>
  </si>
  <si>
    <r>
      <rPr>
        <sz val="11"/>
        <rFont val="Calibri"/>
      </rPr>
      <t>OL 8 must not have the stream control transmission protocol (SCTP) kernel module installed if not required for operational support.</t>
    </r>
  </si>
  <si>
    <r>
      <rPr>
        <sz val="11"/>
        <color rgb="FF000000"/>
        <rFont val="Calibri"/>
      </rPr>
      <t xml:space="preserve">Configure OL 8 to disable the ability to use the "sctp" kernel module.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Create a file under "/etc/modprobe.d"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touch /etc/modprobe.d/sctp.conf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the following line to the created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install sctp /bin/false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Configure OL 8 to disable the ability to use the sctp kernel module.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vi /etc/modprobe.d/blacklist.conf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update the line: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blacklist sctp</t>
    </r>
  </si>
  <si>
    <r>
      <rPr>
        <sz val="11"/>
        <color rgb="FF000000"/>
        <rFont val="Calibri"/>
      </rPr>
      <t>The SCTP is a transport layer protocol, designed to support the idea of message-oriented communication, with several streams of messages within one connection. Disabling SCTP protects the system against exploitation of any flaws in its implementation.</t>
    </r>
  </si>
  <si>
    <r>
      <rPr>
        <sz val="11"/>
        <color rgb="FF000000"/>
        <rFont val="Calibri"/>
      </rPr>
      <t xml:space="preserve">Verify the operating system disables the ability to load the "sctp" kernel module.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grep -r sctp /etc/modprobe.d/* | grep -i "/bin/false" | grep -v "^#" </t>
    </r>
    <r>
      <rPr>
        <sz val="11"/>
        <color rgb="FF000000"/>
        <rFont val="Calibri"/>
      </rPr>
      <t xml:space="preserve">
</t>
    </r>
    <r>
      <rPr>
        <sz val="11"/>
        <color rgb="FF000000"/>
        <rFont val="Calibri"/>
      </rPr>
      <t xml:space="preserve">     install sctp /bin/false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any output or the line is commented out, and use of SCTP is not documented with the Information System Security Officer (ISSO) as an operational requirement,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Verify the operating system disables the ability to use SCTP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grep sctp /etc/modprobe.d/* | grep -i "blacklist" | grep -v "^#" </t>
    </r>
    <r>
      <rPr>
        <sz val="11"/>
        <color rgb="FF000000"/>
        <rFont val="Calibri"/>
      </rPr>
      <t xml:space="preserve">
</t>
    </r>
    <r>
      <rPr>
        <sz val="11"/>
        <color rgb="FF000000"/>
        <rFont val="Calibri"/>
      </rPr>
      <t xml:space="preserve">     blacklist sctp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command does not return any output or the output is not "blacklist sctp", and use of SCTP is not documented with the ISSO as an operational requirement, this is a finding.</t>
    </r>
  </si>
  <si>
    <t>V-248832</t>
  </si>
  <si>
    <r>
      <rPr>
        <sz val="11"/>
        <rFont val="Calibri"/>
      </rPr>
      <t>OL 8 must disable the transparent inter-process communication (TIPC) protocol.</t>
    </r>
  </si>
  <si>
    <r>
      <rPr>
        <sz val="11"/>
        <color rgb="FF000000"/>
        <rFont val="Calibri"/>
      </rPr>
      <t>Configure the operating system to disable the ability to use the TIPC protocol kernel module.</t>
    </r>
    <r>
      <rPr>
        <sz val="11"/>
        <color rgb="FF000000"/>
        <rFont val="Calibri"/>
      </rPr>
      <t xml:space="preserve">
</t>
    </r>
    <r>
      <rPr>
        <sz val="11"/>
        <color rgb="FF000000"/>
        <rFont val="Calibri"/>
      </rPr>
      <t>Add or update the following lines in the file "/etc/modprobe.d/blacklist.conf":</t>
    </r>
    <r>
      <rPr>
        <sz val="11"/>
        <color rgb="FF000000"/>
        <rFont val="Calibri"/>
      </rPr>
      <t xml:space="preserve">
</t>
    </r>
    <r>
      <rPr>
        <sz val="11"/>
        <color rgb="FF000000"/>
        <rFont val="Calibri"/>
      </rPr>
      <t xml:space="preserve">     install tipc /bin/false</t>
    </r>
    <r>
      <rPr>
        <sz val="11"/>
        <color rgb="FF000000"/>
        <rFont val="Calibri"/>
      </rPr>
      <t xml:space="preserve">
</t>
    </r>
    <r>
      <rPr>
        <sz val="11"/>
        <color rgb="FF000000"/>
        <rFont val="Calibri"/>
      </rPr>
      <t xml:space="preserve">     blacklist tipc</t>
    </r>
    <r>
      <rPr>
        <sz val="11"/>
        <color rgb="FF000000"/>
        <rFont val="Calibri"/>
      </rPr>
      <t xml:space="preserve">
</t>
    </r>
    <r>
      <rPr>
        <sz val="11"/>
        <color rgb="FF000000"/>
        <rFont val="Calibri"/>
      </rPr>
      <t>Reboot the system for the settings to take effect.</t>
    </r>
  </si>
  <si>
    <r>
      <rPr>
        <sz val="11"/>
        <color rgb="FF000000"/>
        <rFont val="Calibri"/>
      </rPr>
      <t>It is detrimental for operating systems to provide, or install by default, functionality exceeding requirements or mission objectives. These unnecessary capabilities or services are often overlooked and therefore may remain unsecured. They increase the risk to the platform by providing additional attack vectors.</t>
    </r>
    <r>
      <rPr>
        <sz val="11"/>
        <color rgb="FF000000"/>
        <rFont val="Calibri"/>
      </rPr>
      <t xml:space="preserve">
</t>
    </r>
    <r>
      <rPr>
        <sz val="11"/>
        <color rgb="FF000000"/>
        <rFont val="Calibri"/>
      </rPr>
      <t>Failing to disconnect unused protocols can result in a system compromise.</t>
    </r>
    <r>
      <rPr>
        <sz val="11"/>
        <color rgb="FF000000"/>
        <rFont val="Calibri"/>
      </rPr>
      <t xml:space="preserve">
</t>
    </r>
    <r>
      <rPr>
        <sz val="11"/>
        <color rgb="FF000000"/>
        <rFont val="Calibri"/>
      </rPr>
      <t>The Transparent Inter-Process Communication (TIPC) protocol is designed to provide communications between nodes in a cluster. Disabling TIPC protects the system against exploitation of any flaws in its implementation.</t>
    </r>
  </si>
  <si>
    <r>
      <rPr>
        <sz val="11"/>
        <color rgb="FF000000"/>
        <rFont val="Calibri"/>
      </rPr>
      <t>Verify the operating system disables the ability to load the TIPC protocol kernel module.</t>
    </r>
    <r>
      <rPr>
        <sz val="11"/>
        <color rgb="FF000000"/>
        <rFont val="Calibri"/>
      </rPr>
      <t xml:space="preserve">
</t>
    </r>
    <r>
      <rPr>
        <sz val="11"/>
        <color rgb="FF000000"/>
        <rFont val="Calibri"/>
      </rPr>
      <t xml:space="preserve">     $ sudo grep -r tipc /etc/modprobe.d/* | grep "/bin/false"</t>
    </r>
    <r>
      <rPr>
        <sz val="11"/>
        <color rgb="FF000000"/>
        <rFont val="Calibri"/>
      </rPr>
      <t xml:space="preserve">
</t>
    </r>
    <r>
      <rPr>
        <sz val="11"/>
        <color rgb="FF000000"/>
        <rFont val="Calibri"/>
      </rPr>
      <t xml:space="preserve">     install tipc /bin/false</t>
    </r>
    <r>
      <rPr>
        <sz val="11"/>
        <color rgb="FF000000"/>
        <rFont val="Calibri"/>
      </rPr>
      <t xml:space="preserve">
</t>
    </r>
    <r>
      <rPr>
        <sz val="11"/>
        <color rgb="FF000000"/>
        <rFont val="Calibri"/>
      </rPr>
      <t>If the command does not return any output, or the line is commented out, and use of the TIPC protocol is not documented with the Information System Security Officer (ISSO) as an operational requirement, this is a finding.</t>
    </r>
    <r>
      <rPr>
        <sz val="11"/>
        <color rgb="FF000000"/>
        <rFont val="Calibri"/>
      </rPr>
      <t xml:space="preserve">
</t>
    </r>
    <r>
      <rPr>
        <sz val="11"/>
        <color rgb="FF000000"/>
        <rFont val="Calibri"/>
      </rPr>
      <t>Verify the operating system disables the ability to use the TIPC protocol.</t>
    </r>
    <r>
      <rPr>
        <sz val="11"/>
        <color rgb="FF000000"/>
        <rFont val="Calibri"/>
      </rPr>
      <t xml:space="preserve">
</t>
    </r>
    <r>
      <rPr>
        <sz val="11"/>
        <color rgb="FF000000"/>
        <rFont val="Calibri"/>
      </rPr>
      <t>Determine if the TIPC protocol is disabled with the following command:</t>
    </r>
    <r>
      <rPr>
        <sz val="11"/>
        <color rgb="FF000000"/>
        <rFont val="Calibri"/>
      </rPr>
      <t xml:space="preserve">
</t>
    </r>
    <r>
      <rPr>
        <sz val="11"/>
        <color rgb="FF000000"/>
        <rFont val="Calibri"/>
      </rPr>
      <t xml:space="preserve">     $ sudo grep -r tipc /etc/modprobe.d/* | grep "blacklist"</t>
    </r>
    <r>
      <rPr>
        <sz val="11"/>
        <color rgb="FF000000"/>
        <rFont val="Calibri"/>
      </rPr>
      <t xml:space="preserve">
</t>
    </r>
    <r>
      <rPr>
        <sz val="11"/>
        <color rgb="FF000000"/>
        <rFont val="Calibri"/>
      </rPr>
      <t xml:space="preserve">     blacklist tipc</t>
    </r>
    <r>
      <rPr>
        <sz val="11"/>
        <color rgb="FF000000"/>
        <rFont val="Calibri"/>
      </rPr>
      <t xml:space="preserve">
</t>
    </r>
    <r>
      <rPr>
        <sz val="11"/>
        <color rgb="FF000000"/>
        <rFont val="Calibri"/>
      </rPr>
      <t>If the command does not return any output or the output is not "blacklist tipc", and use of the TIPC protocol is not documented with the ISSO as an operational requirement, this is a finding.</t>
    </r>
  </si>
  <si>
    <t>V-248833</t>
  </si>
  <si>
    <r>
      <rPr>
        <sz val="11"/>
        <rFont val="Calibri"/>
      </rPr>
      <t>OL 8 must disable mounting of cramfs.</t>
    </r>
  </si>
  <si>
    <r>
      <rPr>
        <sz val="11"/>
        <color rgb="FF000000"/>
        <rFont val="Calibri"/>
      </rPr>
      <t>Configure the operating system to disable the ability to use the cramfs kernel module.</t>
    </r>
    <r>
      <rPr>
        <sz val="11"/>
        <color rgb="FF000000"/>
        <rFont val="Calibri"/>
      </rPr>
      <t xml:space="preserve">
</t>
    </r>
    <r>
      <rPr>
        <sz val="11"/>
        <color rgb="FF000000"/>
        <rFont val="Calibri"/>
      </rPr>
      <t>Add or update the following lines in the file "/etc/modprobe.d/blacklist.conf":</t>
    </r>
    <r>
      <rPr>
        <sz val="11"/>
        <color rgb="FF000000"/>
        <rFont val="Calibri"/>
      </rPr>
      <t xml:space="preserve">
</t>
    </r>
    <r>
      <rPr>
        <sz val="11"/>
        <color rgb="FF000000"/>
        <rFont val="Calibri"/>
      </rPr>
      <t xml:space="preserve">     install cramfs /bin/false</t>
    </r>
    <r>
      <rPr>
        <sz val="11"/>
        <color rgb="FF000000"/>
        <rFont val="Calibri"/>
      </rPr>
      <t xml:space="preserve">
</t>
    </r>
    <r>
      <rPr>
        <sz val="11"/>
        <color rgb="FF000000"/>
        <rFont val="Calibri"/>
      </rPr>
      <t xml:space="preserve">     blacklist cramfs</t>
    </r>
    <r>
      <rPr>
        <sz val="11"/>
        <color rgb="FF000000"/>
        <rFont val="Calibri"/>
      </rPr>
      <t xml:space="preserve">
</t>
    </r>
    <r>
      <rPr>
        <sz val="11"/>
        <color rgb="FF000000"/>
        <rFont val="Calibri"/>
      </rPr>
      <t>Reboot the system for the settings to take effect.</t>
    </r>
  </si>
  <si>
    <r>
      <rPr>
        <sz val="11"/>
        <color rgb="FF000000"/>
        <rFont val="Calibri"/>
      </rPr>
      <t>It is detrimental for operating systems to provide, or install by default, functionality exceeding requirements or mission objectives. These unnecessary capabilities or services are often overlooked and therefore may remain unsecured. They increase the risk to the platform by providing additional attack vectors.</t>
    </r>
    <r>
      <rPr>
        <sz val="11"/>
        <color rgb="FF000000"/>
        <rFont val="Calibri"/>
      </rPr>
      <t xml:space="preserve">
</t>
    </r>
    <r>
      <rPr>
        <sz val="11"/>
        <color rgb="FF000000"/>
        <rFont val="Calibri"/>
      </rPr>
      <t>Removing support for unneeded filesystem types reduces the local attack surface of the server.</t>
    </r>
    <r>
      <rPr>
        <sz val="11"/>
        <color rgb="FF000000"/>
        <rFont val="Calibri"/>
      </rPr>
      <t xml:space="preserve">
</t>
    </r>
    <r>
      <rPr>
        <sz val="11"/>
        <color rgb="FF000000"/>
        <rFont val="Calibri"/>
      </rPr>
      <t>Compressed ROM/RAM file system (or cramfs) is a read-only file system designed for simplicity and space-efficiency. It is mainly used in embedded and small-footprint systems.</t>
    </r>
  </si>
  <si>
    <r>
      <rPr>
        <sz val="11"/>
        <color rgb="FF000000"/>
        <rFont val="Calibri"/>
      </rPr>
      <t>Verify the operating system disables the ability to load the cramfs kernel module.</t>
    </r>
    <r>
      <rPr>
        <sz val="11"/>
        <color rgb="FF000000"/>
        <rFont val="Calibri"/>
      </rPr>
      <t xml:space="preserve">
</t>
    </r>
    <r>
      <rPr>
        <sz val="11"/>
        <color rgb="FF000000"/>
        <rFont val="Calibri"/>
      </rPr>
      <t xml:space="preserve">     $ sudo grep -ri cramfs /etc/modprobe.d/* | grep -i "/bin/false"</t>
    </r>
    <r>
      <rPr>
        <sz val="11"/>
        <color rgb="FF000000"/>
        <rFont val="Calibri"/>
      </rPr>
      <t xml:space="preserve">
</t>
    </r>
    <r>
      <rPr>
        <sz val="11"/>
        <color rgb="FF000000"/>
        <rFont val="Calibri"/>
      </rPr>
      <t xml:space="preserve">     install cramfs /bin/false</t>
    </r>
    <r>
      <rPr>
        <sz val="11"/>
        <color rgb="FF000000"/>
        <rFont val="Calibri"/>
      </rPr>
      <t xml:space="preserve">
</t>
    </r>
    <r>
      <rPr>
        <sz val="11"/>
        <color rgb="FF000000"/>
        <rFont val="Calibri"/>
      </rPr>
      <t>If the command does not return any output, or the line is commented out, and use of the cramfs protocol is not documented with the Information System Security Officer (ISSO) as an operational requirement, this is a finding.</t>
    </r>
    <r>
      <rPr>
        <sz val="11"/>
        <color rgb="FF000000"/>
        <rFont val="Calibri"/>
      </rPr>
      <t xml:space="preserve">
</t>
    </r>
    <r>
      <rPr>
        <sz val="11"/>
        <color rgb="FF000000"/>
        <rFont val="Calibri"/>
      </rPr>
      <t>Verify the operating system disables the ability to use the cramfs kernel module.</t>
    </r>
    <r>
      <rPr>
        <sz val="11"/>
        <color rgb="FF000000"/>
        <rFont val="Calibri"/>
      </rPr>
      <t xml:space="preserve">
</t>
    </r>
    <r>
      <rPr>
        <sz val="11"/>
        <color rgb="FF000000"/>
        <rFont val="Calibri"/>
      </rPr>
      <t>Determine if the cramfs kernel module is disabled with the following command:</t>
    </r>
    <r>
      <rPr>
        <sz val="11"/>
        <color rgb="FF000000"/>
        <rFont val="Calibri"/>
      </rPr>
      <t xml:space="preserve">
</t>
    </r>
    <r>
      <rPr>
        <sz val="11"/>
        <color rgb="FF000000"/>
        <rFont val="Calibri"/>
      </rPr>
      <t xml:space="preserve">     $ sudo grep -ri cramfs /etc/modprobe.d/* | grep -i "blacklist"</t>
    </r>
    <r>
      <rPr>
        <sz val="11"/>
        <color rgb="FF000000"/>
        <rFont val="Calibri"/>
      </rPr>
      <t xml:space="preserve">
</t>
    </r>
    <r>
      <rPr>
        <sz val="11"/>
        <color rgb="FF000000"/>
        <rFont val="Calibri"/>
      </rPr>
      <t xml:space="preserve">     blacklist cramfs</t>
    </r>
    <r>
      <rPr>
        <sz val="11"/>
        <color rgb="FF000000"/>
        <rFont val="Calibri"/>
      </rPr>
      <t xml:space="preserve">
</t>
    </r>
    <r>
      <rPr>
        <sz val="11"/>
        <color rgb="FF000000"/>
        <rFont val="Calibri"/>
      </rPr>
      <t>If the command does not return any output or the output is not "blacklist cramfs", and use of the cramfs kernel module is not documented with the ISSO as an operational requirement, this is a finding.</t>
    </r>
  </si>
  <si>
    <t>V-248834</t>
  </si>
  <si>
    <r>
      <rPr>
        <sz val="11"/>
        <rFont val="Calibri"/>
      </rPr>
      <t>OL 8 must disable IEEE 1394 (FireWire) Support.</t>
    </r>
  </si>
  <si>
    <r>
      <rPr>
        <sz val="11"/>
        <color rgb="FF000000"/>
        <rFont val="Calibri"/>
      </rPr>
      <t>Configure the operating system to disable the ability to use the firewire-core kernel module.</t>
    </r>
    <r>
      <rPr>
        <sz val="11"/>
        <color rgb="FF000000"/>
        <rFont val="Calibri"/>
      </rPr>
      <t xml:space="preserve">
</t>
    </r>
    <r>
      <rPr>
        <sz val="11"/>
        <color rgb="FF000000"/>
        <rFont val="Calibri"/>
      </rPr>
      <t>Add or update the following lines in the file "/etc/modprobe.d/blacklist.conf":</t>
    </r>
    <r>
      <rPr>
        <sz val="11"/>
        <color rgb="FF000000"/>
        <rFont val="Calibri"/>
      </rPr>
      <t xml:space="preserve">
</t>
    </r>
    <r>
      <rPr>
        <sz val="11"/>
        <color rgb="FF000000"/>
        <rFont val="Calibri"/>
      </rPr>
      <t xml:space="preserve">     install firewire-core /bin/false</t>
    </r>
    <r>
      <rPr>
        <sz val="11"/>
        <color rgb="FF000000"/>
        <rFont val="Calibri"/>
      </rPr>
      <t xml:space="preserve">
</t>
    </r>
    <r>
      <rPr>
        <sz val="11"/>
        <color rgb="FF000000"/>
        <rFont val="Calibri"/>
      </rPr>
      <t xml:space="preserve">     blacklist firewire-core</t>
    </r>
    <r>
      <rPr>
        <sz val="11"/>
        <color rgb="FF000000"/>
        <rFont val="Calibri"/>
      </rPr>
      <t xml:space="preserve">
</t>
    </r>
    <r>
      <rPr>
        <sz val="11"/>
        <color rgb="FF000000"/>
        <rFont val="Calibri"/>
      </rPr>
      <t>Reboot the system for the settings to take effect.</t>
    </r>
  </si>
  <si>
    <r>
      <rPr>
        <sz val="11"/>
        <color rgb="FF000000"/>
        <rFont val="Calibri"/>
      </rPr>
      <t>It is detrimental for operating systems to provide, or install by default, functionality exceeding requirements or mission objectives. These unnecessary capabilities or services are often overlooked and therefore may remain unsecured. They increase the risk to the platform by providing additional attack vectors.</t>
    </r>
    <r>
      <rPr>
        <sz val="11"/>
        <color rgb="FF000000"/>
        <rFont val="Calibri"/>
      </rPr>
      <t xml:space="preserve">
</t>
    </r>
    <r>
      <rPr>
        <sz val="11"/>
        <color rgb="FF000000"/>
        <rFont val="Calibri"/>
      </rPr>
      <t>The IEEE 1394 (FireWire) is a serial bus standard for high-speed real-time communication. Disabling FireWire protects the system against exploitation of any flaws in its implementation.</t>
    </r>
  </si>
  <si>
    <r>
      <rPr>
        <sz val="11"/>
        <color rgb="FF000000"/>
        <rFont val="Calibri"/>
      </rPr>
      <t>Verify the operating system disables the ability to load the firewire-core kernel module.</t>
    </r>
    <r>
      <rPr>
        <sz val="11"/>
        <color rgb="FF000000"/>
        <rFont val="Calibri"/>
      </rPr>
      <t xml:space="preserve">
</t>
    </r>
    <r>
      <rPr>
        <sz val="11"/>
        <color rgb="FF000000"/>
        <rFont val="Calibri"/>
      </rPr>
      <t xml:space="preserve">     $ sudo grep -ri firewire-core /etc/modprobe.d/* | grep -i "/bin/false"</t>
    </r>
    <r>
      <rPr>
        <sz val="11"/>
        <color rgb="FF000000"/>
        <rFont val="Calibri"/>
      </rPr>
      <t xml:space="preserve">
</t>
    </r>
    <r>
      <rPr>
        <sz val="11"/>
        <color rgb="FF000000"/>
        <rFont val="Calibri"/>
      </rPr>
      <t xml:space="preserve">     install firewire-core /bin/false</t>
    </r>
    <r>
      <rPr>
        <sz val="11"/>
        <color rgb="FF000000"/>
        <rFont val="Calibri"/>
      </rPr>
      <t xml:space="preserve">
</t>
    </r>
    <r>
      <rPr>
        <sz val="11"/>
        <color rgb="FF000000"/>
        <rFont val="Calibri"/>
      </rPr>
      <t>If the command does not return any output, or the line is commented out, and use of the firewire-core protocol is not documented with the Information System Security Officer (ISSO) as an operational requirement, this is a finding.</t>
    </r>
    <r>
      <rPr>
        <sz val="11"/>
        <color rgb="FF000000"/>
        <rFont val="Calibri"/>
      </rPr>
      <t xml:space="preserve">
</t>
    </r>
    <r>
      <rPr>
        <sz val="11"/>
        <color rgb="FF000000"/>
        <rFont val="Calibri"/>
      </rPr>
      <t>Verify the operating system disables the ability to use the firewire-core kernel module.</t>
    </r>
    <r>
      <rPr>
        <sz val="11"/>
        <color rgb="FF000000"/>
        <rFont val="Calibri"/>
      </rPr>
      <t xml:space="preserve">
</t>
    </r>
    <r>
      <rPr>
        <sz val="11"/>
        <color rgb="FF000000"/>
        <rFont val="Calibri"/>
      </rPr>
      <t>Determine if the firewire-core kernel module is disabled with the following command:</t>
    </r>
    <r>
      <rPr>
        <sz val="11"/>
        <color rgb="FF000000"/>
        <rFont val="Calibri"/>
      </rPr>
      <t xml:space="preserve">
</t>
    </r>
    <r>
      <rPr>
        <sz val="11"/>
        <color rgb="FF000000"/>
        <rFont val="Calibri"/>
      </rPr>
      <t xml:space="preserve">     $ sudo grep -ri firewire-core /etc/modprobe.d/* | grep -i "blacklist"</t>
    </r>
    <r>
      <rPr>
        <sz val="11"/>
        <color rgb="FF000000"/>
        <rFont val="Calibri"/>
      </rPr>
      <t xml:space="preserve">
</t>
    </r>
    <r>
      <rPr>
        <sz val="11"/>
        <color rgb="FF000000"/>
        <rFont val="Calibri"/>
      </rPr>
      <t xml:space="preserve">     blacklist firewire-core</t>
    </r>
    <r>
      <rPr>
        <sz val="11"/>
        <color rgb="FF000000"/>
        <rFont val="Calibri"/>
      </rPr>
      <t xml:space="preserve">
</t>
    </r>
    <r>
      <rPr>
        <sz val="11"/>
        <color rgb="FF000000"/>
        <rFont val="Calibri"/>
      </rPr>
      <t>If the command does not return any output or the output is not "blacklist firewire-core", and use of the firewire-core kernel module is not documented with the ISSO as an operational requirement, this is a finding.</t>
    </r>
  </si>
  <si>
    <t>V-248835</t>
  </si>
  <si>
    <r>
      <rPr>
        <sz val="11"/>
        <rFont val="Calibri"/>
      </rPr>
      <t>OL 8 must be configured to prohibit or restrict the use of functions, ports, protocols, and/or services as defined in the Ports, Protocols, and Services Management (PPSM) Category Assignments List (CAL) and vulnerability assessments.</t>
    </r>
  </si>
  <si>
    <r>
      <rPr>
        <sz val="11"/>
        <color rgb="FF000000"/>
        <rFont val="Calibri"/>
      </rPr>
      <t>Update the host's firewall settings and/or running services to comply with the PPSM CLSA for the site or program and the PPSM CAL.</t>
    </r>
  </si>
  <si>
    <r>
      <rPr>
        <sz val="11"/>
        <color rgb="FF000000"/>
        <rFont val="Calibri"/>
      </rPr>
      <t xml:space="preserve">To prevent unauthorized connection of devices, unauthorized transfer of information, or unauthorized tunneling (i.e., embedding of data types within data types), organizations must disable or restrict unused or unnecessary physical and logical ports/protocols on information systems.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Operating systems are capable of providing a wide variety of functions and services. Some of the functions and services provided by default may not be necessary to support essential organizational operations. Additionally, it is sometimes convenient to provide multiple services from a single component (e.g., VPN and IPS); however, doing so increases risk over limiting the services provided by any one component.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To support the requirements and principles of least functionality, the operating system must support the organizational requirements, providing only essential capabilities and limiting the use of ports, protocols, and/or services to only those required, authorized, and approved to conduct official business or to address authorized quality-of-life issues.</t>
    </r>
  </si>
  <si>
    <r>
      <rPr>
        <sz val="11"/>
        <color rgb="FF000000"/>
        <rFont val="Calibri"/>
      </rPr>
      <t xml:space="preserve">Inspect the firewall configuration and running services to verify it is configured to prohibit or restrict the use of functions, ports, protocols, and/or services that are unnecessary or prohibited.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Check which services are currently active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firewall-cmd --list-all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custom (active) </t>
    </r>
    <r>
      <rPr>
        <sz val="11"/>
        <color rgb="FF000000"/>
        <rFont val="Calibri"/>
      </rPr>
      <t xml:space="preserve">
</t>
    </r>
    <r>
      <rPr>
        <sz val="11"/>
        <color rgb="FF000000"/>
        <rFont val="Calibri"/>
      </rPr>
      <t xml:space="preserve">target: DROP </t>
    </r>
    <r>
      <rPr>
        <sz val="11"/>
        <color rgb="FF000000"/>
        <rFont val="Calibri"/>
      </rPr>
      <t xml:space="preserve">
</t>
    </r>
    <r>
      <rPr>
        <sz val="11"/>
        <color rgb="FF000000"/>
        <rFont val="Calibri"/>
      </rPr>
      <t xml:space="preserve">icmp-block-inversion: no </t>
    </r>
    <r>
      <rPr>
        <sz val="11"/>
        <color rgb="FF000000"/>
        <rFont val="Calibri"/>
      </rPr>
      <t xml:space="preserve">
</t>
    </r>
    <r>
      <rPr>
        <sz val="11"/>
        <color rgb="FF000000"/>
        <rFont val="Calibri"/>
      </rPr>
      <t xml:space="preserve">interfaces: ens33 </t>
    </r>
    <r>
      <rPr>
        <sz val="11"/>
        <color rgb="FF000000"/>
        <rFont val="Calibri"/>
      </rPr>
      <t xml:space="preserve">
</t>
    </r>
    <r>
      <rPr>
        <sz val="11"/>
        <color rgb="FF000000"/>
        <rFont val="Calibri"/>
      </rPr>
      <t xml:space="preserve">sources:  </t>
    </r>
    <r>
      <rPr>
        <sz val="11"/>
        <color rgb="FF000000"/>
        <rFont val="Calibri"/>
      </rPr>
      <t xml:space="preserve">
</t>
    </r>
    <r>
      <rPr>
        <sz val="11"/>
        <color rgb="FF000000"/>
        <rFont val="Calibri"/>
      </rPr>
      <t xml:space="preserve">services: dhcpv6-client dns http https ldaps rpc-bind ssh </t>
    </r>
    <r>
      <rPr>
        <sz val="11"/>
        <color rgb="FF000000"/>
        <rFont val="Calibri"/>
      </rPr>
      <t xml:space="preserve">
</t>
    </r>
    <r>
      <rPr>
        <sz val="11"/>
        <color rgb="FF000000"/>
        <rFont val="Calibri"/>
      </rPr>
      <t xml:space="preserve">ports:  </t>
    </r>
    <r>
      <rPr>
        <sz val="11"/>
        <color rgb="FF000000"/>
        <rFont val="Calibri"/>
      </rPr>
      <t xml:space="preserve">
</t>
    </r>
    <r>
      <rPr>
        <sz val="11"/>
        <color rgb="FF000000"/>
        <rFont val="Calibri"/>
      </rPr>
      <t xml:space="preserve">masquerade: no </t>
    </r>
    <r>
      <rPr>
        <sz val="11"/>
        <color rgb="FF000000"/>
        <rFont val="Calibri"/>
      </rPr>
      <t xml:space="preserve">
</t>
    </r>
    <r>
      <rPr>
        <sz val="11"/>
        <color rgb="FF000000"/>
        <rFont val="Calibri"/>
      </rPr>
      <t xml:space="preserve">forward-ports:  </t>
    </r>
    <r>
      <rPr>
        <sz val="11"/>
        <color rgb="FF000000"/>
        <rFont val="Calibri"/>
      </rPr>
      <t xml:space="preserve">
</t>
    </r>
    <r>
      <rPr>
        <sz val="11"/>
        <color rgb="FF000000"/>
        <rFont val="Calibri"/>
      </rPr>
      <t xml:space="preserve">icmp-blocks:  </t>
    </r>
    <r>
      <rPr>
        <sz val="11"/>
        <color rgb="FF000000"/>
        <rFont val="Calibri"/>
      </rPr>
      <t xml:space="preserve">
</t>
    </r>
    <r>
      <rPr>
        <sz val="11"/>
        <color rgb="FF000000"/>
        <rFont val="Calibri"/>
      </rPr>
      <t xml:space="preserve">rich rules: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Ask the System Administrator for the site or program PPSM Component Local Service Assessment (CLSA). Verify the services allowed by the firewall match the PPSM CLSA.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there are additional ports, protocols, or services that are not in the PPSM CLSA, or there are ports, protocols, or services that are prohibited by the PPSM CAL, this is a finding.</t>
    </r>
  </si>
  <si>
    <t>V-248836</t>
  </si>
  <si>
    <r>
      <rPr>
        <sz val="11"/>
        <rFont val="Calibri"/>
      </rPr>
      <t>The OL 8 file system automounter must be disabled.</t>
    </r>
  </si>
  <si>
    <r>
      <rPr>
        <sz val="11"/>
        <color rgb="FF000000"/>
        <rFont val="Calibri"/>
      </rPr>
      <t>Configure OL 8 to disable the ability to automount devices.</t>
    </r>
    <r>
      <rPr>
        <sz val="11"/>
        <color rgb="FF000000"/>
        <rFont val="Calibri"/>
      </rPr>
      <t xml:space="preserve">
</t>
    </r>
    <r>
      <rPr>
        <sz val="11"/>
        <color rgb="FF000000"/>
        <rFont val="Calibri"/>
      </rPr>
      <t>Turn off the automount service with the following commands:</t>
    </r>
    <r>
      <rPr>
        <sz val="11"/>
        <color rgb="FF000000"/>
        <rFont val="Calibri"/>
      </rPr>
      <t xml:space="preserve">
</t>
    </r>
    <r>
      <rPr>
        <sz val="11"/>
        <color rgb="FF000000"/>
        <rFont val="Calibri"/>
      </rPr>
      <t>$ sudo systemctl stop autofs</t>
    </r>
    <r>
      <rPr>
        <sz val="11"/>
        <color rgb="FF000000"/>
        <rFont val="Calibri"/>
      </rPr>
      <t xml:space="preserve">
</t>
    </r>
    <r>
      <rPr>
        <sz val="11"/>
        <color rgb="FF000000"/>
        <rFont val="Calibri"/>
      </rPr>
      <t>$ sudo systemctl disable autofs</t>
    </r>
  </si>
  <si>
    <r>
      <rPr>
        <sz val="11"/>
        <color rgb="FF000000"/>
        <rFont val="Calibri"/>
      </rPr>
      <t xml:space="preserve">Verify the operating system disables the ability to automount devices.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Determine if automounter service is active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systemctl status autofs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autofs.service - Automounts filesystems on demand </t>
    </r>
    <r>
      <rPr>
        <sz val="11"/>
        <color rgb="FF000000"/>
        <rFont val="Calibri"/>
      </rPr>
      <t xml:space="preserve">
</t>
    </r>
    <r>
      <rPr>
        <sz val="11"/>
        <color rgb="FF000000"/>
        <rFont val="Calibri"/>
      </rPr>
      <t xml:space="preserve">Loaded: loaded (/usr/lib/systemd/system/autofs.service; disabled) </t>
    </r>
    <r>
      <rPr>
        <sz val="11"/>
        <color rgb="FF000000"/>
        <rFont val="Calibri"/>
      </rPr>
      <t xml:space="preserve">
</t>
    </r>
    <r>
      <rPr>
        <sz val="11"/>
        <color rgb="FF000000"/>
        <rFont val="Calibri"/>
      </rPr>
      <t xml:space="preserve">Active: inactive (dead)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"autofs" status is set to "active" and is not documented with the information system security officer (ISSO) as an operational requirement, this is a finding.</t>
    </r>
  </si>
  <si>
    <r>
      <rPr>
        <sz val="11"/>
        <color rgb="FF000000"/>
        <rFont val="Calibri"/>
      </rPr>
      <t xml:space="preserve">Verify OL 8 disables the ability to automount devices.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Determine if the automounter service is active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systemctl status autofs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autofs.service - Automounts filesystems on demand </t>
    </r>
    <r>
      <rPr>
        <sz val="11"/>
        <color rgb="FF000000"/>
        <rFont val="Calibri"/>
      </rPr>
      <t xml:space="preserve">
</t>
    </r>
    <r>
      <rPr>
        <sz val="11"/>
        <color rgb="FF000000"/>
        <rFont val="Calibri"/>
      </rPr>
      <t xml:space="preserve">Loaded: loaded (/usr/lib/systemd/system/autofs.service; disabled) </t>
    </r>
    <r>
      <rPr>
        <sz val="11"/>
        <color rgb="FF000000"/>
        <rFont val="Calibri"/>
      </rPr>
      <t xml:space="preserve">
</t>
    </r>
    <r>
      <rPr>
        <sz val="11"/>
        <color rgb="FF000000"/>
        <rFont val="Calibri"/>
      </rPr>
      <t xml:space="preserve">Active: inactive (dead)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"autofs" status is set to "active" this is a finding.</t>
    </r>
  </si>
  <si>
    <t>V-248837</t>
  </si>
  <si>
    <r>
      <rPr>
        <sz val="11"/>
        <rFont val="Calibri"/>
      </rPr>
      <t>OL 8 must be configured to disable the ability to use USB mass storage devices.</t>
    </r>
  </si>
  <si>
    <r>
      <rPr>
        <sz val="11"/>
        <color rgb="FF000000"/>
        <rFont val="Calibri"/>
      </rPr>
      <t>Configure OL 8 to disable the ability to use the USB Storage kernel module and to use USB mass storage devices.</t>
    </r>
    <r>
      <rPr>
        <sz val="11"/>
        <color rgb="FF000000"/>
        <rFont val="Calibri"/>
      </rPr>
      <t xml:space="preserve">
</t>
    </r>
    <r>
      <rPr>
        <sz val="11"/>
        <color rgb="FF000000"/>
        <rFont val="Calibri"/>
      </rPr>
      <t xml:space="preserve">     $ sudo vi /etc/modprobe.d/blacklist.conf</t>
    </r>
    <r>
      <rPr>
        <sz val="11"/>
        <color rgb="FF000000"/>
        <rFont val="Calibri"/>
      </rPr>
      <t xml:space="preserve">
</t>
    </r>
    <r>
      <rPr>
        <sz val="11"/>
        <color rgb="FF000000"/>
        <rFont val="Calibri"/>
      </rPr>
      <t xml:space="preserve">Add or update the lines: </t>
    </r>
    <r>
      <rPr>
        <sz val="11"/>
        <color rgb="FF000000"/>
        <rFont val="Calibri"/>
      </rPr>
      <t xml:space="preserve">
</t>
    </r>
    <r>
      <rPr>
        <sz val="11"/>
        <color rgb="FF000000"/>
        <rFont val="Calibri"/>
      </rPr>
      <t xml:space="preserve">     install usb-storage /bin/false</t>
    </r>
    <r>
      <rPr>
        <sz val="11"/>
        <color rgb="FF000000"/>
        <rFont val="Calibri"/>
      </rPr>
      <t xml:space="preserve">
</t>
    </r>
    <r>
      <rPr>
        <sz val="11"/>
        <color rgb="FF000000"/>
        <rFont val="Calibri"/>
      </rPr>
      <t xml:space="preserve">     blacklist usb-storage</t>
    </r>
    <r>
      <rPr>
        <sz val="11"/>
        <color rgb="FF000000"/>
        <rFont val="Calibri"/>
      </rPr>
      <t xml:space="preserve">
</t>
    </r>
    <r>
      <rPr>
        <sz val="11"/>
        <color rgb="FF000000"/>
        <rFont val="Calibri"/>
      </rPr>
      <t>Reboot the system for the settings to take effect.</t>
    </r>
  </si>
  <si>
    <r>
      <rPr>
        <sz val="11"/>
        <color rgb="FF000000"/>
        <rFont val="Calibri"/>
      </rPr>
      <t>USB mass storage permits easy introduction of unknown devices, thereby facilitating malicious activity.</t>
    </r>
  </si>
  <si>
    <r>
      <rPr>
        <sz val="11"/>
        <color rgb="FF000000"/>
        <rFont val="Calibri"/>
      </rPr>
      <t>Verify the operating system disables the ability to load the USB Storage kernel module.</t>
    </r>
    <r>
      <rPr>
        <sz val="11"/>
        <color rgb="FF000000"/>
        <rFont val="Calibri"/>
      </rPr>
      <t xml:space="preserve">
</t>
    </r>
    <r>
      <rPr>
        <sz val="11"/>
        <color rgb="FF000000"/>
        <rFont val="Calibri"/>
      </rPr>
      <t xml:space="preserve">     $ sudo grep -r usb-storage /etc/modprobe.d/* | grep -i "/bin/false"</t>
    </r>
    <r>
      <rPr>
        <sz val="11"/>
        <color rgb="FF000000"/>
        <rFont val="Calibri"/>
      </rPr>
      <t xml:space="preserve">
</t>
    </r>
    <r>
      <rPr>
        <sz val="11"/>
        <color rgb="FF000000"/>
        <rFont val="Calibri"/>
      </rPr>
      <t xml:space="preserve">     install usb-storage /bin/false</t>
    </r>
    <r>
      <rPr>
        <sz val="11"/>
        <color rgb="FF000000"/>
        <rFont val="Calibri"/>
      </rPr>
      <t xml:space="preserve">
</t>
    </r>
    <r>
      <rPr>
        <sz val="11"/>
        <color rgb="FF000000"/>
        <rFont val="Calibri"/>
      </rPr>
      <t>If the command does not return any output, or the line is commented out, and use of USB Storage is not documented with the information system security officer (ISSO) as an operational requirement, this is a finding.</t>
    </r>
    <r>
      <rPr>
        <sz val="11"/>
        <color rgb="FF000000"/>
        <rFont val="Calibri"/>
      </rPr>
      <t xml:space="preserve">
</t>
    </r>
    <r>
      <rPr>
        <sz val="11"/>
        <color rgb="FF000000"/>
        <rFont val="Calibri"/>
      </rPr>
      <t xml:space="preserve">Determine if USB mass storage is disabled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grep usb-storage /etc/modprobe.d/* | grep -i "blacklist" | grep -v "^#" </t>
    </r>
    <r>
      <rPr>
        <sz val="11"/>
        <color rgb="FF000000"/>
        <rFont val="Calibri"/>
      </rPr>
      <t xml:space="preserve">
</t>
    </r>
    <r>
      <rPr>
        <sz val="11"/>
        <color rgb="FF000000"/>
        <rFont val="Calibri"/>
      </rPr>
      <t xml:space="preserve">     /etc/modprobe.d/blacklist.conf:blacklist usb-storage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command does not return any output or the output is not "blacklist usb-storage" and use of USB storage devices is not documented with the ISSO as an operational requirement, this is a finding.</t>
    </r>
  </si>
  <si>
    <t>V-248839</t>
  </si>
  <si>
    <r>
      <rPr>
        <sz val="11"/>
        <rFont val="Calibri"/>
      </rPr>
      <t>An OL 8 firewall must employ a deny-all, allow-by-exception policy for allowing connections to other systems.</t>
    </r>
  </si>
  <si>
    <r>
      <rPr>
        <sz val="11"/>
        <color rgb="FF000000"/>
        <rFont val="Calibri"/>
      </rPr>
      <t>Configure the "firewalld" daemon to employ a deny-all, allow-by-exception policy with the following commands:</t>
    </r>
    <r>
      <rPr>
        <sz val="11"/>
        <color rgb="FF000000"/>
        <rFont val="Calibri"/>
      </rPr>
      <t xml:space="preserve">
</t>
    </r>
    <r>
      <rPr>
        <sz val="11"/>
        <color rgb="FF000000"/>
        <rFont val="Calibri"/>
      </rPr>
      <t xml:space="preserve">     $ sudo firewall-cmd --permanent --new-zone=[custom]</t>
    </r>
    <r>
      <rPr>
        <sz val="11"/>
        <color rgb="FF000000"/>
        <rFont val="Calibri"/>
      </rPr>
      <t xml:space="preserve">
</t>
    </r>
    <r>
      <rPr>
        <sz val="11"/>
        <color rgb="FF000000"/>
        <rFont val="Calibri"/>
      </rPr>
      <t xml:space="preserve">     $ sudo cp /usr/lib/firewalld/zones/drop.xml /etc/firewalld/zones/[custom].xml</t>
    </r>
    <r>
      <rPr>
        <sz val="11"/>
        <color rgb="FF000000"/>
        <rFont val="Calibri"/>
      </rPr>
      <t xml:space="preserve">
</t>
    </r>
    <r>
      <rPr>
        <sz val="11"/>
        <color rgb="FF000000"/>
        <rFont val="Calibri"/>
      </rPr>
      <t>This will provide a clean configuration file to work with that employs a deny-all approach.</t>
    </r>
    <r>
      <rPr>
        <sz val="11"/>
        <color rgb="FF000000"/>
        <rFont val="Calibri"/>
      </rPr>
      <t xml:space="preserve">
</t>
    </r>
    <r>
      <rPr>
        <sz val="11"/>
        <color rgb="FF000000"/>
        <rFont val="Calibri"/>
      </rPr>
      <t>Note: Add the exceptions that are required for mission functionality and update the short title in the xml file to match the [custom] zone name.</t>
    </r>
    <r>
      <rPr>
        <sz val="11"/>
        <color rgb="FF000000"/>
        <rFont val="Calibri"/>
      </rPr>
      <t xml:space="preserve">
</t>
    </r>
    <r>
      <rPr>
        <sz val="11"/>
        <color rgb="FF000000"/>
        <rFont val="Calibri"/>
      </rPr>
      <t>Reload the firewall rules to make the new [custom] zone available to load:</t>
    </r>
    <r>
      <rPr>
        <sz val="11"/>
        <color rgb="FF000000"/>
        <rFont val="Calibri"/>
      </rPr>
      <t xml:space="preserve">
</t>
    </r>
    <r>
      <rPr>
        <sz val="11"/>
        <color rgb="FF000000"/>
        <rFont val="Calibri"/>
      </rPr>
      <t xml:space="preserve">     $ sudo firewall-cmd --reload</t>
    </r>
    <r>
      <rPr>
        <sz val="11"/>
        <color rgb="FF000000"/>
        <rFont val="Calibri"/>
      </rPr>
      <t xml:space="preserve">
</t>
    </r>
    <r>
      <rPr>
        <sz val="11"/>
        <color rgb="FF000000"/>
        <rFont val="Calibri"/>
      </rPr>
      <t>Set the default zone to the new [custom] zone:</t>
    </r>
    <r>
      <rPr>
        <sz val="11"/>
        <color rgb="FF000000"/>
        <rFont val="Calibri"/>
      </rPr>
      <t xml:space="preserve">
</t>
    </r>
    <r>
      <rPr>
        <sz val="11"/>
        <color rgb="FF000000"/>
        <rFont val="Calibri"/>
      </rPr>
      <t xml:space="preserve">     $ sudo firewall-cmd --set-default-zone=[custom]</t>
    </r>
    <r>
      <rPr>
        <sz val="11"/>
        <color rgb="FF000000"/>
        <rFont val="Calibri"/>
      </rPr>
      <t xml:space="preserve">
</t>
    </r>
    <r>
      <rPr>
        <sz val="11"/>
        <color rgb="FF000000"/>
        <rFont val="Calibri"/>
      </rPr>
      <t>Note: This is a runtime and permanent change.</t>
    </r>
    <r>
      <rPr>
        <sz val="11"/>
        <color rgb="FF000000"/>
        <rFont val="Calibri"/>
      </rPr>
      <t xml:space="preserve">
</t>
    </r>
    <r>
      <rPr>
        <sz val="11"/>
        <color rgb="FF000000"/>
        <rFont val="Calibri"/>
      </rPr>
      <t>Add any interfaces to the new [custom] zone:</t>
    </r>
    <r>
      <rPr>
        <sz val="11"/>
        <color rgb="FF000000"/>
        <rFont val="Calibri"/>
      </rPr>
      <t xml:space="preserve">
</t>
    </r>
    <r>
      <rPr>
        <sz val="11"/>
        <color rgb="FF000000"/>
        <rFont val="Calibri"/>
      </rPr>
      <t xml:space="preserve">     $ sudo firewall-cmd --permanent --zone=[custom] --change-interface=ens33</t>
    </r>
    <r>
      <rPr>
        <sz val="11"/>
        <color rgb="FF000000"/>
        <rFont val="Calibri"/>
      </rPr>
      <t xml:space="preserve">
</t>
    </r>
    <r>
      <rPr>
        <sz val="11"/>
        <color rgb="FF000000"/>
        <rFont val="Calibri"/>
      </rPr>
      <t>Reload the firewall rules for changes to take effect:</t>
    </r>
    <r>
      <rPr>
        <sz val="11"/>
        <color rgb="FF000000"/>
        <rFont val="Calibri"/>
      </rPr>
      <t xml:space="preserve">
</t>
    </r>
    <r>
      <rPr>
        <sz val="11"/>
        <color rgb="FF000000"/>
        <rFont val="Calibri"/>
      </rPr>
      <t xml:space="preserve">     $ sudo firewall-cmd --reload</t>
    </r>
  </si>
  <si>
    <r>
      <rPr>
        <sz val="11"/>
        <color rgb="FF000000"/>
        <rFont val="Calibri"/>
      </rPr>
      <t xml:space="preserve">Failure to restrict network connectivity only to authorized systems permits inbound connections from malicious systems. It also permits outbound connections that may facilitate exfiltration of DoD data.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OL 8 incorporates the "firewalld" daemon, which allows for many different configurations. One of these configurations is zones. Zones can be used in a deny-all, allow-by-exception approach. The default "drop" zone will drop all incoming network packets unless it is explicitly allowed by the configuration file or is related to an outgoing network connection.</t>
    </r>
  </si>
  <si>
    <r>
      <rPr>
        <sz val="11"/>
        <color rgb="FF000000"/>
        <rFont val="Calibri"/>
      </rPr>
      <t xml:space="preserve">Verify "firewalld" is configured to employ a deny-all, allow-by-exception policy for allowing connections to other systems with the following commands: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firewall-cmd --state </t>
    </r>
    <r>
      <rPr>
        <sz val="11"/>
        <color rgb="FF000000"/>
        <rFont val="Calibri"/>
      </rPr>
      <t xml:space="preserve">
</t>
    </r>
    <r>
      <rPr>
        <sz val="11"/>
        <color rgb="FF000000"/>
        <rFont val="Calibri"/>
      </rPr>
      <t xml:space="preserve">     running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firewall-cmd --get-active-zones </t>
    </r>
    <r>
      <rPr>
        <sz val="11"/>
        <color rgb="FF000000"/>
        <rFont val="Calibri"/>
      </rPr>
      <t xml:space="preserve">
</t>
    </r>
    <r>
      <rPr>
        <sz val="11"/>
        <color rgb="FF000000"/>
        <rFont val="Calibri"/>
      </rPr>
      <t xml:space="preserve">     [custom] </t>
    </r>
    <r>
      <rPr>
        <sz val="11"/>
        <color rgb="FF000000"/>
        <rFont val="Calibri"/>
      </rPr>
      <t xml:space="preserve">
</t>
    </r>
    <r>
      <rPr>
        <sz val="11"/>
        <color rgb="FF000000"/>
        <rFont val="Calibri"/>
      </rPr>
      <t xml:space="preserve">     interfaces: ens33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firewall-cmd --info-zone=[custom] | grep target </t>
    </r>
    <r>
      <rPr>
        <sz val="11"/>
        <color rgb="FF000000"/>
        <rFont val="Calibri"/>
      </rPr>
      <t xml:space="preserve">
</t>
    </r>
    <r>
      <rPr>
        <sz val="11"/>
        <color rgb="FF000000"/>
        <rFont val="Calibri"/>
      </rPr>
      <t xml:space="preserve">     target: DROP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no zones are active on the OL 8 interfaces or if the target is set to an option other than "DROP", this is a finding.</t>
    </r>
    <r>
      <rPr>
        <sz val="11"/>
        <color rgb="FF000000"/>
        <rFont val="Calibri"/>
      </rPr>
      <t xml:space="preserve">
</t>
    </r>
    <r>
      <rPr>
        <sz val="11"/>
        <color rgb="FF000000"/>
        <rFont val="Calibri"/>
      </rPr>
      <t xml:space="preserve">If the "firewalld" package is not installed, ask the System Administrator if an alternate firewall (such as iptables) is installed and in use, and how is it configured to employ a deny-all, allow-by-exception policy. </t>
    </r>
    <r>
      <rPr>
        <sz val="11"/>
        <color rgb="FF000000"/>
        <rFont val="Calibri"/>
      </rPr>
      <t xml:space="preserve">
</t>
    </r>
    <r>
      <rPr>
        <sz val="11"/>
        <color rgb="FF000000"/>
        <rFont val="Calibri"/>
      </rPr>
      <t>If the alternate firewall is not configured to employ a deny-all, allow-by-exception policy, this is a finding.</t>
    </r>
    <r>
      <rPr>
        <sz val="11"/>
        <color rgb="FF000000"/>
        <rFont val="Calibri"/>
      </rPr>
      <t xml:space="preserve">
</t>
    </r>
    <r>
      <rPr>
        <sz val="11"/>
        <color rgb="FF000000"/>
        <rFont val="Calibri"/>
      </rPr>
      <t>If no firewall is installed, this is a finding.</t>
    </r>
  </si>
  <si>
    <t>V-248840</t>
  </si>
  <si>
    <r>
      <rPr>
        <sz val="11"/>
        <rFont val="Calibri"/>
      </rPr>
      <t>A firewall must be installed on OL 8.</t>
    </r>
  </si>
  <si>
    <r>
      <rPr>
        <sz val="11"/>
        <color rgb="FF000000"/>
        <rFont val="Calibri"/>
      </rPr>
      <t>Install "firewalld" with the following commands:</t>
    </r>
    <r>
      <rPr>
        <sz val="11"/>
        <color rgb="FF000000"/>
        <rFont val="Calibri"/>
      </rPr>
      <t xml:space="preserve">
</t>
    </r>
    <r>
      <rPr>
        <sz val="11"/>
        <color rgb="FF000000"/>
        <rFont val="Calibri"/>
      </rPr>
      <t>$ sudo yum install firewalld.noarch</t>
    </r>
  </si>
  <si>
    <r>
      <rPr>
        <sz val="11"/>
        <color rgb="FF000000"/>
        <rFont val="Calibri"/>
      </rPr>
      <t>"Firewalld" provides an easy and effective way to block/limit remote access to the system via ports, services, and protocols.</t>
    </r>
    <r>
      <rPr>
        <sz val="11"/>
        <color rgb="FF000000"/>
        <rFont val="Calibri"/>
      </rPr>
      <t xml:space="preserve">
</t>
    </r>
    <r>
      <rPr>
        <sz val="11"/>
        <color rgb="FF000000"/>
        <rFont val="Calibri"/>
      </rPr>
      <t>Remote access services, such as those providing remote access to network devices and information systems, which lack automated control capabilities, increase risk and make remote user access management difficult at best.</t>
    </r>
    <r>
      <rPr>
        <sz val="11"/>
        <color rgb="FF000000"/>
        <rFont val="Calibri"/>
      </rPr>
      <t xml:space="preserve">
</t>
    </r>
    <r>
      <rPr>
        <sz val="11"/>
        <color rgb="FF000000"/>
        <rFont val="Calibri"/>
      </rPr>
      <t>Remote access is access to DoD nonpublic information systems by an authorized user (or an information system) communicating through an external, non-organization-controlled network. Remote access methods include, for example, dial-up, broadband, and wireless.</t>
    </r>
    <r>
      <rPr>
        <sz val="11"/>
        <color rgb="FF000000"/>
        <rFont val="Calibri"/>
      </rPr>
      <t xml:space="preserve">
</t>
    </r>
    <r>
      <rPr>
        <sz val="11"/>
        <color rgb="FF000000"/>
        <rFont val="Calibri"/>
      </rPr>
      <t>OL 8 functionality (e.g., RDP) must be capable of taking enforcement action if the audit reveals unauthorized activity. Automated control of remote access sessions allows organizations to ensure ongoing compliance with remote access policies by enforcing connection rules of remote access applications on a variety of information system components (e.g., servers, workstations, notebook computers, smartphones, and tablets).</t>
    </r>
  </si>
  <si>
    <r>
      <rPr>
        <sz val="11"/>
        <color rgb="FF000000"/>
        <rFont val="Calibri"/>
      </rPr>
      <t>Verify that "firewalld" is installed with the following commands:</t>
    </r>
    <r>
      <rPr>
        <sz val="11"/>
        <color rgb="FF000000"/>
        <rFont val="Calibri"/>
      </rPr>
      <t xml:space="preserve">
</t>
    </r>
    <r>
      <rPr>
        <sz val="11"/>
        <color rgb="FF000000"/>
        <rFont val="Calibri"/>
      </rPr>
      <t>$ sudo yum list installed firewalld</t>
    </r>
    <r>
      <rPr>
        <sz val="11"/>
        <color rgb="FF000000"/>
        <rFont val="Calibri"/>
      </rPr>
      <t xml:space="preserve">
</t>
    </r>
    <r>
      <rPr>
        <sz val="11"/>
        <color rgb="FF000000"/>
        <rFont val="Calibri"/>
      </rPr>
      <t>firewalld.noarch     0.7.0-5.el8</t>
    </r>
    <r>
      <rPr>
        <sz val="11"/>
        <color rgb="FF000000"/>
        <rFont val="Calibri"/>
      </rPr>
      <t xml:space="preserve">
</t>
    </r>
    <r>
      <rPr>
        <sz val="11"/>
        <color rgb="FF000000"/>
        <rFont val="Calibri"/>
      </rPr>
      <t>If the "firewalld" package is not installed, ask the System Administrator if another firewall is installed. If no firewall is installed this is a finding.</t>
    </r>
  </si>
  <si>
    <t>V-248841</t>
  </si>
  <si>
    <r>
      <rPr>
        <sz val="11"/>
        <rFont val="Calibri"/>
      </rPr>
      <t>A firewall must be active on OL 8.</t>
    </r>
  </si>
  <si>
    <r>
      <rPr>
        <sz val="11"/>
        <color rgb="FF000000"/>
        <rFont val="Calibri"/>
      </rPr>
      <t>Configure "firewalld" to protect the operating system with the following commands:</t>
    </r>
    <r>
      <rPr>
        <sz val="11"/>
        <color rgb="FF000000"/>
        <rFont val="Calibri"/>
      </rPr>
      <t xml:space="preserve">
</t>
    </r>
    <r>
      <rPr>
        <sz val="11"/>
        <color rgb="FF000000"/>
        <rFont val="Calibri"/>
      </rPr>
      <t>$ sudo systemctl enable firewalld</t>
    </r>
    <r>
      <rPr>
        <sz val="11"/>
        <color rgb="FF000000"/>
        <rFont val="Calibri"/>
      </rPr>
      <t xml:space="preserve">
</t>
    </r>
    <r>
      <rPr>
        <sz val="11"/>
        <color rgb="FF000000"/>
        <rFont val="Calibri"/>
      </rPr>
      <t>$ sudo systemctl start firewalld</t>
    </r>
  </si>
  <si>
    <r>
      <rPr>
        <sz val="11"/>
        <color rgb="FF000000"/>
        <rFont val="Calibri"/>
      </rPr>
      <t>Verify that "firewalld" is active with the following commands:</t>
    </r>
    <r>
      <rPr>
        <sz val="11"/>
        <color rgb="FF000000"/>
        <rFont val="Calibri"/>
      </rPr>
      <t xml:space="preserve">
</t>
    </r>
    <r>
      <rPr>
        <sz val="11"/>
        <color rgb="FF000000"/>
        <rFont val="Calibri"/>
      </rPr>
      <t>$ sudo systemctl is-active firewalld</t>
    </r>
    <r>
      <rPr>
        <sz val="11"/>
        <color rgb="FF000000"/>
        <rFont val="Calibri"/>
      </rPr>
      <t xml:space="preserve">
</t>
    </r>
    <r>
      <rPr>
        <sz val="11"/>
        <color rgb="FF000000"/>
        <rFont val="Calibri"/>
      </rPr>
      <t>active</t>
    </r>
    <r>
      <rPr>
        <sz val="11"/>
        <color rgb="FF000000"/>
        <rFont val="Calibri"/>
      </rPr>
      <t xml:space="preserve">
</t>
    </r>
    <r>
      <rPr>
        <sz val="11"/>
        <color rgb="FF000000"/>
        <rFont val="Calibri"/>
      </rPr>
      <t>If the "firewalld" package is not "active", ask the System Administrator if another firewall is installed. If no firewall is installed and active this is a finding.</t>
    </r>
  </si>
  <si>
    <t>V-248842</t>
  </si>
  <si>
    <r>
      <rPr>
        <sz val="11"/>
        <rFont val="Calibri"/>
      </rPr>
      <t>OL 8 wireless network adapters must be disabled.</t>
    </r>
  </si>
  <si>
    <r>
      <rPr>
        <sz val="11"/>
        <color rgb="FF000000"/>
        <rFont val="Calibri"/>
      </rPr>
      <t xml:space="preserve">Configure the system to disable all wireless network interfaces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nmcli radio all off</t>
    </r>
  </si>
  <si>
    <r>
      <rPr>
        <sz val="11"/>
        <color rgb="FF000000"/>
        <rFont val="Calibri"/>
      </rPr>
      <t xml:space="preserve">Without protection of communications with wireless peripherals, confidentiality and integrity may be compromised because unprotected communications can be intercepted and read, altered, or used to compromise the OL 8 operating system.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This requirement applies to wireless peripheral technologies (e.g., wireless mice, keyboards, displays, etc.) used with OL 8 systems. Wireless peripherals (e.g., Wi-Fi/Bluetooth/IR keyboards, mice, and pointing devices and Near Field Communications [NFC]) present a unique challenge by creating an open, unsecured port on a computer. Wireless peripherals must meet DoD requirements for wireless data transmission and be approved for use by the Authorizing Official (AO). Although some wireless peripherals, such as mice and pointing devices, do not ordinarily carry information that need to be protected, modification of communications with these wireless peripherals may be used to compromise the OL 8 operating system. Communication paths outside the physical protection of a controlled boundary are exposed to the possibility of interception and modification.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Protecting the confidentiality and integrity of communications with wireless peripherals can be accomplished by physical means (e.g., employing physical barriers to wireless radio frequencies) or by logical means (e.g., employing cryptographic techniques). If physical means of protection are employed, logical means (cryptography) do not have to be employed, and vice versa. If the wireless peripheral is only passing telemetry data, encryption of the data may not be required.</t>
    </r>
    <r>
      <rPr>
        <sz val="11"/>
        <color rgb="FF000000"/>
        <rFont val="Calibri"/>
      </rPr>
      <t xml:space="preserve">
</t>
    </r>
    <r>
      <rPr>
        <sz val="11"/>
        <color rgb="FF000000"/>
        <rFont val="Calibri"/>
      </rPr>
      <t>Satisfies: SRG-OS-000299-GPOS-00117, SRG-OS-000300-GPOS-00118, SRG-OS-000481-GPOS-000481</t>
    </r>
  </si>
  <si>
    <r>
      <rPr>
        <sz val="11"/>
        <color rgb="FF000000"/>
        <rFont val="Calibri"/>
      </rPr>
      <t xml:space="preserve">Verify there are no wireless interfaces configured on the system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Note: This requirement is not applicable for systems that do not have physical wireless network radios.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nmcli device status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DEVICE TYPE STATE CONNECTION </t>
    </r>
    <r>
      <rPr>
        <sz val="11"/>
        <color rgb="FF000000"/>
        <rFont val="Calibri"/>
      </rPr>
      <t xml:space="preserve">
</t>
    </r>
    <r>
      <rPr>
        <sz val="11"/>
        <color rgb="FF000000"/>
        <rFont val="Calibri"/>
      </rPr>
      <t xml:space="preserve">virbr0 bridge connected virbr0 </t>
    </r>
    <r>
      <rPr>
        <sz val="11"/>
        <color rgb="FF000000"/>
        <rFont val="Calibri"/>
      </rPr>
      <t xml:space="preserve">
</t>
    </r>
    <r>
      <rPr>
        <sz val="11"/>
        <color rgb="FF000000"/>
        <rFont val="Calibri"/>
      </rPr>
      <t xml:space="preserve">wlp7s0 wifi connected wifiSSID </t>
    </r>
    <r>
      <rPr>
        <sz val="11"/>
        <color rgb="FF000000"/>
        <rFont val="Calibri"/>
      </rPr>
      <t xml:space="preserve">
</t>
    </r>
    <r>
      <rPr>
        <sz val="11"/>
        <color rgb="FF000000"/>
        <rFont val="Calibri"/>
      </rPr>
      <t xml:space="preserve">enp6s0 ethernet disconnected -- </t>
    </r>
    <r>
      <rPr>
        <sz val="11"/>
        <color rgb="FF000000"/>
        <rFont val="Calibri"/>
      </rPr>
      <t xml:space="preserve">
</t>
    </r>
    <r>
      <rPr>
        <sz val="11"/>
        <color rgb="FF000000"/>
        <rFont val="Calibri"/>
      </rPr>
      <t xml:space="preserve">p2p-dev-wlp7s0 wifi-p2p disconnected -- </t>
    </r>
    <r>
      <rPr>
        <sz val="11"/>
        <color rgb="FF000000"/>
        <rFont val="Calibri"/>
      </rPr>
      <t xml:space="preserve">
</t>
    </r>
    <r>
      <rPr>
        <sz val="11"/>
        <color rgb="FF000000"/>
        <rFont val="Calibri"/>
      </rPr>
      <t xml:space="preserve">lo loopback unmanaged -- </t>
    </r>
    <r>
      <rPr>
        <sz val="11"/>
        <color rgb="FF000000"/>
        <rFont val="Calibri"/>
      </rPr>
      <t xml:space="preserve">
</t>
    </r>
    <r>
      <rPr>
        <sz val="11"/>
        <color rgb="FF000000"/>
        <rFont val="Calibri"/>
      </rPr>
      <t xml:space="preserve">virbr0-nic tun unmanaged --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 wireless interface is configured and has not been documented and approved by the Information System Security Officer (ISSO), this is a finding.</t>
    </r>
  </si>
  <si>
    <t>V-248843</t>
  </si>
  <si>
    <r>
      <rPr>
        <sz val="11"/>
        <rFont val="Calibri"/>
      </rPr>
      <t>OL 8 Bluetooth must be disabled.</t>
    </r>
  </si>
  <si>
    <r>
      <rPr>
        <sz val="11"/>
        <color rgb="FF000000"/>
        <rFont val="Calibri"/>
      </rPr>
      <t>Configure the operating system to disable the Bluetooth adapter when not in use.</t>
    </r>
    <r>
      <rPr>
        <sz val="11"/>
        <color rgb="FF000000"/>
        <rFont val="Calibri"/>
      </rPr>
      <t xml:space="preserve">
</t>
    </r>
    <r>
      <rPr>
        <sz val="11"/>
        <color rgb="FF000000"/>
        <rFont val="Calibri"/>
      </rPr>
      <t>Build or modify the "/etc/modprobe.d/bluetooth.conf" file with the following line:</t>
    </r>
    <r>
      <rPr>
        <sz val="11"/>
        <color rgb="FF000000"/>
        <rFont val="Calibri"/>
      </rPr>
      <t xml:space="preserve">
</t>
    </r>
    <r>
      <rPr>
        <sz val="11"/>
        <color rgb="FF000000"/>
        <rFont val="Calibri"/>
      </rPr>
      <t xml:space="preserve">     install bluetooth /bin/false</t>
    </r>
    <r>
      <rPr>
        <sz val="11"/>
        <color rgb="FF000000"/>
        <rFont val="Calibri"/>
      </rPr>
      <t xml:space="preserve">
</t>
    </r>
    <r>
      <rPr>
        <sz val="11"/>
        <color rgb="FF000000"/>
        <rFont val="Calibri"/>
      </rPr>
      <t xml:space="preserve">Disable the ability to use the Bluetooth kernel module.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vi /etc/modprobe.d/blacklist.conf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update the line: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blacklist bluetooth</t>
    </r>
    <r>
      <rPr>
        <sz val="11"/>
        <color rgb="FF000000"/>
        <rFont val="Calibri"/>
      </rPr>
      <t xml:space="preserve">
</t>
    </r>
    <r>
      <rPr>
        <sz val="11"/>
        <color rgb="FF000000"/>
        <rFont val="Calibri"/>
      </rPr>
      <t>Reboot the system for the settings to take effect.</t>
    </r>
  </si>
  <si>
    <r>
      <rPr>
        <sz val="11"/>
        <color rgb="FF000000"/>
        <rFont val="Calibri"/>
      </rPr>
      <t xml:space="preserve">Without protection of communications with wireless peripherals, confidentiality and integrity may be compromised because unprotected communications can be intercepted and read, altered, or used to compromise the OL 8 operating system.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This requirement applies to wireless peripheral technologies (e.g., wireless mice, keyboards, displays, etc.) used with OL 8 systems. Wireless peripherals (e.g., Wi-Fi/Bluetooth/IR keyboards, mice, and pointing devices and Near Field Communications [NFC]) present a unique challenge by creating an open, unsecured port on a computer. Wireless peripherals must meet DoD requirements for wireless data transmission and be approved for use by the Authorizing Official (AO). Although some wireless peripherals, such as mice and pointing devices, do not ordinarily carry information that need to be protected, modification of communications with these wireless peripherals may be used to compromise the OL 8 operating system. Communication paths outside the physical protection of a controlled boundary are exposed to the possibility of interception and modification.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Protecting the confidentiality and integrity of communications with wireless peripherals can be accomplished by physical means (e.g., employing physical barriers to wireless radio frequencies) or by logical means (e.g., employing cryptographic techniques). If physical means of protection are employed, logical means (cryptography) do not have to be employed, and vice versa. If the wireless peripheral is only passing telemetry data, encryption of the data may not be required.</t>
    </r>
  </si>
  <si>
    <r>
      <rPr>
        <sz val="11"/>
        <color rgb="FF000000"/>
        <rFont val="Calibri"/>
      </rPr>
      <t>If the device or operating system does not have a Bluetooth adapter installed, this requirement is not applicable.</t>
    </r>
    <r>
      <rPr>
        <sz val="11"/>
        <color rgb="FF000000"/>
        <rFont val="Calibri"/>
      </rPr>
      <t xml:space="preserve">
</t>
    </r>
    <r>
      <rPr>
        <sz val="11"/>
        <color rgb="FF000000"/>
        <rFont val="Calibri"/>
      </rPr>
      <t>This requirement is not applicable to mobile devices (smartphones and tablets), where the use of Bluetooth is a local AO decision.</t>
    </r>
    <r>
      <rPr>
        <sz val="11"/>
        <color rgb="FF000000"/>
        <rFont val="Calibri"/>
      </rPr>
      <t xml:space="preserve">
</t>
    </r>
    <r>
      <rPr>
        <sz val="11"/>
        <color rgb="FF000000"/>
        <rFont val="Calibri"/>
      </rPr>
      <t>Determine if Bluetooth is disabled with the following command:</t>
    </r>
    <r>
      <rPr>
        <sz val="11"/>
        <color rgb="FF000000"/>
        <rFont val="Calibri"/>
      </rPr>
      <t xml:space="preserve">
</t>
    </r>
    <r>
      <rPr>
        <sz val="11"/>
        <color rgb="FF000000"/>
        <rFont val="Calibri"/>
      </rPr>
      <t xml:space="preserve">     $ sudo grep -r bluetooth /etc/modprobe.d</t>
    </r>
    <r>
      <rPr>
        <sz val="11"/>
        <color rgb="FF000000"/>
        <rFont val="Calibri"/>
      </rPr>
      <t xml:space="preserve">
</t>
    </r>
    <r>
      <rPr>
        <sz val="11"/>
        <color rgb="FF000000"/>
        <rFont val="Calibri"/>
      </rPr>
      <t xml:space="preserve">     /etc/modprobe.d/bluetooth.conf:install bluetooth /bin/false</t>
    </r>
    <r>
      <rPr>
        <sz val="11"/>
        <color rgb="FF000000"/>
        <rFont val="Calibri"/>
      </rPr>
      <t xml:space="preserve">
</t>
    </r>
    <r>
      <rPr>
        <sz val="11"/>
        <color rgb="FF000000"/>
        <rFont val="Calibri"/>
      </rPr>
      <t>If the command does not return any output or the line is commented out and the collaborative computing device has not been authorized for use, this is a finding.</t>
    </r>
    <r>
      <rPr>
        <sz val="11"/>
        <color rgb="FF000000"/>
        <rFont val="Calibri"/>
      </rPr>
      <t xml:space="preserve">
</t>
    </r>
    <r>
      <rPr>
        <sz val="11"/>
        <color rgb="FF000000"/>
        <rFont val="Calibri"/>
      </rPr>
      <t xml:space="preserve">Verify the operating system disables the ability to use Bluetooth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grep -r bluetooth /etc/modprobe.d | grep -i "blacklist" | grep -v "^#" </t>
    </r>
    <r>
      <rPr>
        <sz val="11"/>
        <color rgb="FF000000"/>
        <rFont val="Calibri"/>
      </rPr>
      <t xml:space="preserve">
</t>
    </r>
    <r>
      <rPr>
        <sz val="11"/>
        <color rgb="FF000000"/>
        <rFont val="Calibri"/>
      </rPr>
      <t xml:space="preserve">     blacklist bluetooth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command does not return any output or the output is not "blacklist bluetooth", and use of Bluetooth is not documented with the Information System Security Officer (ISSO) as an operational requirement, this is a finding.</t>
    </r>
  </si>
  <si>
    <t>V-248844</t>
  </si>
  <si>
    <r>
      <rPr>
        <sz val="11"/>
        <rFont val="Calibri"/>
      </rPr>
      <t xml:space="preserve">OL 8 must mount </t>
    </r>
    <r>
      <rPr>
        <sz val="11"/>
        <color rgb="FF000000"/>
        <rFont val="Calibri"/>
      </rPr>
      <t>"</t>
    </r>
    <r>
      <rPr>
        <b/>
        <sz val="11"/>
        <color rgb="FF000000"/>
        <rFont val="Calibri"/>
      </rPr>
      <t>/dev/shm</t>
    </r>
    <r>
      <rPr>
        <sz val="11"/>
        <color rgb="FF000000"/>
        <rFont val="Calibri"/>
      </rPr>
      <t>"</t>
    </r>
    <r>
      <rPr>
        <sz val="11"/>
        <color rgb="FF000000"/>
        <rFont val="Calibri"/>
      </rPr>
      <t xml:space="preserve"> with the </t>
    </r>
    <r>
      <rPr>
        <sz val="11"/>
        <color rgb="FF000000"/>
        <rFont val="Calibri"/>
      </rPr>
      <t>"</t>
    </r>
    <r>
      <rPr>
        <b/>
        <sz val="11"/>
        <color rgb="FF000000"/>
        <rFont val="Calibri"/>
      </rPr>
      <t>nodev</t>
    </r>
    <r>
      <rPr>
        <sz val="11"/>
        <color rgb="FF000000"/>
        <rFont val="Calibri"/>
      </rPr>
      <t>"</t>
    </r>
    <r>
      <rPr>
        <sz val="11"/>
        <color rgb="FF000000"/>
        <rFont val="Calibri"/>
      </rPr>
      <t xml:space="preserve"> option.</t>
    </r>
  </si>
  <si>
    <r>
      <rPr>
        <sz val="11"/>
        <color rgb="FF000000"/>
        <rFont val="Calibri"/>
      </rPr>
      <t xml:space="preserve">Configure OL 8 so that "/dev/shm" is mounted with the "nodev" option by adding/modifying "/etc/fstab" with the following line: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tmpfs /dev/shm tmpfs defaults,nodev,nosuid,noexec 0 0</t>
    </r>
  </si>
  <si>
    <r>
      <rPr>
        <sz val="11"/>
        <color rgb="FF000000"/>
        <rFont val="Calibri"/>
      </rPr>
      <t xml:space="preserve">The organization must identify authorized software programs and permit execution of authorized software. The process used to identify software programs that are authorized to execute on organizational information systems is commonly referred to as whitelisting.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The "noexec" mount option causes the system to not execute binary files. This option must be used for mounting any file system not containing approved binary files, as they may be incompatible. Executing files from untrusted file systems increases the opportunity for unprivileged users to attain unauthorized administrative access.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The "nodev" mount option causes the system to not interpret character or block special devices. Executing character or block special devices from untrusted file systems increases the opportunity for unprivileged users to attain unauthorized administrative access.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 "nosuid" mount option causes the system to not execute "setuid" and "setgid" files with owner privileges. This option must be used for mounting any file system not containing approved "setuid" and "setguid" files. Executing files from untrusted file systems increases the opportunity for unprivileged users to attain unauthorized administrative access.</t>
    </r>
  </si>
  <si>
    <r>
      <rPr>
        <sz val="11"/>
        <color rgb="FF000000"/>
        <rFont val="Calibri"/>
      </rPr>
      <t xml:space="preserve">Verify "/dev/shm" is mounted with the "nodev" option: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mount | grep /dev/shm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tmpfs on /dev/shm type tmpfs (rw,nodev,nosuid,noexec,seclabel)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Verify that the "nodev" option is configured for "/dev/shm":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cat /etc/fstab | grep /dev/shm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tmpfs /dev/shm tmpfs defaults,nodev,nosuid,noexec 0 0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results are returned and the "nodev" option is missing, or if "/dev/shm" is mounted without the "nodev" option, this is a finding.</t>
    </r>
  </si>
  <si>
    <t>V-248845</t>
  </si>
  <si>
    <r>
      <rPr>
        <sz val="11"/>
        <rFont val="Calibri"/>
      </rPr>
      <t xml:space="preserve">OL 8 must mount </t>
    </r>
    <r>
      <rPr>
        <sz val="11"/>
        <color rgb="FF000000"/>
        <rFont val="Calibri"/>
      </rPr>
      <t>"</t>
    </r>
    <r>
      <rPr>
        <b/>
        <sz val="11"/>
        <color rgb="FF000000"/>
        <rFont val="Calibri"/>
      </rPr>
      <t>/dev/shm</t>
    </r>
    <r>
      <rPr>
        <sz val="11"/>
        <color rgb="FF000000"/>
        <rFont val="Calibri"/>
      </rPr>
      <t>"</t>
    </r>
    <r>
      <rPr>
        <sz val="11"/>
        <color rgb="FF000000"/>
        <rFont val="Calibri"/>
      </rPr>
      <t xml:space="preserve"> with the </t>
    </r>
    <r>
      <rPr>
        <sz val="11"/>
        <color rgb="FF000000"/>
        <rFont val="Calibri"/>
      </rPr>
      <t>"</t>
    </r>
    <r>
      <rPr>
        <b/>
        <sz val="11"/>
        <color rgb="FF000000"/>
        <rFont val="Calibri"/>
      </rPr>
      <t>nosuid</t>
    </r>
    <r>
      <rPr>
        <sz val="11"/>
        <color rgb="FF000000"/>
        <rFont val="Calibri"/>
      </rPr>
      <t>"</t>
    </r>
    <r>
      <rPr>
        <sz val="11"/>
        <color rgb="FF000000"/>
        <rFont val="Calibri"/>
      </rPr>
      <t xml:space="preserve"> option.</t>
    </r>
  </si>
  <si>
    <r>
      <rPr>
        <sz val="11"/>
        <color rgb="FF000000"/>
        <rFont val="Calibri"/>
      </rPr>
      <t xml:space="preserve">Configure OL 8 so that "/dev/shm" is mounted with the "nosuid" option by adding/modifying "/etc/fstab" with the following line: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tmpfs /dev/shm tmpfs defaults,nodev,nosuid,noexec 0 0</t>
    </r>
  </si>
  <si>
    <r>
      <rPr>
        <sz val="11"/>
        <color rgb="FF000000"/>
        <rFont val="Calibri"/>
      </rPr>
      <t xml:space="preserve">Verify "/dev/shm" is mounted with the "nosuid" option: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mount | grep /dev/shm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tmpfs on /dev/shm type tmpfs (rw,nodev,nosuid,noexec,seclabel)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Verify that the "nosuid" option is configured for "/dev/shm":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cat /etc/fstab | grep /dev/shm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tmpfs /dev/shm tmpfs defaults,nodev,nosuid,noexec 0 0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results are returned and the "nosuid" option is missing, or if "/dev/shm" is mounted without the "nosuid" option, this is a finding.</t>
    </r>
  </si>
  <si>
    <t>V-248846</t>
  </si>
  <si>
    <r>
      <rPr>
        <sz val="11"/>
        <rFont val="Calibri"/>
      </rPr>
      <t xml:space="preserve">OL 8 must mount </t>
    </r>
    <r>
      <rPr>
        <sz val="11"/>
        <color rgb="FF000000"/>
        <rFont val="Calibri"/>
      </rPr>
      <t>"</t>
    </r>
    <r>
      <rPr>
        <b/>
        <sz val="11"/>
        <color rgb="FF000000"/>
        <rFont val="Calibri"/>
      </rPr>
      <t>/dev/shm</t>
    </r>
    <r>
      <rPr>
        <sz val="11"/>
        <color rgb="FF000000"/>
        <rFont val="Calibri"/>
      </rPr>
      <t>"</t>
    </r>
    <r>
      <rPr>
        <sz val="11"/>
        <color rgb="FF000000"/>
        <rFont val="Calibri"/>
      </rPr>
      <t xml:space="preserve"> with the </t>
    </r>
    <r>
      <rPr>
        <sz val="11"/>
        <color rgb="FF000000"/>
        <rFont val="Calibri"/>
      </rPr>
      <t>"</t>
    </r>
    <r>
      <rPr>
        <b/>
        <sz val="11"/>
        <color rgb="FF000000"/>
        <rFont val="Calibri"/>
      </rPr>
      <t>noexec</t>
    </r>
    <r>
      <rPr>
        <sz val="11"/>
        <color rgb="FF000000"/>
        <rFont val="Calibri"/>
      </rPr>
      <t>"</t>
    </r>
    <r>
      <rPr>
        <sz val="11"/>
        <color rgb="FF000000"/>
        <rFont val="Calibri"/>
      </rPr>
      <t xml:space="preserve"> option.</t>
    </r>
  </si>
  <si>
    <r>
      <rPr>
        <sz val="11"/>
        <color rgb="FF000000"/>
        <rFont val="Calibri"/>
      </rPr>
      <t xml:space="preserve">Configure OL 8 so that "/dev/shm" is mounted with the "noexec" option by adding/modifying "/etc/fstab" with the following line: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tmpfs /dev/shm tmpfs defaults,nodev,nosuid,noexec 0 0</t>
    </r>
  </si>
  <si>
    <r>
      <rPr>
        <sz val="11"/>
        <color rgb="FF000000"/>
        <rFont val="Calibri"/>
      </rPr>
      <t xml:space="preserve">Verify "/dev/shm" is mounted with the "noexec" option: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mount | grep /dev/shm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tmpfs on /dev/shm type tmpfs (rw,nodev,nosuid,noexec,seclabel)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Verify that the "noexec" option is configured for "/dev/shm":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cat /etc/fstab | grep /dev/shm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tmpfs /dev/shm tmpfs defaults,nodev,nosuid,noexec 0 0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results are returned and the "noexec" option is missing, or if "/dev/shm" is mounted without the "noexec" option, this is a finding.</t>
    </r>
  </si>
  <si>
    <t>V-248847</t>
  </si>
  <si>
    <r>
      <rPr>
        <sz val="11"/>
        <rFont val="Calibri"/>
      </rPr>
      <t xml:space="preserve">OL 8 must mount </t>
    </r>
    <r>
      <rPr>
        <sz val="11"/>
        <color rgb="FF000000"/>
        <rFont val="Calibri"/>
      </rPr>
      <t>"</t>
    </r>
    <r>
      <rPr>
        <b/>
        <sz val="11"/>
        <color rgb="FF000000"/>
        <rFont val="Calibri"/>
      </rPr>
      <t>/tmp</t>
    </r>
    <r>
      <rPr>
        <sz val="11"/>
        <color rgb="FF000000"/>
        <rFont val="Calibri"/>
      </rPr>
      <t>"</t>
    </r>
    <r>
      <rPr>
        <sz val="11"/>
        <color rgb="FF000000"/>
        <rFont val="Calibri"/>
      </rPr>
      <t xml:space="preserve"> with the </t>
    </r>
    <r>
      <rPr>
        <sz val="11"/>
        <color rgb="FF000000"/>
        <rFont val="Calibri"/>
      </rPr>
      <t>"</t>
    </r>
    <r>
      <rPr>
        <b/>
        <sz val="11"/>
        <color rgb="FF000000"/>
        <rFont val="Calibri"/>
      </rPr>
      <t>nodev</t>
    </r>
    <r>
      <rPr>
        <sz val="11"/>
        <color rgb="FF000000"/>
        <rFont val="Calibri"/>
      </rPr>
      <t>"</t>
    </r>
    <r>
      <rPr>
        <sz val="11"/>
        <color rgb="FF000000"/>
        <rFont val="Calibri"/>
      </rPr>
      <t xml:space="preserve"> option.</t>
    </r>
  </si>
  <si>
    <r>
      <rPr>
        <sz val="11"/>
        <color rgb="FF000000"/>
        <rFont val="Calibri"/>
      </rPr>
      <t>Configure the system so that /tmp is mounted with the "nodev" option by adding /modifying the /etc/fstab with the following line:</t>
    </r>
    <r>
      <rPr>
        <sz val="11"/>
        <color rgb="FF000000"/>
        <rFont val="Calibri"/>
      </rPr>
      <t xml:space="preserve">
</t>
    </r>
    <r>
      <rPr>
        <sz val="11"/>
        <color rgb="FF000000"/>
        <rFont val="Calibri"/>
      </rPr>
      <t>/dev/mapper/ol-tmp /tmp xfs defaults,nodev,nosuid,noexec 0 0</t>
    </r>
  </si>
  <si>
    <r>
      <rPr>
        <sz val="11"/>
        <color rgb="FF000000"/>
        <rFont val="Calibri"/>
      </rPr>
      <t>Verify "/tmp" is mounted with the "nodev" option:</t>
    </r>
    <r>
      <rPr>
        <sz val="11"/>
        <color rgb="FF000000"/>
        <rFont val="Calibri"/>
      </rPr>
      <t xml:space="preserve">
</t>
    </r>
    <r>
      <rPr>
        <sz val="11"/>
        <color rgb="FF000000"/>
        <rFont val="Calibri"/>
      </rPr>
      <t>$ sudo mount | grep /tmp</t>
    </r>
    <r>
      <rPr>
        <sz val="11"/>
        <color rgb="FF000000"/>
        <rFont val="Calibri"/>
      </rPr>
      <t xml:space="preserve">
</t>
    </r>
    <r>
      <rPr>
        <sz val="11"/>
        <color rgb="FF000000"/>
        <rFont val="Calibri"/>
      </rPr>
      <t>/dev/mapper/ol-tmp on /tmp type xfs (rw,nodev,nosuid,noexec,seclabel)</t>
    </r>
    <r>
      <rPr>
        <sz val="11"/>
        <color rgb="FF000000"/>
        <rFont val="Calibri"/>
      </rPr>
      <t xml:space="preserve">
</t>
    </r>
    <r>
      <rPr>
        <sz val="11"/>
        <color rgb="FF000000"/>
        <rFont val="Calibri"/>
      </rPr>
      <t>Verify that the "nodev" option is configured for /tmp:</t>
    </r>
    <r>
      <rPr>
        <sz val="11"/>
        <color rgb="FF000000"/>
        <rFont val="Calibri"/>
      </rPr>
      <t xml:space="preserve">
</t>
    </r>
    <r>
      <rPr>
        <sz val="11"/>
        <color rgb="FF000000"/>
        <rFont val="Calibri"/>
      </rPr>
      <t>$ sudo cat /etc/fstab | grep /tmp</t>
    </r>
    <r>
      <rPr>
        <sz val="11"/>
        <color rgb="FF000000"/>
        <rFont val="Calibri"/>
      </rPr>
      <t xml:space="preserve">
</t>
    </r>
    <r>
      <rPr>
        <sz val="11"/>
        <color rgb="FF000000"/>
        <rFont val="Calibri"/>
      </rPr>
      <t>/dev/mapper/ol-tmp /tmp xfs defaults,nodev,nosuid,noexec 0 0</t>
    </r>
    <r>
      <rPr>
        <sz val="11"/>
        <color rgb="FF000000"/>
        <rFont val="Calibri"/>
      </rPr>
      <t xml:space="preserve">
</t>
    </r>
    <r>
      <rPr>
        <sz val="11"/>
        <color rgb="FF000000"/>
        <rFont val="Calibri"/>
      </rPr>
      <t>If results are returned and the "nodev" option is missing, or if /tmp is mounted without the "nodev" option, this is a finding.</t>
    </r>
  </si>
  <si>
    <t>V-248848</t>
  </si>
  <si>
    <r>
      <rPr>
        <sz val="11"/>
        <rFont val="Calibri"/>
      </rPr>
      <t xml:space="preserve">OL 8 must mount </t>
    </r>
    <r>
      <rPr>
        <sz val="11"/>
        <color rgb="FF000000"/>
        <rFont val="Calibri"/>
      </rPr>
      <t>"</t>
    </r>
    <r>
      <rPr>
        <b/>
        <sz val="11"/>
        <color rgb="FF000000"/>
        <rFont val="Calibri"/>
      </rPr>
      <t>/tmp</t>
    </r>
    <r>
      <rPr>
        <sz val="11"/>
        <color rgb="FF000000"/>
        <rFont val="Calibri"/>
      </rPr>
      <t>"</t>
    </r>
    <r>
      <rPr>
        <sz val="11"/>
        <color rgb="FF000000"/>
        <rFont val="Calibri"/>
      </rPr>
      <t xml:space="preserve"> with the </t>
    </r>
    <r>
      <rPr>
        <sz val="11"/>
        <color rgb="FF000000"/>
        <rFont val="Calibri"/>
      </rPr>
      <t>"</t>
    </r>
    <r>
      <rPr>
        <b/>
        <sz val="11"/>
        <color rgb="FF000000"/>
        <rFont val="Calibri"/>
      </rPr>
      <t>nosuid</t>
    </r>
    <r>
      <rPr>
        <sz val="11"/>
        <color rgb="FF000000"/>
        <rFont val="Calibri"/>
      </rPr>
      <t>"</t>
    </r>
    <r>
      <rPr>
        <sz val="11"/>
        <color rgb="FF000000"/>
        <rFont val="Calibri"/>
      </rPr>
      <t xml:space="preserve"> option.</t>
    </r>
  </si>
  <si>
    <r>
      <rPr>
        <sz val="11"/>
        <color rgb="FF000000"/>
        <rFont val="Calibri"/>
      </rPr>
      <t>Configure the system so that /tmp is mounted with the "nosuid" option by adding /modifying the /etc/fstab with the following line:</t>
    </r>
    <r>
      <rPr>
        <sz val="11"/>
        <color rgb="FF000000"/>
        <rFont val="Calibri"/>
      </rPr>
      <t xml:space="preserve">
</t>
    </r>
    <r>
      <rPr>
        <sz val="11"/>
        <color rgb="FF000000"/>
        <rFont val="Calibri"/>
      </rPr>
      <t>/dev/mapper/ol-tmp /tmp xfs defaults,nodev,nosuid,noexec 0 0</t>
    </r>
  </si>
  <si>
    <r>
      <rPr>
        <sz val="11"/>
        <color rgb="FF000000"/>
        <rFont val="Calibri"/>
      </rPr>
      <t>Verify "/tmp" is mounted with the "nosuid" option:</t>
    </r>
    <r>
      <rPr>
        <sz val="11"/>
        <color rgb="FF000000"/>
        <rFont val="Calibri"/>
      </rPr>
      <t xml:space="preserve">
</t>
    </r>
    <r>
      <rPr>
        <sz val="11"/>
        <color rgb="FF000000"/>
        <rFont val="Calibri"/>
      </rPr>
      <t>$ sudo mount | grep /tmp</t>
    </r>
    <r>
      <rPr>
        <sz val="11"/>
        <color rgb="FF000000"/>
        <rFont val="Calibri"/>
      </rPr>
      <t xml:space="preserve">
</t>
    </r>
    <r>
      <rPr>
        <sz val="11"/>
        <color rgb="FF000000"/>
        <rFont val="Calibri"/>
      </rPr>
      <t>/dev/mapper/ol-tmp on /tmp type xfs (rw,nodev,nosuid,noexec,seclabel)</t>
    </r>
    <r>
      <rPr>
        <sz val="11"/>
        <color rgb="FF000000"/>
        <rFont val="Calibri"/>
      </rPr>
      <t xml:space="preserve">
</t>
    </r>
    <r>
      <rPr>
        <sz val="11"/>
        <color rgb="FF000000"/>
        <rFont val="Calibri"/>
      </rPr>
      <t>Verify that the "nosuid" option is configured for /tmp:</t>
    </r>
    <r>
      <rPr>
        <sz val="11"/>
        <color rgb="FF000000"/>
        <rFont val="Calibri"/>
      </rPr>
      <t xml:space="preserve">
</t>
    </r>
    <r>
      <rPr>
        <sz val="11"/>
        <color rgb="FF000000"/>
        <rFont val="Calibri"/>
      </rPr>
      <t>$ sudo cat /etc/fstab | grep /tmp</t>
    </r>
    <r>
      <rPr>
        <sz val="11"/>
        <color rgb="FF000000"/>
        <rFont val="Calibri"/>
      </rPr>
      <t xml:space="preserve">
</t>
    </r>
    <r>
      <rPr>
        <sz val="11"/>
        <color rgb="FF000000"/>
        <rFont val="Calibri"/>
      </rPr>
      <t>/dev/mapper/ol-tmp /tmp xfs defaults,nodev,nosuid,noexec 0 0</t>
    </r>
    <r>
      <rPr>
        <sz val="11"/>
        <color rgb="FF000000"/>
        <rFont val="Calibri"/>
      </rPr>
      <t xml:space="preserve">
</t>
    </r>
    <r>
      <rPr>
        <sz val="11"/>
        <color rgb="FF000000"/>
        <rFont val="Calibri"/>
      </rPr>
      <t>If results are returned and the "nosuid" option is missing, or if /tmp is mounted without the "nosuid" option, this is a finding.</t>
    </r>
  </si>
  <si>
    <t>V-248849</t>
  </si>
  <si>
    <r>
      <rPr>
        <sz val="11"/>
        <rFont val="Calibri"/>
      </rPr>
      <t xml:space="preserve">OL 8 must mount </t>
    </r>
    <r>
      <rPr>
        <sz val="11"/>
        <color rgb="FF000000"/>
        <rFont val="Calibri"/>
      </rPr>
      <t>"</t>
    </r>
    <r>
      <rPr>
        <b/>
        <sz val="11"/>
        <color rgb="FF000000"/>
        <rFont val="Calibri"/>
      </rPr>
      <t>/tmp</t>
    </r>
    <r>
      <rPr>
        <sz val="11"/>
        <color rgb="FF000000"/>
        <rFont val="Calibri"/>
      </rPr>
      <t>"</t>
    </r>
    <r>
      <rPr>
        <sz val="11"/>
        <color rgb="FF000000"/>
        <rFont val="Calibri"/>
      </rPr>
      <t xml:space="preserve"> with the </t>
    </r>
    <r>
      <rPr>
        <sz val="11"/>
        <color rgb="FF000000"/>
        <rFont val="Calibri"/>
      </rPr>
      <t>"</t>
    </r>
    <r>
      <rPr>
        <b/>
        <sz val="11"/>
        <color rgb="FF000000"/>
        <rFont val="Calibri"/>
      </rPr>
      <t>noexec</t>
    </r>
    <r>
      <rPr>
        <sz val="11"/>
        <color rgb="FF000000"/>
        <rFont val="Calibri"/>
      </rPr>
      <t>"</t>
    </r>
    <r>
      <rPr>
        <sz val="11"/>
        <color rgb="FF000000"/>
        <rFont val="Calibri"/>
      </rPr>
      <t xml:space="preserve"> option.</t>
    </r>
  </si>
  <si>
    <r>
      <rPr>
        <sz val="11"/>
        <color rgb="FF000000"/>
        <rFont val="Calibri"/>
      </rPr>
      <t>Configure the system so that /tmp is mounted with the "noexec" option by adding /modifying the /etc/fstab with the following line:</t>
    </r>
    <r>
      <rPr>
        <sz val="11"/>
        <color rgb="FF000000"/>
        <rFont val="Calibri"/>
      </rPr>
      <t xml:space="preserve">
</t>
    </r>
    <r>
      <rPr>
        <sz val="11"/>
        <color rgb="FF000000"/>
        <rFont val="Calibri"/>
      </rPr>
      <t>/dev/mapper/ol-tmp /tmp xfs defaults,nodev,nosuid,noexec 0 0</t>
    </r>
  </si>
  <si>
    <r>
      <rPr>
        <sz val="11"/>
        <color rgb="FF000000"/>
        <rFont val="Calibri"/>
      </rPr>
      <t>Verify "/tmp" is mounted with the "noexec" option:</t>
    </r>
    <r>
      <rPr>
        <sz val="11"/>
        <color rgb="FF000000"/>
        <rFont val="Calibri"/>
      </rPr>
      <t xml:space="preserve">
</t>
    </r>
    <r>
      <rPr>
        <sz val="11"/>
        <color rgb="FF000000"/>
        <rFont val="Calibri"/>
      </rPr>
      <t>$ sudo mount | grep /tmp</t>
    </r>
    <r>
      <rPr>
        <sz val="11"/>
        <color rgb="FF000000"/>
        <rFont val="Calibri"/>
      </rPr>
      <t xml:space="preserve">
</t>
    </r>
    <r>
      <rPr>
        <sz val="11"/>
        <color rgb="FF000000"/>
        <rFont val="Calibri"/>
      </rPr>
      <t>/dev/mapper/ol-tmp on /tmp type xfs (rw,nodev,nosuid,noexec,seclabel)</t>
    </r>
    <r>
      <rPr>
        <sz val="11"/>
        <color rgb="FF000000"/>
        <rFont val="Calibri"/>
      </rPr>
      <t xml:space="preserve">
</t>
    </r>
    <r>
      <rPr>
        <sz val="11"/>
        <color rgb="FF000000"/>
        <rFont val="Calibri"/>
      </rPr>
      <t>Verify that the "noexec" option is configured for /tmp:</t>
    </r>
    <r>
      <rPr>
        <sz val="11"/>
        <color rgb="FF000000"/>
        <rFont val="Calibri"/>
      </rPr>
      <t xml:space="preserve">
</t>
    </r>
    <r>
      <rPr>
        <sz val="11"/>
        <color rgb="FF000000"/>
        <rFont val="Calibri"/>
      </rPr>
      <t>$ sudo cat /etc/fstab | grep /tmp</t>
    </r>
    <r>
      <rPr>
        <sz val="11"/>
        <color rgb="FF000000"/>
        <rFont val="Calibri"/>
      </rPr>
      <t xml:space="preserve">
</t>
    </r>
    <r>
      <rPr>
        <sz val="11"/>
        <color rgb="FF000000"/>
        <rFont val="Calibri"/>
      </rPr>
      <t>/dev/mapper/ol-tmp /tmp xfs defaults,nodev,nosuid,noexec 0 0</t>
    </r>
    <r>
      <rPr>
        <sz val="11"/>
        <color rgb="FF000000"/>
        <rFont val="Calibri"/>
      </rPr>
      <t xml:space="preserve">
</t>
    </r>
    <r>
      <rPr>
        <sz val="11"/>
        <color rgb="FF000000"/>
        <rFont val="Calibri"/>
      </rPr>
      <t>If results are returned and the "noexec" option is missing, or if /tmp is mounted without the "noexec" option, this is a finding.</t>
    </r>
  </si>
  <si>
    <t>V-248850</t>
  </si>
  <si>
    <r>
      <rPr>
        <sz val="11"/>
        <rFont val="Calibri"/>
      </rPr>
      <t xml:space="preserve">OL 8 must mount </t>
    </r>
    <r>
      <rPr>
        <sz val="11"/>
        <color rgb="FF000000"/>
        <rFont val="Calibri"/>
      </rPr>
      <t>"</t>
    </r>
    <r>
      <rPr>
        <b/>
        <sz val="11"/>
        <color rgb="FF000000"/>
        <rFont val="Calibri"/>
      </rPr>
      <t>/var/log</t>
    </r>
    <r>
      <rPr>
        <sz val="11"/>
        <color rgb="FF000000"/>
        <rFont val="Calibri"/>
      </rPr>
      <t>"</t>
    </r>
    <r>
      <rPr>
        <sz val="11"/>
        <color rgb="FF000000"/>
        <rFont val="Calibri"/>
      </rPr>
      <t xml:space="preserve"> with the </t>
    </r>
    <r>
      <rPr>
        <sz val="11"/>
        <color rgb="FF000000"/>
        <rFont val="Calibri"/>
      </rPr>
      <t>"</t>
    </r>
    <r>
      <rPr>
        <b/>
        <sz val="11"/>
        <color rgb="FF000000"/>
        <rFont val="Calibri"/>
      </rPr>
      <t>nodev</t>
    </r>
    <r>
      <rPr>
        <sz val="11"/>
        <color rgb="FF000000"/>
        <rFont val="Calibri"/>
      </rPr>
      <t>"</t>
    </r>
    <r>
      <rPr>
        <sz val="11"/>
        <color rgb="FF000000"/>
        <rFont val="Calibri"/>
      </rPr>
      <t xml:space="preserve"> option.</t>
    </r>
  </si>
  <si>
    <r>
      <rPr>
        <sz val="11"/>
        <color rgb="FF000000"/>
        <rFont val="Calibri"/>
      </rPr>
      <t>Configure the system so that /var/log is mounted with the "nodev" option by adding /modifying the /etc/fstab with the following line:</t>
    </r>
    <r>
      <rPr>
        <sz val="11"/>
        <color rgb="FF000000"/>
        <rFont val="Calibri"/>
      </rPr>
      <t xml:space="preserve">
</t>
    </r>
    <r>
      <rPr>
        <sz val="11"/>
        <color rgb="FF000000"/>
        <rFont val="Calibri"/>
      </rPr>
      <t>/dev/mapper/ol-var_log /var/log xfs defaults,nodev,nosuid,noexec 0 0</t>
    </r>
  </si>
  <si>
    <r>
      <rPr>
        <sz val="11"/>
        <color rgb="FF000000"/>
        <rFont val="Calibri"/>
      </rPr>
      <t>Verify "/var/log" is mounted with the "nodev" option:</t>
    </r>
    <r>
      <rPr>
        <sz val="11"/>
        <color rgb="FF000000"/>
        <rFont val="Calibri"/>
      </rPr>
      <t xml:space="preserve">
</t>
    </r>
    <r>
      <rPr>
        <sz val="11"/>
        <color rgb="FF000000"/>
        <rFont val="Calibri"/>
      </rPr>
      <t>$ sudo mount | grep /var/log</t>
    </r>
    <r>
      <rPr>
        <sz val="11"/>
        <color rgb="FF000000"/>
        <rFont val="Calibri"/>
      </rPr>
      <t xml:space="preserve">
</t>
    </r>
    <r>
      <rPr>
        <sz val="11"/>
        <color rgb="FF000000"/>
        <rFont val="Calibri"/>
      </rPr>
      <t>/dev/mapper/ol-var_log on /var/log type xfs (rw,nodev,nosuid,noexec,seclabel)</t>
    </r>
    <r>
      <rPr>
        <sz val="11"/>
        <color rgb="FF000000"/>
        <rFont val="Calibri"/>
      </rPr>
      <t xml:space="preserve">
</t>
    </r>
    <r>
      <rPr>
        <sz val="11"/>
        <color rgb="FF000000"/>
        <rFont val="Calibri"/>
      </rPr>
      <t>Verify that the "nodev" option is configured for /var/log:</t>
    </r>
    <r>
      <rPr>
        <sz val="11"/>
        <color rgb="FF000000"/>
        <rFont val="Calibri"/>
      </rPr>
      <t xml:space="preserve">
</t>
    </r>
    <r>
      <rPr>
        <sz val="11"/>
        <color rgb="FF000000"/>
        <rFont val="Calibri"/>
      </rPr>
      <t>$ sudo cat /etc/fstab | grep /var/log</t>
    </r>
    <r>
      <rPr>
        <sz val="11"/>
        <color rgb="FF000000"/>
        <rFont val="Calibri"/>
      </rPr>
      <t xml:space="preserve">
</t>
    </r>
    <r>
      <rPr>
        <sz val="11"/>
        <color rgb="FF000000"/>
        <rFont val="Calibri"/>
      </rPr>
      <t>/dev/mapper/ol-var_log /var/log xfs defaults,nodev,nosuid,noexec 0 0</t>
    </r>
    <r>
      <rPr>
        <sz val="11"/>
        <color rgb="FF000000"/>
        <rFont val="Calibri"/>
      </rPr>
      <t xml:space="preserve">
</t>
    </r>
    <r>
      <rPr>
        <sz val="11"/>
        <color rgb="FF000000"/>
        <rFont val="Calibri"/>
      </rPr>
      <t>If results are returned and the "nodev" option is missing, or if /var/log is mounted without the "nodev" option, this is a finding.</t>
    </r>
  </si>
  <si>
    <t>V-248851</t>
  </si>
  <si>
    <r>
      <rPr>
        <sz val="11"/>
        <rFont val="Calibri"/>
      </rPr>
      <t xml:space="preserve">OL 8 must mount </t>
    </r>
    <r>
      <rPr>
        <sz val="11"/>
        <color rgb="FF000000"/>
        <rFont val="Calibri"/>
      </rPr>
      <t>"</t>
    </r>
    <r>
      <rPr>
        <b/>
        <sz val="11"/>
        <color rgb="FF000000"/>
        <rFont val="Calibri"/>
      </rPr>
      <t>/var/log</t>
    </r>
    <r>
      <rPr>
        <sz val="11"/>
        <color rgb="FF000000"/>
        <rFont val="Calibri"/>
      </rPr>
      <t>"</t>
    </r>
    <r>
      <rPr>
        <sz val="11"/>
        <color rgb="FF000000"/>
        <rFont val="Calibri"/>
      </rPr>
      <t xml:space="preserve"> with the </t>
    </r>
    <r>
      <rPr>
        <sz val="11"/>
        <color rgb="FF000000"/>
        <rFont val="Calibri"/>
      </rPr>
      <t>"</t>
    </r>
    <r>
      <rPr>
        <b/>
        <sz val="11"/>
        <color rgb="FF000000"/>
        <rFont val="Calibri"/>
      </rPr>
      <t>nosuid</t>
    </r>
    <r>
      <rPr>
        <sz val="11"/>
        <color rgb="FF000000"/>
        <rFont val="Calibri"/>
      </rPr>
      <t>"</t>
    </r>
    <r>
      <rPr>
        <sz val="11"/>
        <color rgb="FF000000"/>
        <rFont val="Calibri"/>
      </rPr>
      <t xml:space="preserve"> option.</t>
    </r>
  </si>
  <si>
    <r>
      <rPr>
        <sz val="11"/>
        <color rgb="FF000000"/>
        <rFont val="Calibri"/>
      </rPr>
      <t>Configure the system so that /var/log is mounted with the "nosuid" option by adding /modifying the /etc/fstab with the following line:</t>
    </r>
    <r>
      <rPr>
        <sz val="11"/>
        <color rgb="FF000000"/>
        <rFont val="Calibri"/>
      </rPr>
      <t xml:space="preserve">
</t>
    </r>
    <r>
      <rPr>
        <sz val="11"/>
        <color rgb="FF000000"/>
        <rFont val="Calibri"/>
      </rPr>
      <t>/dev/mapper/ol-var_log /var/log xfs defaults,nodev,nosuid,noexec 0 0</t>
    </r>
  </si>
  <si>
    <r>
      <rPr>
        <sz val="11"/>
        <color rgb="FF000000"/>
        <rFont val="Calibri"/>
      </rPr>
      <t>Verify "/var/log" is mounted with the "nosuid" option:</t>
    </r>
    <r>
      <rPr>
        <sz val="11"/>
        <color rgb="FF000000"/>
        <rFont val="Calibri"/>
      </rPr>
      <t xml:space="preserve">
</t>
    </r>
    <r>
      <rPr>
        <sz val="11"/>
        <color rgb="FF000000"/>
        <rFont val="Calibri"/>
      </rPr>
      <t>$ sudo mount | grep /var/log</t>
    </r>
    <r>
      <rPr>
        <sz val="11"/>
        <color rgb="FF000000"/>
        <rFont val="Calibri"/>
      </rPr>
      <t xml:space="preserve">
</t>
    </r>
    <r>
      <rPr>
        <sz val="11"/>
        <color rgb="FF000000"/>
        <rFont val="Calibri"/>
      </rPr>
      <t>/dev/mapper/ol-var_log on /var/log type xfs (rw,nodev,nosuid,noexec,seclabel)</t>
    </r>
    <r>
      <rPr>
        <sz val="11"/>
        <color rgb="FF000000"/>
        <rFont val="Calibri"/>
      </rPr>
      <t xml:space="preserve">
</t>
    </r>
    <r>
      <rPr>
        <sz val="11"/>
        <color rgb="FF000000"/>
        <rFont val="Calibri"/>
      </rPr>
      <t>Verify that the "nosuid" option is configured for /var/log:</t>
    </r>
    <r>
      <rPr>
        <sz val="11"/>
        <color rgb="FF000000"/>
        <rFont val="Calibri"/>
      </rPr>
      <t xml:space="preserve">
</t>
    </r>
    <r>
      <rPr>
        <sz val="11"/>
        <color rgb="FF000000"/>
        <rFont val="Calibri"/>
      </rPr>
      <t>$ sudo cat /etc/fstab | grep /var/log</t>
    </r>
    <r>
      <rPr>
        <sz val="11"/>
        <color rgb="FF000000"/>
        <rFont val="Calibri"/>
      </rPr>
      <t xml:space="preserve">
</t>
    </r>
    <r>
      <rPr>
        <sz val="11"/>
        <color rgb="FF000000"/>
        <rFont val="Calibri"/>
      </rPr>
      <t>/dev/mapper/ol-var_log /var/log xfs defaults,nodev,nosuid,noexec 0 0</t>
    </r>
    <r>
      <rPr>
        <sz val="11"/>
        <color rgb="FF000000"/>
        <rFont val="Calibri"/>
      </rPr>
      <t xml:space="preserve">
</t>
    </r>
    <r>
      <rPr>
        <sz val="11"/>
        <color rgb="FF000000"/>
        <rFont val="Calibri"/>
      </rPr>
      <t>If results are returned and the "nosuid" option is missing, or if /var/log is mounted without the "nosuid" option, this is a finding.</t>
    </r>
  </si>
  <si>
    <t>V-248852</t>
  </si>
  <si>
    <r>
      <rPr>
        <sz val="11"/>
        <rFont val="Calibri"/>
      </rPr>
      <t xml:space="preserve">OL 8 must mount </t>
    </r>
    <r>
      <rPr>
        <sz val="11"/>
        <color rgb="FF000000"/>
        <rFont val="Calibri"/>
      </rPr>
      <t>"</t>
    </r>
    <r>
      <rPr>
        <b/>
        <sz val="11"/>
        <color rgb="FF000000"/>
        <rFont val="Calibri"/>
      </rPr>
      <t>/var/log</t>
    </r>
    <r>
      <rPr>
        <sz val="11"/>
        <color rgb="FF000000"/>
        <rFont val="Calibri"/>
      </rPr>
      <t>"</t>
    </r>
    <r>
      <rPr>
        <sz val="11"/>
        <color rgb="FF000000"/>
        <rFont val="Calibri"/>
      </rPr>
      <t xml:space="preserve"> with the </t>
    </r>
    <r>
      <rPr>
        <sz val="11"/>
        <color rgb="FF000000"/>
        <rFont val="Calibri"/>
      </rPr>
      <t>"</t>
    </r>
    <r>
      <rPr>
        <b/>
        <sz val="11"/>
        <color rgb="FF000000"/>
        <rFont val="Calibri"/>
      </rPr>
      <t>noexec</t>
    </r>
    <r>
      <rPr>
        <sz val="11"/>
        <color rgb="FF000000"/>
        <rFont val="Calibri"/>
      </rPr>
      <t>"</t>
    </r>
    <r>
      <rPr>
        <sz val="11"/>
        <color rgb="FF000000"/>
        <rFont val="Calibri"/>
      </rPr>
      <t xml:space="preserve"> option.</t>
    </r>
  </si>
  <si>
    <r>
      <rPr>
        <sz val="11"/>
        <color rgb="FF000000"/>
        <rFont val="Calibri"/>
      </rPr>
      <t>Configure the system so that /var/log is mounted with the "noexec" option by adding /modifying the /etc/fstab with the following line:</t>
    </r>
    <r>
      <rPr>
        <sz val="11"/>
        <color rgb="FF000000"/>
        <rFont val="Calibri"/>
      </rPr>
      <t xml:space="preserve">
</t>
    </r>
    <r>
      <rPr>
        <sz val="11"/>
        <color rgb="FF000000"/>
        <rFont val="Calibri"/>
      </rPr>
      <t>/dev/mapper/ol-var_log /var/log xfs defaults,nodev,nosuid,noexec 0 0</t>
    </r>
  </si>
  <si>
    <r>
      <rPr>
        <sz val="11"/>
        <color rgb="FF000000"/>
        <rFont val="Calibri"/>
      </rPr>
      <t>Verify "/var/log" is mounted with the "noexec" option:</t>
    </r>
    <r>
      <rPr>
        <sz val="11"/>
        <color rgb="FF000000"/>
        <rFont val="Calibri"/>
      </rPr>
      <t xml:space="preserve">
</t>
    </r>
    <r>
      <rPr>
        <sz val="11"/>
        <color rgb="FF000000"/>
        <rFont val="Calibri"/>
      </rPr>
      <t>$ sudo mount | grep /var/log</t>
    </r>
    <r>
      <rPr>
        <sz val="11"/>
        <color rgb="FF000000"/>
        <rFont val="Calibri"/>
      </rPr>
      <t xml:space="preserve">
</t>
    </r>
    <r>
      <rPr>
        <sz val="11"/>
        <color rgb="FF000000"/>
        <rFont val="Calibri"/>
      </rPr>
      <t>/dev/mapper/ol-var_log on /var/log type xfs (rw,nodev,nosuid,noexec,seclabel)</t>
    </r>
    <r>
      <rPr>
        <sz val="11"/>
        <color rgb="FF000000"/>
        <rFont val="Calibri"/>
      </rPr>
      <t xml:space="preserve">
</t>
    </r>
    <r>
      <rPr>
        <sz val="11"/>
        <color rgb="FF000000"/>
        <rFont val="Calibri"/>
      </rPr>
      <t>Verify that the "noexec" option is configured for /var/log:</t>
    </r>
    <r>
      <rPr>
        <sz val="11"/>
        <color rgb="FF000000"/>
        <rFont val="Calibri"/>
      </rPr>
      <t xml:space="preserve">
</t>
    </r>
    <r>
      <rPr>
        <sz val="11"/>
        <color rgb="FF000000"/>
        <rFont val="Calibri"/>
      </rPr>
      <t>$ sudo cat /etc/fstab | grep /var/log</t>
    </r>
    <r>
      <rPr>
        <sz val="11"/>
        <color rgb="FF000000"/>
        <rFont val="Calibri"/>
      </rPr>
      <t xml:space="preserve">
</t>
    </r>
    <r>
      <rPr>
        <sz val="11"/>
        <color rgb="FF000000"/>
        <rFont val="Calibri"/>
      </rPr>
      <t>/dev/mapper/ol-var_log /var/log xfs defaults,nodev,nosuid,noexec 0 0</t>
    </r>
    <r>
      <rPr>
        <sz val="11"/>
        <color rgb="FF000000"/>
        <rFont val="Calibri"/>
      </rPr>
      <t xml:space="preserve">
</t>
    </r>
    <r>
      <rPr>
        <sz val="11"/>
        <color rgb="FF000000"/>
        <rFont val="Calibri"/>
      </rPr>
      <t>If results are returned and the "noexec" option is missing, or if /var/log is mounted without the "noexec" option, this is a finding.</t>
    </r>
  </si>
  <si>
    <t>V-248853</t>
  </si>
  <si>
    <r>
      <rPr>
        <sz val="11"/>
        <rFont val="Calibri"/>
      </rPr>
      <t xml:space="preserve">OL 8 must mount </t>
    </r>
    <r>
      <rPr>
        <sz val="11"/>
        <color rgb="FF000000"/>
        <rFont val="Calibri"/>
      </rPr>
      <t>"</t>
    </r>
    <r>
      <rPr>
        <b/>
        <sz val="11"/>
        <color rgb="FF000000"/>
        <rFont val="Calibri"/>
      </rPr>
      <t>/var/log/audit</t>
    </r>
    <r>
      <rPr>
        <sz val="11"/>
        <color rgb="FF000000"/>
        <rFont val="Calibri"/>
      </rPr>
      <t>"</t>
    </r>
    <r>
      <rPr>
        <sz val="11"/>
        <color rgb="FF000000"/>
        <rFont val="Calibri"/>
      </rPr>
      <t xml:space="preserve"> with the </t>
    </r>
    <r>
      <rPr>
        <sz val="11"/>
        <color rgb="FF000000"/>
        <rFont val="Calibri"/>
      </rPr>
      <t>"</t>
    </r>
    <r>
      <rPr>
        <b/>
        <sz val="11"/>
        <color rgb="FF000000"/>
        <rFont val="Calibri"/>
      </rPr>
      <t>nodev</t>
    </r>
    <r>
      <rPr>
        <sz val="11"/>
        <color rgb="FF000000"/>
        <rFont val="Calibri"/>
      </rPr>
      <t>"</t>
    </r>
    <r>
      <rPr>
        <sz val="11"/>
        <color rgb="FF000000"/>
        <rFont val="Calibri"/>
      </rPr>
      <t xml:space="preserve"> option.</t>
    </r>
  </si>
  <si>
    <r>
      <rPr>
        <sz val="11"/>
        <color rgb="FF000000"/>
        <rFont val="Calibri"/>
      </rPr>
      <t>Configure the system so that /var/log/audit is mounted with the "nodev" option by adding /modifying the /etc/fstab with the following line:</t>
    </r>
    <r>
      <rPr>
        <sz val="11"/>
        <color rgb="FF000000"/>
        <rFont val="Calibri"/>
      </rPr>
      <t xml:space="preserve">
</t>
    </r>
    <r>
      <rPr>
        <sz val="11"/>
        <color rgb="FF000000"/>
        <rFont val="Calibri"/>
      </rPr>
      <t>/dev/mapper/ol-var_log_audit /var/log/audit xfs defaults,nodev,nosuid,noexec 0 0</t>
    </r>
  </si>
  <si>
    <r>
      <rPr>
        <sz val="11"/>
        <color rgb="FF000000"/>
        <rFont val="Calibri"/>
      </rPr>
      <t>Verify "/var/log/audit" is mounted with the "nodev" option:</t>
    </r>
    <r>
      <rPr>
        <sz val="11"/>
        <color rgb="FF000000"/>
        <rFont val="Calibri"/>
      </rPr>
      <t xml:space="preserve">
</t>
    </r>
    <r>
      <rPr>
        <sz val="11"/>
        <color rgb="FF000000"/>
        <rFont val="Calibri"/>
      </rPr>
      <t>$ sudo mount | grep /var/log/audit</t>
    </r>
    <r>
      <rPr>
        <sz val="11"/>
        <color rgb="FF000000"/>
        <rFont val="Calibri"/>
      </rPr>
      <t xml:space="preserve">
</t>
    </r>
    <r>
      <rPr>
        <sz val="11"/>
        <color rgb="FF000000"/>
        <rFont val="Calibri"/>
      </rPr>
      <t>/dev/mapper/ol-var_log_audit on /var/log/audit type xfs (rw,nodev,nosuid,noexec,seclabel)</t>
    </r>
    <r>
      <rPr>
        <sz val="11"/>
        <color rgb="FF000000"/>
        <rFont val="Calibri"/>
      </rPr>
      <t xml:space="preserve">
</t>
    </r>
    <r>
      <rPr>
        <sz val="11"/>
        <color rgb="FF000000"/>
        <rFont val="Calibri"/>
      </rPr>
      <t>Verify that the "nodev" option is configured for /var/log/audit:</t>
    </r>
    <r>
      <rPr>
        <sz val="11"/>
        <color rgb="FF000000"/>
        <rFont val="Calibri"/>
      </rPr>
      <t xml:space="preserve">
</t>
    </r>
    <r>
      <rPr>
        <sz val="11"/>
        <color rgb="FF000000"/>
        <rFont val="Calibri"/>
      </rPr>
      <t>$ sudo cat /etc/fstab | grep /var/log/audit</t>
    </r>
    <r>
      <rPr>
        <sz val="11"/>
        <color rgb="FF000000"/>
        <rFont val="Calibri"/>
      </rPr>
      <t xml:space="preserve">
</t>
    </r>
    <r>
      <rPr>
        <sz val="11"/>
        <color rgb="FF000000"/>
        <rFont val="Calibri"/>
      </rPr>
      <t>/dev/mapper/ol-var_log_audit /var/log/audit xfs defaults,nodev,nosuid,noexec 0 0</t>
    </r>
    <r>
      <rPr>
        <sz val="11"/>
        <color rgb="FF000000"/>
        <rFont val="Calibri"/>
      </rPr>
      <t xml:space="preserve">
</t>
    </r>
    <r>
      <rPr>
        <sz val="11"/>
        <color rgb="FF000000"/>
        <rFont val="Calibri"/>
      </rPr>
      <t>If results are returned and the "nodev" option is missing, or if /var/log/audit is mounted without the "nodev" option, this is a finding.</t>
    </r>
  </si>
  <si>
    <t>V-248854</t>
  </si>
  <si>
    <r>
      <rPr>
        <sz val="11"/>
        <rFont val="Calibri"/>
      </rPr>
      <t xml:space="preserve">OL 8 must mount </t>
    </r>
    <r>
      <rPr>
        <sz val="11"/>
        <color rgb="FF000000"/>
        <rFont val="Calibri"/>
      </rPr>
      <t>"</t>
    </r>
    <r>
      <rPr>
        <b/>
        <sz val="11"/>
        <color rgb="FF000000"/>
        <rFont val="Calibri"/>
      </rPr>
      <t>/var/log/audit</t>
    </r>
    <r>
      <rPr>
        <sz val="11"/>
        <color rgb="FF000000"/>
        <rFont val="Calibri"/>
      </rPr>
      <t>"</t>
    </r>
    <r>
      <rPr>
        <sz val="11"/>
        <color rgb="FF000000"/>
        <rFont val="Calibri"/>
      </rPr>
      <t xml:space="preserve"> with the </t>
    </r>
    <r>
      <rPr>
        <sz val="11"/>
        <color rgb="FF000000"/>
        <rFont val="Calibri"/>
      </rPr>
      <t>"</t>
    </r>
    <r>
      <rPr>
        <b/>
        <sz val="11"/>
        <color rgb="FF000000"/>
        <rFont val="Calibri"/>
      </rPr>
      <t>nosuid</t>
    </r>
    <r>
      <rPr>
        <sz val="11"/>
        <color rgb="FF000000"/>
        <rFont val="Calibri"/>
      </rPr>
      <t>"</t>
    </r>
    <r>
      <rPr>
        <sz val="11"/>
        <color rgb="FF000000"/>
        <rFont val="Calibri"/>
      </rPr>
      <t xml:space="preserve"> option.</t>
    </r>
  </si>
  <si>
    <r>
      <rPr>
        <sz val="11"/>
        <color rgb="FF000000"/>
        <rFont val="Calibri"/>
      </rPr>
      <t>Configure the system so that /var/log/audit is mounted with the "nosuid" option by adding /modifying the /etc/fstab with the following line:</t>
    </r>
    <r>
      <rPr>
        <sz val="11"/>
        <color rgb="FF000000"/>
        <rFont val="Calibri"/>
      </rPr>
      <t xml:space="preserve">
</t>
    </r>
    <r>
      <rPr>
        <sz val="11"/>
        <color rgb="FF000000"/>
        <rFont val="Calibri"/>
      </rPr>
      <t>/dev/mapper/ol-var_log_audit /var/log/audit xfs defaults,nodev,nosuid,noexec 0 0</t>
    </r>
  </si>
  <si>
    <r>
      <rPr>
        <sz val="11"/>
        <color rgb="FF000000"/>
        <rFont val="Calibri"/>
      </rPr>
      <t>Verify "/var/log/audit" is mounted with the "nosuid" option:</t>
    </r>
    <r>
      <rPr>
        <sz val="11"/>
        <color rgb="FF000000"/>
        <rFont val="Calibri"/>
      </rPr>
      <t xml:space="preserve">
</t>
    </r>
    <r>
      <rPr>
        <sz val="11"/>
        <color rgb="FF000000"/>
        <rFont val="Calibri"/>
      </rPr>
      <t>$ sudo mount | grep /var/log/audit</t>
    </r>
    <r>
      <rPr>
        <sz val="11"/>
        <color rgb="FF000000"/>
        <rFont val="Calibri"/>
      </rPr>
      <t xml:space="preserve">
</t>
    </r>
    <r>
      <rPr>
        <sz val="11"/>
        <color rgb="FF000000"/>
        <rFont val="Calibri"/>
      </rPr>
      <t>/dev/mapper/ol-var_log_audit on /var/log/audit type xfs (rw,nodev,nosuid,noexec,seclabel)</t>
    </r>
    <r>
      <rPr>
        <sz val="11"/>
        <color rgb="FF000000"/>
        <rFont val="Calibri"/>
      </rPr>
      <t xml:space="preserve">
</t>
    </r>
    <r>
      <rPr>
        <sz val="11"/>
        <color rgb="FF000000"/>
        <rFont val="Calibri"/>
      </rPr>
      <t>Verify that the "nosuid" option is configured for /var/log/audit:</t>
    </r>
    <r>
      <rPr>
        <sz val="11"/>
        <color rgb="FF000000"/>
        <rFont val="Calibri"/>
      </rPr>
      <t xml:space="preserve">
</t>
    </r>
    <r>
      <rPr>
        <sz val="11"/>
        <color rgb="FF000000"/>
        <rFont val="Calibri"/>
      </rPr>
      <t>$ sudo cat /etc/fstab | grep /var/log/audit</t>
    </r>
    <r>
      <rPr>
        <sz val="11"/>
        <color rgb="FF000000"/>
        <rFont val="Calibri"/>
      </rPr>
      <t xml:space="preserve">
</t>
    </r>
    <r>
      <rPr>
        <sz val="11"/>
        <color rgb="FF000000"/>
        <rFont val="Calibri"/>
      </rPr>
      <t>/dev/mapper/ol-var_log_audit /var/log/audit xfs defaults,nodev,nosuid,noexec 0 0</t>
    </r>
    <r>
      <rPr>
        <sz val="11"/>
        <color rgb="FF000000"/>
        <rFont val="Calibri"/>
      </rPr>
      <t xml:space="preserve">
</t>
    </r>
    <r>
      <rPr>
        <sz val="11"/>
        <color rgb="FF000000"/>
        <rFont val="Calibri"/>
      </rPr>
      <t>If results are returned and the "nosuid" option is missing, or if /var/log/audit is mounted without the "nosuid" option, this is a finding.</t>
    </r>
  </si>
  <si>
    <t>V-248855</t>
  </si>
  <si>
    <r>
      <rPr>
        <sz val="11"/>
        <rFont val="Calibri"/>
      </rPr>
      <t xml:space="preserve">OL 8 must mount </t>
    </r>
    <r>
      <rPr>
        <sz val="11"/>
        <color rgb="FF000000"/>
        <rFont val="Calibri"/>
      </rPr>
      <t>"</t>
    </r>
    <r>
      <rPr>
        <b/>
        <sz val="11"/>
        <color rgb="FF000000"/>
        <rFont val="Calibri"/>
      </rPr>
      <t>/var/log/audit</t>
    </r>
    <r>
      <rPr>
        <sz val="11"/>
        <color rgb="FF000000"/>
        <rFont val="Calibri"/>
      </rPr>
      <t>"</t>
    </r>
    <r>
      <rPr>
        <sz val="11"/>
        <color rgb="FF000000"/>
        <rFont val="Calibri"/>
      </rPr>
      <t xml:space="preserve"> with the </t>
    </r>
    <r>
      <rPr>
        <sz val="11"/>
        <color rgb="FF000000"/>
        <rFont val="Calibri"/>
      </rPr>
      <t>"</t>
    </r>
    <r>
      <rPr>
        <b/>
        <sz val="11"/>
        <color rgb="FF000000"/>
        <rFont val="Calibri"/>
      </rPr>
      <t>noexec</t>
    </r>
    <r>
      <rPr>
        <sz val="11"/>
        <color rgb="FF000000"/>
        <rFont val="Calibri"/>
      </rPr>
      <t>"</t>
    </r>
    <r>
      <rPr>
        <sz val="11"/>
        <color rgb="FF000000"/>
        <rFont val="Calibri"/>
      </rPr>
      <t xml:space="preserve"> option.</t>
    </r>
  </si>
  <si>
    <r>
      <rPr>
        <sz val="11"/>
        <color rgb="FF000000"/>
        <rFont val="Calibri"/>
      </rPr>
      <t>Configure the system so that /var/log/audit is mounted with the "noexec" option by adding /modifying the /etc/fstab with the following line:</t>
    </r>
    <r>
      <rPr>
        <sz val="11"/>
        <color rgb="FF000000"/>
        <rFont val="Calibri"/>
      </rPr>
      <t xml:space="preserve">
</t>
    </r>
    <r>
      <rPr>
        <sz val="11"/>
        <color rgb="FF000000"/>
        <rFont val="Calibri"/>
      </rPr>
      <t>/dev/mapper/ol-var_log_audit /var/log/audit xfs defaults,nodev,nosuid,noexec 0 0</t>
    </r>
  </si>
  <si>
    <r>
      <rPr>
        <sz val="11"/>
        <color rgb="FF000000"/>
        <rFont val="Calibri"/>
      </rPr>
      <t>Verify "/var/log/audit" is mounted with the "noexec" option:</t>
    </r>
    <r>
      <rPr>
        <sz val="11"/>
        <color rgb="FF000000"/>
        <rFont val="Calibri"/>
      </rPr>
      <t xml:space="preserve">
</t>
    </r>
    <r>
      <rPr>
        <sz val="11"/>
        <color rgb="FF000000"/>
        <rFont val="Calibri"/>
      </rPr>
      <t>$ sudo mount | grep /var/log/audit</t>
    </r>
    <r>
      <rPr>
        <sz val="11"/>
        <color rgb="FF000000"/>
        <rFont val="Calibri"/>
      </rPr>
      <t xml:space="preserve">
</t>
    </r>
    <r>
      <rPr>
        <sz val="11"/>
        <color rgb="FF000000"/>
        <rFont val="Calibri"/>
      </rPr>
      <t>/dev/mapper/ol-var_log_audit on /var/log/audit type xfs (rw,nodev,nosuid,noexec,seclabel)</t>
    </r>
    <r>
      <rPr>
        <sz val="11"/>
        <color rgb="FF000000"/>
        <rFont val="Calibri"/>
      </rPr>
      <t xml:space="preserve">
</t>
    </r>
    <r>
      <rPr>
        <sz val="11"/>
        <color rgb="FF000000"/>
        <rFont val="Calibri"/>
      </rPr>
      <t>Verify that the "noexec" option is configured for /var/log/audit:</t>
    </r>
    <r>
      <rPr>
        <sz val="11"/>
        <color rgb="FF000000"/>
        <rFont val="Calibri"/>
      </rPr>
      <t xml:space="preserve">
</t>
    </r>
    <r>
      <rPr>
        <sz val="11"/>
        <color rgb="FF000000"/>
        <rFont val="Calibri"/>
      </rPr>
      <t>$ sudo cat /etc/fstab | grep /var/log/audit</t>
    </r>
    <r>
      <rPr>
        <sz val="11"/>
        <color rgb="FF000000"/>
        <rFont val="Calibri"/>
      </rPr>
      <t xml:space="preserve">
</t>
    </r>
    <r>
      <rPr>
        <sz val="11"/>
        <color rgb="FF000000"/>
        <rFont val="Calibri"/>
      </rPr>
      <t>/dev/mapper/ol-var_log_audit /var/log/audit xfs defaults,nodev,nosuid,noexec 0 0</t>
    </r>
    <r>
      <rPr>
        <sz val="11"/>
        <color rgb="FF000000"/>
        <rFont val="Calibri"/>
      </rPr>
      <t xml:space="preserve">
</t>
    </r>
    <r>
      <rPr>
        <sz val="11"/>
        <color rgb="FF000000"/>
        <rFont val="Calibri"/>
      </rPr>
      <t>If results are returned and the "noexec" option is missing, or if /var/log/audit is mounted without the "noexec" option, this is a finding.</t>
    </r>
  </si>
  <si>
    <t>V-248856</t>
  </si>
  <si>
    <r>
      <rPr>
        <sz val="11"/>
        <rFont val="Calibri"/>
      </rPr>
      <t xml:space="preserve">OL 8 must mount </t>
    </r>
    <r>
      <rPr>
        <sz val="11"/>
        <color rgb="FF000000"/>
        <rFont val="Calibri"/>
      </rPr>
      <t>"</t>
    </r>
    <r>
      <rPr>
        <b/>
        <sz val="11"/>
        <color rgb="FF000000"/>
        <rFont val="Calibri"/>
      </rPr>
      <t>/var/tmp</t>
    </r>
    <r>
      <rPr>
        <sz val="11"/>
        <color rgb="FF000000"/>
        <rFont val="Calibri"/>
      </rPr>
      <t>"</t>
    </r>
    <r>
      <rPr>
        <sz val="11"/>
        <color rgb="FF000000"/>
        <rFont val="Calibri"/>
      </rPr>
      <t xml:space="preserve"> with the </t>
    </r>
    <r>
      <rPr>
        <sz val="11"/>
        <color rgb="FF000000"/>
        <rFont val="Calibri"/>
      </rPr>
      <t>"</t>
    </r>
    <r>
      <rPr>
        <b/>
        <sz val="11"/>
        <color rgb="FF000000"/>
        <rFont val="Calibri"/>
      </rPr>
      <t>nodev</t>
    </r>
    <r>
      <rPr>
        <sz val="11"/>
        <color rgb="FF000000"/>
        <rFont val="Calibri"/>
      </rPr>
      <t>"</t>
    </r>
    <r>
      <rPr>
        <sz val="11"/>
        <color rgb="FF000000"/>
        <rFont val="Calibri"/>
      </rPr>
      <t xml:space="preserve"> option.</t>
    </r>
  </si>
  <si>
    <r>
      <rPr>
        <sz val="11"/>
        <color rgb="FF000000"/>
        <rFont val="Calibri"/>
      </rPr>
      <t>Configure the system so that /var/tmp is mounted with the "nodev" option by adding /modifying the /etc/fstab with the following line:</t>
    </r>
    <r>
      <rPr>
        <sz val="11"/>
        <color rgb="FF000000"/>
        <rFont val="Calibri"/>
      </rPr>
      <t xml:space="preserve">
</t>
    </r>
    <r>
      <rPr>
        <sz val="11"/>
        <color rgb="FF000000"/>
        <rFont val="Calibri"/>
      </rPr>
      <t>/dev/mapper/ol-var_tmp /var/tmp xfs defaults,nodev,nosuid,noexec 0 0</t>
    </r>
  </si>
  <si>
    <r>
      <rPr>
        <sz val="11"/>
        <color rgb="FF000000"/>
        <rFont val="Calibri"/>
      </rPr>
      <t>Verify "/var/tmp" is mounted with the "nodev" option:</t>
    </r>
    <r>
      <rPr>
        <sz val="11"/>
        <color rgb="FF000000"/>
        <rFont val="Calibri"/>
      </rPr>
      <t xml:space="preserve">
</t>
    </r>
    <r>
      <rPr>
        <sz val="11"/>
        <color rgb="FF000000"/>
        <rFont val="Calibri"/>
      </rPr>
      <t>$ sudo mount | grep /var/tmp</t>
    </r>
    <r>
      <rPr>
        <sz val="11"/>
        <color rgb="FF000000"/>
        <rFont val="Calibri"/>
      </rPr>
      <t xml:space="preserve">
</t>
    </r>
    <r>
      <rPr>
        <sz val="11"/>
        <color rgb="FF000000"/>
        <rFont val="Calibri"/>
      </rPr>
      <t>/dev/mapper/ol-var_tmp on /var/tmp type xfs (rw,nodev,nosuid,noexec,seclabel)</t>
    </r>
    <r>
      <rPr>
        <sz val="11"/>
        <color rgb="FF000000"/>
        <rFont val="Calibri"/>
      </rPr>
      <t xml:space="preserve">
</t>
    </r>
    <r>
      <rPr>
        <sz val="11"/>
        <color rgb="FF000000"/>
        <rFont val="Calibri"/>
      </rPr>
      <t>Verify that the "nodev" option is configured for /var/tmp:</t>
    </r>
    <r>
      <rPr>
        <sz val="11"/>
        <color rgb="FF000000"/>
        <rFont val="Calibri"/>
      </rPr>
      <t xml:space="preserve">
</t>
    </r>
    <r>
      <rPr>
        <sz val="11"/>
        <color rgb="FF000000"/>
        <rFont val="Calibri"/>
      </rPr>
      <t>$ sudo cat /etc/fstab | grep /var/tmp</t>
    </r>
    <r>
      <rPr>
        <sz val="11"/>
        <color rgb="FF000000"/>
        <rFont val="Calibri"/>
      </rPr>
      <t xml:space="preserve">
</t>
    </r>
    <r>
      <rPr>
        <sz val="11"/>
        <color rgb="FF000000"/>
        <rFont val="Calibri"/>
      </rPr>
      <t>/dev/mapper/ol-var_tmp /var/tmp xfs defaults,nodev,nosuid,noexec 0 0</t>
    </r>
    <r>
      <rPr>
        <sz val="11"/>
        <color rgb="FF000000"/>
        <rFont val="Calibri"/>
      </rPr>
      <t xml:space="preserve">
</t>
    </r>
    <r>
      <rPr>
        <sz val="11"/>
        <color rgb="FF000000"/>
        <rFont val="Calibri"/>
      </rPr>
      <t>If results are returned and the "nodev" option is missing, or if /var/tmp is mounted without the "nodev" option, this is a finding.</t>
    </r>
  </si>
  <si>
    <t>V-248857</t>
  </si>
  <si>
    <r>
      <rPr>
        <sz val="11"/>
        <rFont val="Calibri"/>
      </rPr>
      <t xml:space="preserve">OL 8 must mount </t>
    </r>
    <r>
      <rPr>
        <sz val="11"/>
        <color rgb="FF000000"/>
        <rFont val="Calibri"/>
      </rPr>
      <t>"</t>
    </r>
    <r>
      <rPr>
        <b/>
        <sz val="11"/>
        <color rgb="FF000000"/>
        <rFont val="Calibri"/>
      </rPr>
      <t>/var/tmp</t>
    </r>
    <r>
      <rPr>
        <sz val="11"/>
        <color rgb="FF000000"/>
        <rFont val="Calibri"/>
      </rPr>
      <t>"</t>
    </r>
    <r>
      <rPr>
        <sz val="11"/>
        <color rgb="FF000000"/>
        <rFont val="Calibri"/>
      </rPr>
      <t xml:space="preserve"> with the </t>
    </r>
    <r>
      <rPr>
        <sz val="11"/>
        <color rgb="FF000000"/>
        <rFont val="Calibri"/>
      </rPr>
      <t>"</t>
    </r>
    <r>
      <rPr>
        <b/>
        <sz val="11"/>
        <color rgb="FF000000"/>
        <rFont val="Calibri"/>
      </rPr>
      <t>nosuid</t>
    </r>
    <r>
      <rPr>
        <sz val="11"/>
        <color rgb="FF000000"/>
        <rFont val="Calibri"/>
      </rPr>
      <t>"</t>
    </r>
    <r>
      <rPr>
        <sz val="11"/>
        <color rgb="FF000000"/>
        <rFont val="Calibri"/>
      </rPr>
      <t xml:space="preserve"> option.</t>
    </r>
  </si>
  <si>
    <r>
      <rPr>
        <sz val="11"/>
        <color rgb="FF000000"/>
        <rFont val="Calibri"/>
      </rPr>
      <t>Configure the system so that /var/tmp is mounted with the "nosuid" option by adding /modifying the /etc/fstab with the following line:</t>
    </r>
    <r>
      <rPr>
        <sz val="11"/>
        <color rgb="FF000000"/>
        <rFont val="Calibri"/>
      </rPr>
      <t xml:space="preserve">
</t>
    </r>
    <r>
      <rPr>
        <sz val="11"/>
        <color rgb="FF000000"/>
        <rFont val="Calibri"/>
      </rPr>
      <t>/dev/mapper/ol-var_tmp /var/tmp xfs defaults,nodev,nosuid,noexec 0 0</t>
    </r>
  </si>
  <si>
    <r>
      <rPr>
        <sz val="11"/>
        <color rgb="FF000000"/>
        <rFont val="Calibri"/>
      </rPr>
      <t>Verify "/var/tmp" is mounted with the "nosuid" option:</t>
    </r>
    <r>
      <rPr>
        <sz val="11"/>
        <color rgb="FF000000"/>
        <rFont val="Calibri"/>
      </rPr>
      <t xml:space="preserve">
</t>
    </r>
    <r>
      <rPr>
        <sz val="11"/>
        <color rgb="FF000000"/>
        <rFont val="Calibri"/>
      </rPr>
      <t>$ sudo mount | grep /var/tmp</t>
    </r>
    <r>
      <rPr>
        <sz val="11"/>
        <color rgb="FF000000"/>
        <rFont val="Calibri"/>
      </rPr>
      <t xml:space="preserve">
</t>
    </r>
    <r>
      <rPr>
        <sz val="11"/>
        <color rgb="FF000000"/>
        <rFont val="Calibri"/>
      </rPr>
      <t>/dev/mapper/ol-var_tmp on /var/tmp type xfs (rw,nodev,nosuid,noexec,seclabel)</t>
    </r>
    <r>
      <rPr>
        <sz val="11"/>
        <color rgb="FF000000"/>
        <rFont val="Calibri"/>
      </rPr>
      <t xml:space="preserve">
</t>
    </r>
    <r>
      <rPr>
        <sz val="11"/>
        <color rgb="FF000000"/>
        <rFont val="Calibri"/>
      </rPr>
      <t>Verify that the "nosuid" option is configured for /var/tmp:</t>
    </r>
    <r>
      <rPr>
        <sz val="11"/>
        <color rgb="FF000000"/>
        <rFont val="Calibri"/>
      </rPr>
      <t xml:space="preserve">
</t>
    </r>
    <r>
      <rPr>
        <sz val="11"/>
        <color rgb="FF000000"/>
        <rFont val="Calibri"/>
      </rPr>
      <t>$ sudo cat /etc/fstab | grep /var/tmp</t>
    </r>
    <r>
      <rPr>
        <sz val="11"/>
        <color rgb="FF000000"/>
        <rFont val="Calibri"/>
      </rPr>
      <t xml:space="preserve">
</t>
    </r>
    <r>
      <rPr>
        <sz val="11"/>
        <color rgb="FF000000"/>
        <rFont val="Calibri"/>
      </rPr>
      <t>/dev/mapper/ol-var_tmp /var/tmp xfs defaults,nodev,nosuid,noexec 0 0</t>
    </r>
    <r>
      <rPr>
        <sz val="11"/>
        <color rgb="FF000000"/>
        <rFont val="Calibri"/>
      </rPr>
      <t xml:space="preserve">
</t>
    </r>
    <r>
      <rPr>
        <sz val="11"/>
        <color rgb="FF000000"/>
        <rFont val="Calibri"/>
      </rPr>
      <t>If results are returned and the "nosuid" option is missing, or if /var/tmp is mounted without the "nosuid" option, this is a finding.</t>
    </r>
  </si>
  <si>
    <t>V-248858</t>
  </si>
  <si>
    <r>
      <rPr>
        <sz val="11"/>
        <rFont val="Calibri"/>
      </rPr>
      <t xml:space="preserve">OL 8 must mount </t>
    </r>
    <r>
      <rPr>
        <sz val="11"/>
        <color rgb="FF000000"/>
        <rFont val="Calibri"/>
      </rPr>
      <t>"</t>
    </r>
    <r>
      <rPr>
        <b/>
        <sz val="11"/>
        <color rgb="FF000000"/>
        <rFont val="Calibri"/>
      </rPr>
      <t>/var/tmp</t>
    </r>
    <r>
      <rPr>
        <sz val="11"/>
        <color rgb="FF000000"/>
        <rFont val="Calibri"/>
      </rPr>
      <t>"</t>
    </r>
    <r>
      <rPr>
        <sz val="11"/>
        <color rgb="FF000000"/>
        <rFont val="Calibri"/>
      </rPr>
      <t xml:space="preserve"> with the </t>
    </r>
    <r>
      <rPr>
        <sz val="11"/>
        <color rgb="FF000000"/>
        <rFont val="Calibri"/>
      </rPr>
      <t>"</t>
    </r>
    <r>
      <rPr>
        <b/>
        <sz val="11"/>
        <color rgb="FF000000"/>
        <rFont val="Calibri"/>
      </rPr>
      <t>noexec</t>
    </r>
    <r>
      <rPr>
        <sz val="11"/>
        <color rgb="FF000000"/>
        <rFont val="Calibri"/>
      </rPr>
      <t>"</t>
    </r>
    <r>
      <rPr>
        <sz val="11"/>
        <color rgb="FF000000"/>
        <rFont val="Calibri"/>
      </rPr>
      <t xml:space="preserve"> option.</t>
    </r>
  </si>
  <si>
    <r>
      <rPr>
        <sz val="11"/>
        <color rgb="FF000000"/>
        <rFont val="Calibri"/>
      </rPr>
      <t>Configure the system so that /var/tmp is mounted with the "noexec" option by adding /modifying the /etc/fstab with the following line:</t>
    </r>
    <r>
      <rPr>
        <sz val="11"/>
        <color rgb="FF000000"/>
        <rFont val="Calibri"/>
      </rPr>
      <t xml:space="preserve">
</t>
    </r>
    <r>
      <rPr>
        <sz val="11"/>
        <color rgb="FF000000"/>
        <rFont val="Calibri"/>
      </rPr>
      <t>/dev/mapper/ol-var_tmp /var/tmp xfs defaults,nodev,nosuid,noexec 0 0</t>
    </r>
  </si>
  <si>
    <r>
      <rPr>
        <sz val="11"/>
        <color rgb="FF000000"/>
        <rFont val="Calibri"/>
      </rPr>
      <t>Verify "/var/tmp" is mounted with the "noexec" option:</t>
    </r>
    <r>
      <rPr>
        <sz val="11"/>
        <color rgb="FF000000"/>
        <rFont val="Calibri"/>
      </rPr>
      <t xml:space="preserve">
</t>
    </r>
    <r>
      <rPr>
        <sz val="11"/>
        <color rgb="FF000000"/>
        <rFont val="Calibri"/>
      </rPr>
      <t>$ sudo mount | grep /var/tmp</t>
    </r>
    <r>
      <rPr>
        <sz val="11"/>
        <color rgb="FF000000"/>
        <rFont val="Calibri"/>
      </rPr>
      <t xml:space="preserve">
</t>
    </r>
    <r>
      <rPr>
        <sz val="11"/>
        <color rgb="FF000000"/>
        <rFont val="Calibri"/>
      </rPr>
      <t>/dev/mapper/ol-var_tmp on /var/tmp type xfs (rw,nodev,nosuid,noexec,seclabel)</t>
    </r>
    <r>
      <rPr>
        <sz val="11"/>
        <color rgb="FF000000"/>
        <rFont val="Calibri"/>
      </rPr>
      <t xml:space="preserve">
</t>
    </r>
    <r>
      <rPr>
        <sz val="11"/>
        <color rgb="FF000000"/>
        <rFont val="Calibri"/>
      </rPr>
      <t>Verify that the "noexec" option is configured for /var/tmp:</t>
    </r>
    <r>
      <rPr>
        <sz val="11"/>
        <color rgb="FF000000"/>
        <rFont val="Calibri"/>
      </rPr>
      <t xml:space="preserve">
</t>
    </r>
    <r>
      <rPr>
        <sz val="11"/>
        <color rgb="FF000000"/>
        <rFont val="Calibri"/>
      </rPr>
      <t>$ sudo cat /etc/fstab | grep /var/tmp</t>
    </r>
    <r>
      <rPr>
        <sz val="11"/>
        <color rgb="FF000000"/>
        <rFont val="Calibri"/>
      </rPr>
      <t xml:space="preserve">
</t>
    </r>
    <r>
      <rPr>
        <sz val="11"/>
        <color rgb="FF000000"/>
        <rFont val="Calibri"/>
      </rPr>
      <t>/dev/mapper/ol-var_tmp /var/tmp xfs defaults,nodev,nosuid,noexec 0 0</t>
    </r>
    <r>
      <rPr>
        <sz val="11"/>
        <color rgb="FF000000"/>
        <rFont val="Calibri"/>
      </rPr>
      <t xml:space="preserve">
</t>
    </r>
    <r>
      <rPr>
        <sz val="11"/>
        <color rgb="FF000000"/>
        <rFont val="Calibri"/>
      </rPr>
      <t>If results are returned and the "noexec" option is missing, or if /var/tmp is mounted without the "noexec" option, this is a finding.</t>
    </r>
  </si>
  <si>
    <t>V-248859</t>
  </si>
  <si>
    <r>
      <rPr>
        <sz val="11"/>
        <rFont val="Calibri"/>
      </rPr>
      <t xml:space="preserve">The OL 8 </t>
    </r>
    <r>
      <rPr>
        <sz val="11"/>
        <color rgb="FF000000"/>
        <rFont val="Calibri"/>
      </rPr>
      <t>"</t>
    </r>
    <r>
      <rPr>
        <b/>
        <sz val="11"/>
        <color rgb="FF000000"/>
        <rFont val="Calibri"/>
      </rPr>
      <t>fapolicy</t>
    </r>
    <r>
      <rPr>
        <sz val="11"/>
        <color rgb="FF000000"/>
        <rFont val="Calibri"/>
      </rPr>
      <t>"</t>
    </r>
    <r>
      <rPr>
        <sz val="11"/>
        <color rgb="FF000000"/>
        <rFont val="Calibri"/>
      </rPr>
      <t xml:space="preserve"> module must be installed.</t>
    </r>
  </si>
  <si>
    <r>
      <rPr>
        <sz val="11"/>
        <color rgb="FF000000"/>
        <rFont val="Calibri"/>
      </rPr>
      <t xml:space="preserve">Install "fapolicyd"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yum install fapolicyd.x86_64</t>
    </r>
  </si>
  <si>
    <r>
      <rPr>
        <sz val="11"/>
        <color rgb="FF000000"/>
        <rFont val="Calibri"/>
      </rPr>
      <t xml:space="preserve">The organization must identify authorized software programs and permit execution of authorized software. The process used to identify software programs that are authorized to execute on organizational information systems is commonly referred to as whitelisting.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Using a whitelist provides a configuration management method for allowing the execution of only authorized software. Using only authorized software decreases risk by limiting the number of potential vulnerabilities. Verification of whitelisted software occurs prior to execution or at system startup.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Users' home directories/folders may contain information of a sensitive nature. Non-privileged users should coordinate any sharing of information with a System Administrator through shared resources.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OL 8 ships with many optional packages. One such package is a file access policy daemon called "fapolicyd". This is a userspace daemon that determines access rights to files based on attributes of the process and file. It can be used to either blacklist or whitelist processes or file access.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Proceed with caution with enforcing the use of this daemon. Improper configuration may render the system non-functional. The "fapolicyd" API is not namespace aware and can cause issues when launching or running containers.</t>
    </r>
    <r>
      <rPr>
        <sz val="11"/>
        <color rgb="FF000000"/>
        <rFont val="Calibri"/>
      </rPr>
      <t xml:space="preserve">
</t>
    </r>
    <r>
      <rPr>
        <sz val="11"/>
        <color rgb="FF000000"/>
        <rFont val="Calibri"/>
      </rPr>
      <t>Satisfies: SRG-OS-000368-GPOS-00154, SRG-OS-000370-GPOS-00155</t>
    </r>
  </si>
  <si>
    <r>
      <rPr>
        <sz val="11"/>
        <color rgb="FF000000"/>
        <rFont val="Calibri"/>
      </rPr>
      <t>Verify the OL 8 "fapolicyd" is installed.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Check that "fapolicyd" is installed with the following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yum list installed fapolicyd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Installed Packages </t>
    </r>
    <r>
      <rPr>
        <sz val="11"/>
        <color rgb="FF000000"/>
        <rFont val="Calibri"/>
      </rPr>
      <t xml:space="preserve">
</t>
    </r>
    <r>
      <rPr>
        <sz val="11"/>
        <color rgb="FF000000"/>
        <rFont val="Calibri"/>
      </rPr>
      <t xml:space="preserve">fapolicyd.x86_64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"fapolicyd" is not installed, this is a finding.</t>
    </r>
  </si>
  <si>
    <t>V-248860</t>
  </si>
  <si>
    <r>
      <rPr>
        <sz val="11"/>
        <rFont val="Calibri"/>
      </rPr>
      <t xml:space="preserve">The OL 8 </t>
    </r>
    <r>
      <rPr>
        <sz val="11"/>
        <color rgb="FF000000"/>
        <rFont val="Calibri"/>
      </rPr>
      <t>"</t>
    </r>
    <r>
      <rPr>
        <b/>
        <sz val="11"/>
        <color rgb="FF000000"/>
        <rFont val="Calibri"/>
      </rPr>
      <t>fapolicy</t>
    </r>
    <r>
      <rPr>
        <sz val="11"/>
        <color rgb="FF000000"/>
        <rFont val="Calibri"/>
      </rPr>
      <t>"</t>
    </r>
    <r>
      <rPr>
        <sz val="11"/>
        <color rgb="FF000000"/>
        <rFont val="Calibri"/>
      </rPr>
      <t xml:space="preserve"> module must be enabled.</t>
    </r>
  </si>
  <si>
    <r>
      <rPr>
        <sz val="11"/>
        <color rgb="FF000000"/>
        <rFont val="Calibri"/>
      </rPr>
      <t>Enable "fapolicyd" using the following command:</t>
    </r>
    <r>
      <rPr>
        <sz val="11"/>
        <color rgb="FF000000"/>
        <rFont val="Calibri"/>
      </rPr>
      <t xml:space="preserve">
</t>
    </r>
    <r>
      <rPr>
        <sz val="11"/>
        <color rgb="FF000000"/>
        <rFont val="Calibri"/>
      </rPr>
      <t>$ sudo systemctl enable --now fapolicyd</t>
    </r>
  </si>
  <si>
    <r>
      <rPr>
        <sz val="11"/>
        <color rgb="FF000000"/>
        <rFont val="Calibri"/>
      </rPr>
      <t>Verify the OL 8 "fapolicyd" is enabled and running with the following command:</t>
    </r>
    <r>
      <rPr>
        <sz val="11"/>
        <color rgb="FF000000"/>
        <rFont val="Calibri"/>
      </rPr>
      <t xml:space="preserve">
</t>
    </r>
    <r>
      <rPr>
        <sz val="11"/>
        <color rgb="FF000000"/>
        <rFont val="Calibri"/>
      </rPr>
      <t>$ sudo systemctl status fapolicyd.service</t>
    </r>
    <r>
      <rPr>
        <sz val="11"/>
        <color rgb="FF000000"/>
        <rFont val="Calibri"/>
      </rPr>
      <t xml:space="preserve">
</t>
    </r>
    <r>
      <rPr>
        <sz val="11"/>
        <color rgb="FF000000"/>
        <rFont val="Calibri"/>
      </rPr>
      <t>fapolicyd.service - File Access Policy Daemon</t>
    </r>
    <r>
      <rPr>
        <sz val="11"/>
        <color rgb="FF000000"/>
        <rFont val="Calibri"/>
      </rPr>
      <t xml:space="preserve">
</t>
    </r>
    <r>
      <rPr>
        <sz val="11"/>
        <color rgb="FF000000"/>
        <rFont val="Calibri"/>
      </rPr>
      <t>Loaded: loaded (/usr/lib/systemd/system/fapolicyd.service; enabled; vendor preset: disabled)</t>
    </r>
    <r>
      <rPr>
        <sz val="11"/>
        <color rgb="FF000000"/>
        <rFont val="Calibri"/>
      </rPr>
      <t xml:space="preserve">
</t>
    </r>
    <r>
      <rPr>
        <sz val="11"/>
        <color rgb="FF000000"/>
        <rFont val="Calibri"/>
      </rPr>
      <t>Active: active (running)</t>
    </r>
    <r>
      <rPr>
        <sz val="11"/>
        <color rgb="FF000000"/>
        <rFont val="Calibri"/>
      </rPr>
      <t xml:space="preserve">
</t>
    </r>
    <r>
      <rPr>
        <sz val="11"/>
        <color rgb="FF000000"/>
        <rFont val="Calibri"/>
      </rPr>
      <t>If fapolicyd is not enabled and running, this is a finding.</t>
    </r>
  </si>
  <si>
    <t>V-248861</t>
  </si>
  <si>
    <r>
      <rPr>
        <sz val="11"/>
        <rFont val="Calibri"/>
      </rPr>
      <t>The OL 8 fapolicy module must be configured to employ a deny-all, permit-by-exception policy to allow the execution of authorized software programs.</t>
    </r>
  </si>
  <si>
    <r>
      <rPr>
        <sz val="11"/>
        <color rgb="FF000000"/>
        <rFont val="Calibri"/>
      </rPr>
      <t>Configure OL 8 to employ a deny-all, permit-by-exception application whitelisting policy with "fapolicyd".</t>
    </r>
    <r>
      <rPr>
        <sz val="11"/>
        <color rgb="FF000000"/>
        <rFont val="Calibri"/>
      </rPr>
      <t xml:space="preserve">
</t>
    </r>
    <r>
      <rPr>
        <sz val="11"/>
        <color rgb="FF000000"/>
        <rFont val="Calibri"/>
      </rPr>
      <t>With the "fapolicyd" installed and enabled, configure the daemon to function in permissive mode until the whitelist is built correctly to avoid system lockout. Do this by editing the "/etc/fapolicyd/fapolicyd.conf" file with the following line:</t>
    </r>
    <r>
      <rPr>
        <sz val="11"/>
        <color rgb="FF000000"/>
        <rFont val="Calibri"/>
      </rPr>
      <t xml:space="preserve">
</t>
    </r>
    <r>
      <rPr>
        <sz val="11"/>
        <color rgb="FF000000"/>
        <rFont val="Calibri"/>
      </rPr>
      <t>permissive = 1</t>
    </r>
    <r>
      <rPr>
        <sz val="11"/>
        <color rgb="FF000000"/>
        <rFont val="Calibri"/>
      </rPr>
      <t xml:space="preserve">
</t>
    </r>
    <r>
      <rPr>
        <sz val="11"/>
        <color rgb="FF000000"/>
        <rFont val="Calibri"/>
      </rPr>
      <t>For OL 8.4 systems and older:</t>
    </r>
    <r>
      <rPr>
        <sz val="11"/>
        <color rgb="FF000000"/>
        <rFont val="Calibri"/>
      </rPr>
      <t xml:space="preserve">
</t>
    </r>
    <r>
      <rPr>
        <sz val="11"/>
        <color rgb="FF000000"/>
        <rFont val="Calibri"/>
      </rPr>
      <t>Build the whitelist in the "/etc/fapolicyd/fapolicyd.rules" file ensuring the last rule is "deny perm=any all : all".</t>
    </r>
    <r>
      <rPr>
        <sz val="11"/>
        <color rgb="FF000000"/>
        <rFont val="Calibri"/>
      </rPr>
      <t xml:space="preserve">
</t>
    </r>
    <r>
      <rPr>
        <sz val="11"/>
        <color rgb="FF000000"/>
        <rFont val="Calibri"/>
      </rPr>
      <t>For OL 8.5 systems and newer:</t>
    </r>
    <r>
      <rPr>
        <sz val="11"/>
        <color rgb="FF000000"/>
        <rFont val="Calibri"/>
      </rPr>
      <t xml:space="preserve">
</t>
    </r>
    <r>
      <rPr>
        <sz val="11"/>
        <color rgb="FF000000"/>
        <rFont val="Calibri"/>
      </rPr>
      <t>Build the whitelist in a file within the "/etc/fapolicyd/rules.d" directory ensuring the last rule is "deny perm=any all : all".</t>
    </r>
    <r>
      <rPr>
        <sz val="11"/>
        <color rgb="FF000000"/>
        <rFont val="Calibri"/>
      </rPr>
      <t xml:space="preserve">
</t>
    </r>
    <r>
      <rPr>
        <sz val="11"/>
        <color rgb="FF000000"/>
        <rFont val="Calibri"/>
      </rPr>
      <t>Once it is determined the whitelist is built correctly, set the fapolicyd to enforcing mode by editing the "permissive" line in the /etc/fapolicyd/fapolicyd.conf file.</t>
    </r>
    <r>
      <rPr>
        <sz val="11"/>
        <color rgb="FF000000"/>
        <rFont val="Calibri"/>
      </rPr>
      <t xml:space="preserve">
</t>
    </r>
    <r>
      <rPr>
        <sz val="11"/>
        <color rgb="FF000000"/>
        <rFont val="Calibri"/>
      </rPr>
      <t>permissive = 0</t>
    </r>
  </si>
  <si>
    <r>
      <rPr>
        <sz val="11"/>
        <color rgb="FF000000"/>
        <rFont val="Calibri"/>
      </rPr>
      <t>Verify the OL 8 "fapolicyd" employs a deny-all, permit-by-exception policy.</t>
    </r>
    <r>
      <rPr>
        <sz val="11"/>
        <color rgb="FF000000"/>
        <rFont val="Calibri"/>
      </rPr>
      <t xml:space="preserve">
</t>
    </r>
    <r>
      <rPr>
        <sz val="11"/>
        <color rgb="FF000000"/>
        <rFont val="Calibri"/>
      </rPr>
      <t>Check that "fapolicyd" is in enforcement mode with the following command:</t>
    </r>
    <r>
      <rPr>
        <sz val="11"/>
        <color rgb="FF000000"/>
        <rFont val="Calibri"/>
      </rPr>
      <t xml:space="preserve">
</t>
    </r>
    <r>
      <rPr>
        <sz val="11"/>
        <color rgb="FF000000"/>
        <rFont val="Calibri"/>
      </rPr>
      <t>$ sudo grep permissive /etc/fapolicyd/fapolicyd.conf</t>
    </r>
    <r>
      <rPr>
        <sz val="11"/>
        <color rgb="FF000000"/>
        <rFont val="Calibri"/>
      </rPr>
      <t xml:space="preserve">
</t>
    </r>
    <r>
      <rPr>
        <sz val="11"/>
        <color rgb="FF000000"/>
        <rFont val="Calibri"/>
      </rPr>
      <t>permissive = 0</t>
    </r>
    <r>
      <rPr>
        <sz val="11"/>
        <color rgb="FF000000"/>
        <rFont val="Calibri"/>
      </rPr>
      <t xml:space="preserve">
</t>
    </r>
    <r>
      <rPr>
        <sz val="11"/>
        <color rgb="FF000000"/>
        <rFont val="Calibri"/>
      </rPr>
      <t>Check that fapolicyd employs a deny-all policy on system mounts with the following commands:</t>
    </r>
    <r>
      <rPr>
        <sz val="11"/>
        <color rgb="FF000000"/>
        <rFont val="Calibri"/>
      </rPr>
      <t xml:space="preserve">
</t>
    </r>
    <r>
      <rPr>
        <sz val="11"/>
        <color rgb="FF000000"/>
        <rFont val="Calibri"/>
      </rPr>
      <t>For OL 8.4 systems and older:</t>
    </r>
    <r>
      <rPr>
        <sz val="11"/>
        <color rgb="FF000000"/>
        <rFont val="Calibri"/>
      </rPr>
      <t xml:space="preserve">
</t>
    </r>
    <r>
      <rPr>
        <sz val="11"/>
        <color rgb="FF000000"/>
        <rFont val="Calibri"/>
      </rPr>
      <t>$ sudo tail /etc/fapolicyd/fapolicyd.rules</t>
    </r>
    <r>
      <rPr>
        <sz val="11"/>
        <color rgb="FF000000"/>
        <rFont val="Calibri"/>
      </rPr>
      <t xml:space="preserve">
</t>
    </r>
    <r>
      <rPr>
        <sz val="11"/>
        <color rgb="FF000000"/>
        <rFont val="Calibri"/>
      </rPr>
      <t>For OL 8.5 systems and newer:</t>
    </r>
    <r>
      <rPr>
        <sz val="11"/>
        <color rgb="FF000000"/>
        <rFont val="Calibri"/>
      </rPr>
      <t xml:space="preserve">
</t>
    </r>
    <r>
      <rPr>
        <sz val="11"/>
        <color rgb="FF000000"/>
        <rFont val="Calibri"/>
      </rPr>
      <t>$ sudo tail /etc/fapolicyd/compiled.rules</t>
    </r>
    <r>
      <rPr>
        <sz val="11"/>
        <color rgb="FF000000"/>
        <rFont val="Calibri"/>
      </rPr>
      <t xml:space="preserve">
</t>
    </r>
    <r>
      <rPr>
        <sz val="11"/>
        <color rgb="FF000000"/>
        <rFont val="Calibri"/>
      </rPr>
      <t>allow exe=/usr/bin/python3.7 : ftype=text/x-python</t>
    </r>
    <r>
      <rPr>
        <sz val="11"/>
        <color rgb="FF000000"/>
        <rFont val="Calibri"/>
      </rPr>
      <t xml:space="preserve">
</t>
    </r>
    <r>
      <rPr>
        <sz val="11"/>
        <color rgb="FF000000"/>
        <rFont val="Calibri"/>
      </rPr>
      <t>deny_audit perm=any pattern=ld_so : all</t>
    </r>
    <r>
      <rPr>
        <sz val="11"/>
        <color rgb="FF000000"/>
        <rFont val="Calibri"/>
      </rPr>
      <t xml:space="preserve">
</t>
    </r>
    <r>
      <rPr>
        <sz val="11"/>
        <color rgb="FF000000"/>
        <rFont val="Calibri"/>
      </rPr>
      <t>deny perm=any all : all</t>
    </r>
    <r>
      <rPr>
        <sz val="11"/>
        <color rgb="FF000000"/>
        <rFont val="Calibri"/>
      </rPr>
      <t xml:space="preserve">
</t>
    </r>
    <r>
      <rPr>
        <sz val="11"/>
        <color rgb="FF000000"/>
        <rFont val="Calibri"/>
      </rPr>
      <t>If fapolicyd is not running in enforcement mode with a deny-all, permit-by-exception policy, this is a finding.</t>
    </r>
  </si>
  <si>
    <t>V-248862</t>
  </si>
  <si>
    <r>
      <rPr>
        <sz val="11"/>
        <rFont val="Calibri"/>
      </rPr>
      <t>OL 8 must have the USBGuard installed.</t>
    </r>
  </si>
  <si>
    <r>
      <rPr>
        <sz val="11"/>
        <color rgb="FF000000"/>
        <rFont val="Calibri"/>
      </rPr>
      <t>Install the USBGuard package with the following command:</t>
    </r>
    <r>
      <rPr>
        <sz val="11"/>
        <color rgb="FF000000"/>
        <rFont val="Calibri"/>
      </rPr>
      <t xml:space="preserve">
</t>
    </r>
    <r>
      <rPr>
        <sz val="11"/>
        <color rgb="FF000000"/>
        <rFont val="Calibri"/>
      </rPr>
      <t>$ sudo yum install usbguard.x86_64</t>
    </r>
  </si>
  <si>
    <r>
      <rPr>
        <sz val="11"/>
        <color rgb="FF000000"/>
        <rFont val="Calibri"/>
      </rPr>
      <t xml:space="preserve">Without authenticating devices, unidentified or unknown devices may be introduced, thereby facilitating malicious activity.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Peripherals include but are not limited to such devices as flash drives, external storage, and printers.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new feature that OL 8 provides is the USBGuard software framework. The USBguard-daemon is the main component of the USBGuard software framework. It runs as a service in the background and enforces the USB device authorization policy for all USB devices. The policy is defined by a set of rules using a rule language described in the "usbguard-rules.conf" file. The policy and the authorization state of USB devices can be modified during runtime using the "usbguard" tool.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 system administrator (SA) must work with the site information system security officer (ISSO) to determine a list of authorized peripherals and establish rules within the USBGuard software framework to allow only authorized devices.</t>
    </r>
  </si>
  <si>
    <r>
      <rPr>
        <sz val="11"/>
        <color rgb="FF000000"/>
        <rFont val="Calibri"/>
      </rPr>
      <t>Verify USBGuard is installed on the operating system with the following command:</t>
    </r>
    <r>
      <rPr>
        <sz val="11"/>
        <color rgb="FF000000"/>
        <rFont val="Calibri"/>
      </rPr>
      <t xml:space="preserve">
</t>
    </r>
    <r>
      <rPr>
        <sz val="11"/>
        <color rgb="FF000000"/>
        <rFont val="Calibri"/>
      </rPr>
      <t>$ sudo yum list installed usbguard</t>
    </r>
    <r>
      <rPr>
        <sz val="11"/>
        <color rgb="FF000000"/>
        <rFont val="Calibri"/>
      </rPr>
      <t xml:space="preserve">
</t>
    </r>
    <r>
      <rPr>
        <sz val="11"/>
        <color rgb="FF000000"/>
        <rFont val="Calibri"/>
      </rPr>
      <t>Installed Packages</t>
    </r>
    <r>
      <rPr>
        <sz val="11"/>
        <color rgb="FF000000"/>
        <rFont val="Calibri"/>
      </rPr>
      <t xml:space="preserve">
</t>
    </r>
    <r>
      <rPr>
        <sz val="11"/>
        <color rgb="FF000000"/>
        <rFont val="Calibri"/>
      </rPr>
      <t>usbguard.x86_64                   0.7.8-7.el8             @ol8_appstream</t>
    </r>
    <r>
      <rPr>
        <sz val="11"/>
        <color rgb="FF000000"/>
        <rFont val="Calibri"/>
      </rPr>
      <t xml:space="preserve">
</t>
    </r>
    <r>
      <rPr>
        <sz val="11"/>
        <color rgb="FF000000"/>
        <rFont val="Calibri"/>
      </rPr>
      <t>If the USBGuard package is not installed, ask the SA to indicate how unauthorized peripherals are being blocked.</t>
    </r>
    <r>
      <rPr>
        <sz val="11"/>
        <color rgb="FF000000"/>
        <rFont val="Calibri"/>
      </rPr>
      <t xml:space="preserve">
</t>
    </r>
    <r>
      <rPr>
        <sz val="11"/>
        <color rgb="FF000000"/>
        <rFont val="Calibri"/>
      </rPr>
      <t>If there is no evidence that unauthorized peripherals are being blocked before establishing a connection, this is a finding.</t>
    </r>
  </si>
  <si>
    <t>V-248863</t>
  </si>
  <si>
    <r>
      <rPr>
        <sz val="11"/>
        <rFont val="Calibri"/>
      </rPr>
      <t>OL 8 must block unauthorized peripherals before establishing a connection.</t>
    </r>
  </si>
  <si>
    <r>
      <rPr>
        <sz val="11"/>
        <color rgb="FF000000"/>
        <rFont val="Calibri"/>
      </rPr>
      <t>Configure the operating system to enable the blocking of unauthorized peripherals with the following command:</t>
    </r>
    <r>
      <rPr>
        <sz val="11"/>
        <color rgb="FF000000"/>
        <rFont val="Calibri"/>
      </rPr>
      <t xml:space="preserve">
</t>
    </r>
    <r>
      <rPr>
        <sz val="11"/>
        <color rgb="FF000000"/>
        <rFont val="Calibri"/>
      </rPr>
      <t>This command must be run from a root shell and will create an allow list for any usb devices currently connect to the system.</t>
    </r>
    <r>
      <rPr>
        <sz val="11"/>
        <color rgb="FF000000"/>
        <rFont val="Calibri"/>
      </rPr>
      <t xml:space="preserve">
</t>
    </r>
    <r>
      <rPr>
        <sz val="11"/>
        <color rgb="FF000000"/>
        <rFont val="Calibri"/>
      </rPr>
      <t># usbguard generate-policy &gt; /etc/usbguard/rules.conf</t>
    </r>
    <r>
      <rPr>
        <sz val="11"/>
        <color rgb="FF000000"/>
        <rFont val="Calibri"/>
      </rPr>
      <t xml:space="preserve">
</t>
    </r>
    <r>
      <rPr>
        <sz val="11"/>
        <color rgb="FF000000"/>
        <rFont val="Calibri"/>
      </rPr>
      <t>Note: Enabling and starting usbguard without properly configuring it for an individual system will immediately prevent any access over a usb device such as a keyboard or mouse.</t>
    </r>
  </si>
  <si>
    <r>
      <rPr>
        <sz val="11"/>
        <color rgb="FF000000"/>
        <rFont val="Calibri"/>
      </rPr>
      <t xml:space="preserve">Without authenticating devices, unidentified or unknown devices may be introduced, thereby facilitating malicious activity.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Peripherals include but are not limited to such devices as flash drives, external storage, and printers.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new feature that OL 8 provides is the USBGuard software framework. The USBguard-daemon is the main component of the USBGuard software framework. It runs as a service in the background and enforces the USB device authorization policy for all USB devices. The policy is defined by a set of rules using a rule language described in the "usbguard-rules.conf" file. The policy and the authorization state of USB devices can be modified during runtime using the "usbguard" tool.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 System Administrator (SA) must work with the site Information System Security Officer (ISSO) to determine a list of authorized peripherals and establish rules within the USBGuard software framework to allow only authorized devices.</t>
    </r>
  </si>
  <si>
    <r>
      <rPr>
        <sz val="11"/>
        <color rgb="FF000000"/>
        <rFont val="Calibri"/>
      </rPr>
      <t>Verify the USBGuard has a policy configured with the following command:</t>
    </r>
    <r>
      <rPr>
        <sz val="11"/>
        <color rgb="FF000000"/>
        <rFont val="Calibri"/>
      </rPr>
      <t xml:space="preserve">
</t>
    </r>
    <r>
      <rPr>
        <sz val="11"/>
        <color rgb="FF000000"/>
        <rFont val="Calibri"/>
      </rPr>
      <t>$ sudo usbguard list-rules</t>
    </r>
    <r>
      <rPr>
        <sz val="11"/>
        <color rgb="FF000000"/>
        <rFont val="Calibri"/>
      </rPr>
      <t xml:space="preserve">
</t>
    </r>
    <r>
      <rPr>
        <sz val="11"/>
        <color rgb="FF000000"/>
        <rFont val="Calibri"/>
      </rPr>
      <t>If the command does not return results or an error is returned, ask the SA to indicate how unauthorized peripherals are being blocked.</t>
    </r>
    <r>
      <rPr>
        <sz val="11"/>
        <color rgb="FF000000"/>
        <rFont val="Calibri"/>
      </rPr>
      <t xml:space="preserve">
</t>
    </r>
    <r>
      <rPr>
        <sz val="11"/>
        <color rgb="FF000000"/>
        <rFont val="Calibri"/>
      </rPr>
      <t>If there is no evidence that unauthorized peripherals are being blocked before establishing a connection, this is a finding.</t>
    </r>
  </si>
  <si>
    <t>V-248864</t>
  </si>
  <si>
    <r>
      <rPr>
        <sz val="11"/>
        <rFont val="Calibri"/>
      </rPr>
      <t>OL 8 must enable the USBGuard.</t>
    </r>
  </si>
  <si>
    <r>
      <rPr>
        <sz val="11"/>
        <color rgb="FF000000"/>
        <rFont val="Calibri"/>
      </rPr>
      <t>Configure the operating system to enable the blocking of unauthorized peripherals with the following commands:</t>
    </r>
    <r>
      <rPr>
        <sz val="11"/>
        <color rgb="FF000000"/>
        <rFont val="Calibri"/>
      </rPr>
      <t xml:space="preserve">
</t>
    </r>
    <r>
      <rPr>
        <sz val="11"/>
        <color rgb="FF000000"/>
        <rFont val="Calibri"/>
      </rPr>
      <t>$ sudo systemctl enable usbguard.service</t>
    </r>
    <r>
      <rPr>
        <sz val="11"/>
        <color rgb="FF000000"/>
        <rFont val="Calibri"/>
      </rPr>
      <t xml:space="preserve">
</t>
    </r>
    <r>
      <rPr>
        <sz val="11"/>
        <color rgb="FF000000"/>
        <rFont val="Calibri"/>
      </rPr>
      <t>$ sudo systemctl start usbguard.service</t>
    </r>
    <r>
      <rPr>
        <sz val="11"/>
        <color rgb="FF000000"/>
        <rFont val="Calibri"/>
      </rPr>
      <t xml:space="preserve">
</t>
    </r>
    <r>
      <rPr>
        <sz val="11"/>
        <color rgb="FF000000"/>
        <rFont val="Calibri"/>
      </rPr>
      <t>Note: Enabling and starting usbguard without properly configuring it for an individual system will immediately prevent any access over a usb device such as a keyboard or mouse.</t>
    </r>
  </si>
  <si>
    <r>
      <rPr>
        <sz val="11"/>
        <color rgb="FF000000"/>
        <rFont val="Calibri"/>
      </rPr>
      <t>Verify the operating system has enabled the use of the USBGuard with the following command:</t>
    </r>
    <r>
      <rPr>
        <sz val="11"/>
        <color rgb="FF000000"/>
        <rFont val="Calibri"/>
      </rPr>
      <t xml:space="preserve">
</t>
    </r>
    <r>
      <rPr>
        <sz val="11"/>
        <color rgb="FF000000"/>
        <rFont val="Calibri"/>
      </rPr>
      <t>$ sudo systemctl status usbguard.service</t>
    </r>
    <r>
      <rPr>
        <sz val="11"/>
        <color rgb="FF000000"/>
        <rFont val="Calibri"/>
      </rPr>
      <t xml:space="preserve">
</t>
    </r>
    <r>
      <rPr>
        <sz val="11"/>
        <color rgb="FF000000"/>
        <rFont val="Calibri"/>
      </rPr>
      <t>usbguard.service - USBGuard daemon</t>
    </r>
    <r>
      <rPr>
        <sz val="11"/>
        <color rgb="FF000000"/>
        <rFont val="Calibri"/>
      </rPr>
      <t xml:space="preserve">
</t>
    </r>
    <r>
      <rPr>
        <sz val="11"/>
        <color rgb="FF000000"/>
        <rFont val="Calibri"/>
      </rPr>
      <t>Loaded: loaded (/usr/lib/systemd/system/usbguard.service; enabled; vendor preset: disabled)</t>
    </r>
    <r>
      <rPr>
        <sz val="11"/>
        <color rgb="FF000000"/>
        <rFont val="Calibri"/>
      </rPr>
      <t xml:space="preserve">
</t>
    </r>
    <r>
      <rPr>
        <sz val="11"/>
        <color rgb="FF000000"/>
        <rFont val="Calibri"/>
      </rPr>
      <t>Active: active (running)</t>
    </r>
    <r>
      <rPr>
        <sz val="11"/>
        <color rgb="FF000000"/>
        <rFont val="Calibri"/>
      </rPr>
      <t xml:space="preserve">
</t>
    </r>
    <r>
      <rPr>
        <sz val="11"/>
        <color rgb="FF000000"/>
        <rFont val="Calibri"/>
      </rPr>
      <t>If the usbguard.service is not enabled and active, ask the SA to indicate how unauthorized peripherals are being blocked.</t>
    </r>
    <r>
      <rPr>
        <sz val="11"/>
        <color rgb="FF000000"/>
        <rFont val="Calibri"/>
      </rPr>
      <t xml:space="preserve">
</t>
    </r>
    <r>
      <rPr>
        <sz val="11"/>
        <color rgb="FF000000"/>
        <rFont val="Calibri"/>
      </rPr>
      <t>If there is no evidence that unauthorized peripherals are being blocked before establishing a connection, this is a finding.</t>
    </r>
  </si>
  <si>
    <t>V-248865</t>
  </si>
  <si>
    <r>
      <rPr>
        <sz val="11"/>
        <rFont val="Calibri"/>
      </rPr>
      <t>A firewall must be able to protect against or limit the effects of denial-of-service (DoS) attacks by ensuring OL 8 can implement rate-limiting measures on impacted network interfaces.</t>
    </r>
  </si>
  <si>
    <r>
      <rPr>
        <sz val="11"/>
        <color rgb="FF000000"/>
        <rFont val="Calibri"/>
      </rPr>
      <t xml:space="preserve">Configure "nftables" to be the default "firewallbackend" for "firewalld" by adding or editing the following line in "/etc/firewalld/firewalld.conf":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FirewallBackend=nftables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Establish rate-limiting rules based on organization-defined types of DoS attacks on impacted network interfaces.</t>
    </r>
  </si>
  <si>
    <r>
      <rPr>
        <sz val="11"/>
        <color rgb="FF000000"/>
        <rFont val="Calibri"/>
      </rPr>
      <t xml:space="preserve">DoS is a condition when a resource is not available for legitimate users. When this occurs, the organization either cannot accomplish its mission or must operate at degraded capacity.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This requirement addresses the configuration of OL 8 to mitigate the impact of DoS attacks that have occurred or are ongoing on system availability. For each system, known and potential DoS attacks must be identified and solutions for each type implemented. A variety of technologies exists to limit or, in some cases, eliminate the effects of DoS attacks (e.g., limiting processes or establishing memory partitions). Employing increased capacity and bandwidth, combined with service redundancy, may reduce the susceptibility to some DoS attacks.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Since version 0.6.0, "firewalld" has incorporated "nftables" as its backend support. Using the limit statement in "nftables" can help to mitigate DoS attacks.</t>
    </r>
    <r>
      <rPr>
        <sz val="11"/>
        <color rgb="FF000000"/>
        <rFont val="Calibri"/>
      </rPr>
      <t xml:space="preserve">
</t>
    </r>
    <r>
      <rPr>
        <sz val="11"/>
        <color rgb="FF000000"/>
        <rFont val="Calibri"/>
      </rPr>
      <t>Satisfies: SRG-OS-000142-GPOS-00071, SRG-OS-000298-GPOS-00116, SRG-OS-000420-GPOS-00186</t>
    </r>
  </si>
  <si>
    <r>
      <rPr>
        <sz val="11"/>
        <color rgb="FF000000"/>
        <rFont val="Calibri"/>
      </rPr>
      <t xml:space="preserve">Verify "nftables" is configured to allow rate limits on any connection to the system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Verify "firewalld" has "nftables" set as the default backend: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grep -i firewallbackend /etc/firewalld/firewalld.conf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FirewallBackend </t>
    </r>
    <r>
      <rPr>
        <sz val="11"/>
        <color rgb="FF000000"/>
        <rFont val="Calibri"/>
      </rPr>
      <t xml:space="preserve">
</t>
    </r>
    <r>
      <rPr>
        <sz val="11"/>
        <color rgb="FF000000"/>
        <rFont val="Calibri"/>
      </rPr>
      <t xml:space="preserve">FirewallBackend=nftables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"nftables" is not set as the "firewallbackend" default, this is a finding.</t>
    </r>
  </si>
  <si>
    <t>V-248866</t>
  </si>
  <si>
    <r>
      <rPr>
        <sz val="11"/>
        <rFont val="Calibri"/>
      </rPr>
      <t>All OL 8 networked systems must have SSH installed.</t>
    </r>
  </si>
  <si>
    <r>
      <rPr>
        <sz val="11"/>
        <color rgb="FF000000"/>
        <rFont val="Calibri"/>
      </rPr>
      <t>Install SSH packages onto the host with the following command:</t>
    </r>
    <r>
      <rPr>
        <sz val="11"/>
        <color rgb="FF000000"/>
        <rFont val="Calibri"/>
      </rPr>
      <t xml:space="preserve">
</t>
    </r>
    <r>
      <rPr>
        <sz val="11"/>
        <color rgb="FF000000"/>
        <rFont val="Calibri"/>
      </rPr>
      <t>$ sudo yum install openssh-server.x86_64</t>
    </r>
  </si>
  <si>
    <r>
      <rPr>
        <sz val="11"/>
        <color rgb="FF000000"/>
        <rFont val="Calibri"/>
      </rPr>
      <t xml:space="preserve">Without protection of the transmitted information, confidentiality and integrity may be compromised because unprotected communications can be intercepted and read or altered.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This requirement applies to both internal and external networks and all types of information system components from which information can be transmitted (e.g., servers, mobile devices, notebook computers, printers, copiers, scanners, and facsimile machines). Communication paths outside the physical protection of a controlled boundary are exposed to the possibility of interception and modification.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Protecting the confidentiality and integrity of organizational information can be accomplished by physical means (e.g., employing physical distribution systems) or by logical means (e.g., employing cryptographic techniques). If physical means of protection are employed, logical means (cryptography) do not have to be employed, and vice versa.</t>
    </r>
    <r>
      <rPr>
        <sz val="11"/>
        <color rgb="FF000000"/>
        <rFont val="Calibri"/>
      </rPr>
      <t xml:space="preserve">
</t>
    </r>
    <r>
      <rPr>
        <sz val="11"/>
        <color rgb="FF000000"/>
        <rFont val="Calibri"/>
      </rPr>
      <t>Satisfies: SRG-OS-000423-GPOS-00187, SRG-OS-000424-GPOS-00188, SRG-OS-000425-GPOS-00189, SRG-OS-000426-GPOS-00190</t>
    </r>
  </si>
  <si>
    <r>
      <rPr>
        <sz val="11"/>
        <color rgb="FF000000"/>
        <rFont val="Calibri"/>
      </rPr>
      <t>Verify SSH is installed with the following command:</t>
    </r>
    <r>
      <rPr>
        <sz val="11"/>
        <color rgb="FF000000"/>
        <rFont val="Calibri"/>
      </rPr>
      <t xml:space="preserve">
</t>
    </r>
    <r>
      <rPr>
        <sz val="11"/>
        <color rgb="FF000000"/>
        <rFont val="Calibri"/>
      </rPr>
      <t>$ sudo yum list installed openssh-server</t>
    </r>
    <r>
      <rPr>
        <sz val="11"/>
        <color rgb="FF000000"/>
        <rFont val="Calibri"/>
      </rPr>
      <t xml:space="preserve">
</t>
    </r>
    <r>
      <rPr>
        <sz val="11"/>
        <color rgb="FF000000"/>
        <rFont val="Calibri"/>
      </rPr>
      <t>openssh-server.x86_64                 8.0p1-5.el8          @anaconda</t>
    </r>
    <r>
      <rPr>
        <sz val="11"/>
        <color rgb="FF000000"/>
        <rFont val="Calibri"/>
      </rPr>
      <t xml:space="preserve">
</t>
    </r>
    <r>
      <rPr>
        <sz val="11"/>
        <color rgb="FF000000"/>
        <rFont val="Calibri"/>
      </rPr>
      <t>If the "SSH server" package is not installed, this is a finding.</t>
    </r>
  </si>
  <si>
    <t>V-248867</t>
  </si>
  <si>
    <r>
      <rPr>
        <sz val="11"/>
        <rFont val="Calibri"/>
      </rPr>
      <t>All OL 8 networked systems must have and implement SSH to protect the confidentiality and integrity of transmitted and received information, as well as information during preparation for transmission.</t>
    </r>
  </si>
  <si>
    <r>
      <rPr>
        <sz val="11"/>
        <color rgb="FF000000"/>
        <rFont val="Calibri"/>
      </rPr>
      <t xml:space="preserve">Configure the SSH service to automatically start after reboot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systemctl enable sshd.service</t>
    </r>
  </si>
  <si>
    <r>
      <rPr>
        <sz val="11"/>
        <color rgb="FF000000"/>
        <rFont val="Calibri"/>
      </rPr>
      <t xml:space="preserve">Verify SSH is loaded and active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systemctl status sshd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sshd.service - OpenSSH server daemon </t>
    </r>
    <r>
      <rPr>
        <sz val="11"/>
        <color rgb="FF000000"/>
        <rFont val="Calibri"/>
      </rPr>
      <t xml:space="preserve">
</t>
    </r>
    <r>
      <rPr>
        <sz val="11"/>
        <color rgb="FF000000"/>
        <rFont val="Calibri"/>
      </rPr>
      <t xml:space="preserve">Loaded: loaded (/usr/lib/systemd/system/sshd.service; enabled) </t>
    </r>
    <r>
      <rPr>
        <sz val="11"/>
        <color rgb="FF000000"/>
        <rFont val="Calibri"/>
      </rPr>
      <t xml:space="preserve">
</t>
    </r>
    <r>
      <rPr>
        <sz val="11"/>
        <color rgb="FF000000"/>
        <rFont val="Calibri"/>
      </rPr>
      <t xml:space="preserve">Active: active (running) since Tue 2015-11-17 15:17:22 EST; 4 weeks 0 days ago </t>
    </r>
    <r>
      <rPr>
        <sz val="11"/>
        <color rgb="FF000000"/>
        <rFont val="Calibri"/>
      </rPr>
      <t xml:space="preserve">
</t>
    </r>
    <r>
      <rPr>
        <sz val="11"/>
        <color rgb="FF000000"/>
        <rFont val="Calibri"/>
      </rPr>
      <t xml:space="preserve">Main PID: 1348 (sshd) </t>
    </r>
    <r>
      <rPr>
        <sz val="11"/>
        <color rgb="FF000000"/>
        <rFont val="Calibri"/>
      </rPr>
      <t xml:space="preserve">
</t>
    </r>
    <r>
      <rPr>
        <sz val="11"/>
        <color rgb="FF000000"/>
        <rFont val="Calibri"/>
      </rPr>
      <t xml:space="preserve">CGroup: /system.slice/sshd.service </t>
    </r>
    <r>
      <rPr>
        <sz val="11"/>
        <color rgb="FF000000"/>
        <rFont val="Calibri"/>
      </rPr>
      <t xml:space="preserve">
</t>
    </r>
    <r>
      <rPr>
        <sz val="11"/>
        <color rgb="FF000000"/>
        <rFont val="Calibri"/>
      </rPr>
      <t xml:space="preserve">1053 /usr/sbin/sshd -D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"sshd" does not show a status of "active" and "running", this is a finding.</t>
    </r>
  </si>
  <si>
    <t>V-248868</t>
  </si>
  <si>
    <r>
      <rPr>
        <sz val="11"/>
        <rFont val="Calibri"/>
      </rPr>
      <t>OL 8 must force a frequent session key renegotiation for SSH connections to the server.</t>
    </r>
  </si>
  <si>
    <r>
      <rPr>
        <sz val="11"/>
        <color rgb="FF000000"/>
        <rFont val="Calibri"/>
      </rPr>
      <t xml:space="preserve">Configure the system to force a frequent session key renegotiation for SSH connections to the server by adding or modifying the following line in the "/etc/ssh/sshd_config"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RekeyLimit 1G 1h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The SSH daemon must be restarted for the settings to take effect.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systemctl restart sshd.service</t>
    </r>
  </si>
  <si>
    <r>
      <rPr>
        <sz val="11"/>
        <color rgb="FF000000"/>
        <rFont val="Calibri"/>
      </rPr>
      <t xml:space="preserve">Unapproved mechanisms that are used for authentication to the cryptographic module are not verified and therefore cannot be relied on to provide confidentiality or integrity, and DOD data may be compromised.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Session key regeneration limits the chances of a session key becoming compromised.</t>
    </r>
  </si>
  <si>
    <r>
      <rPr>
        <sz val="11"/>
        <color rgb="FF000000"/>
        <rFont val="Calibri"/>
      </rPr>
      <t>Verify the SSH server is configured to force frequent session key renegotiation with the following command:</t>
    </r>
    <r>
      <rPr>
        <sz val="11"/>
        <color rgb="FF000000"/>
        <rFont val="Calibri"/>
      </rPr>
      <t xml:space="preserve">
</t>
    </r>
    <r>
      <rPr>
        <sz val="11"/>
        <color rgb="FF000000"/>
        <rFont val="Calibri"/>
      </rPr>
      <t>$ sudo /usr/sbin/sshd -dd 2&gt;&amp;1 | awk '/filename/ {print $4}' | tr -d '\r' | tr '\n' ' ' | xargs sudo grep -iH '^\s*rekeylimit'</t>
    </r>
    <r>
      <rPr>
        <sz val="11"/>
        <color rgb="FF000000"/>
        <rFont val="Calibri"/>
      </rPr>
      <t xml:space="preserve">
</t>
    </r>
    <r>
      <rPr>
        <sz val="11"/>
        <color rgb="FF000000"/>
        <rFont val="Calibri"/>
      </rPr>
      <t>RekeyLimit 1G 1h</t>
    </r>
    <r>
      <rPr>
        <sz val="11"/>
        <color rgb="FF000000"/>
        <rFont val="Calibri"/>
      </rPr>
      <t xml:space="preserve">
</t>
    </r>
    <r>
      <rPr>
        <sz val="11"/>
        <color rgb="FF000000"/>
        <rFont val="Calibri"/>
      </rPr>
      <t>If "RekeyLimit" does not have a maximum data amount and maximum time defined or is missing or commented out, this is a finding.</t>
    </r>
    <r>
      <rPr>
        <sz val="11"/>
        <color rgb="FF000000"/>
        <rFont val="Calibri"/>
      </rPr>
      <t xml:space="preserve">
</t>
    </r>
    <r>
      <rPr>
        <sz val="11"/>
        <color rgb="FF000000"/>
        <rFont val="Calibri"/>
      </rPr>
      <t>If conflicting results are returned, this is a finding.</t>
    </r>
  </si>
  <si>
    <t>V-248869</t>
  </si>
  <si>
    <r>
      <rPr>
        <sz val="11"/>
        <rFont val="Calibri"/>
      </rPr>
      <t>The x86 Ctrl-Alt-Delete key sequence must be disabled on OL 8.</t>
    </r>
  </si>
  <si>
    <r>
      <rPr>
        <sz val="11"/>
        <color rgb="FF000000"/>
        <rFont val="Calibri"/>
      </rPr>
      <t xml:space="preserve">Configure the system to disable the Ctrl-Alt-Delete sequence for the command line with the following commands: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systemctl disable ctrl-alt-del.target </t>
    </r>
    <r>
      <rPr>
        <sz val="11"/>
        <color rgb="FF000000"/>
        <rFont val="Calibri"/>
      </rPr>
      <t xml:space="preserve">
</t>
    </r>
    <r>
      <rPr>
        <sz val="11"/>
        <color rgb="FF000000"/>
        <rFont val="Calibri"/>
      </rPr>
      <t xml:space="preserve">$ sudo systemctl mask ctrl-alt-del.target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Created symlink /etc/systemd/system/ctrl-alt-del.target -&gt; /dev/null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Reload the daemon to take effect: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systemctl daemon-reload</t>
    </r>
  </si>
  <si>
    <r>
      <rPr>
        <sz val="11"/>
        <color rgb="FF000000"/>
        <rFont val="Calibri"/>
      </rPr>
      <t>A locally logged-on user, who presses Ctrl-Alt-Delete when at the console, can reboot the system. If accidentally pressed, as could happen in the case of a mixed OS environment, this can create the risk of short-term loss of system availability due to unintentional reboot. In a graphical user environment, risk of unintentional reboot from the Ctrl-Alt-Delete sequence is reduced because the user will be prompted before any action is taken.</t>
    </r>
  </si>
  <si>
    <r>
      <rPr>
        <sz val="11"/>
        <color rgb="FF000000"/>
        <rFont val="Calibri"/>
      </rPr>
      <t xml:space="preserve">Verify OL 8 is not configured to reboot the system when Ctrl-Alt-Delete is pressed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systemctl status ctrl-alt-del.target | grep Loaded: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Loaded: masked (Reason: Unit ctrl-alt-del.target is masked.)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"ctrl-alt-del.target" Loaded: value is not set to "masked", this is a finding.</t>
    </r>
  </si>
  <si>
    <t>V-248870</t>
  </si>
  <si>
    <r>
      <rPr>
        <sz val="11"/>
        <rFont val="Calibri"/>
      </rPr>
      <t>The x86 Ctrl-Alt-Delete key sequence in OL 8 must be disabled if a graphical user interface is installed.</t>
    </r>
  </si>
  <si>
    <r>
      <rPr>
        <sz val="11"/>
        <color rgb="FF000000"/>
        <rFont val="Calibri"/>
      </rPr>
      <t xml:space="preserve">Configure the system to disable the Ctrl-Alt-Delete sequence when using a graphical user interface by creating or editing the "/etc/dconf/db/local.d/00-disable-CAD"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the setting to disable the Ctrl-Alt-Delete sequence for a graphical user interface: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[org/gnome/settings-daemon/plugins/media-keys] </t>
    </r>
    <r>
      <rPr>
        <sz val="11"/>
        <color rgb="FF000000"/>
        <rFont val="Calibri"/>
      </rPr>
      <t xml:space="preserve">
</t>
    </r>
    <r>
      <rPr>
        <sz val="11"/>
        <color rgb="FF000000"/>
        <rFont val="Calibri"/>
      </rPr>
      <t xml:space="preserve">logout=''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Update the dconf settings: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dconf update</t>
    </r>
  </si>
  <si>
    <r>
      <rPr>
        <sz val="11"/>
        <color rgb="FF000000"/>
        <rFont val="Calibri"/>
      </rPr>
      <t>A locally logged-on user, who presses Ctrl-Alt-Delete, when at the console, can reboot the system. If accidentally pressed, as could happen in the case of a mixed OS environment, this can create the risk of short-term loss of availability of systems due to unintentional reboot. In a graphical user environment, risk of unintentional reboot from the Ctrl-Alt-Delete sequence is reduced because the user will be prompted before any action is taken.</t>
    </r>
  </si>
  <si>
    <r>
      <rPr>
        <sz val="11"/>
        <color rgb="FF000000"/>
        <rFont val="Calibri"/>
      </rPr>
      <t xml:space="preserve">Verify OL 8 is not configured to reboot the system when Ctrl-Alt-Delete is pressed when using a graphical user interface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grep logout /etc/dconf/db/local.d/*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logout=''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"logout" key is bound to an action, is commented out, or is missing, this is a finding.</t>
    </r>
  </si>
  <si>
    <t>V-248871</t>
  </si>
  <si>
    <r>
      <rPr>
        <sz val="11"/>
        <rFont val="Calibri"/>
      </rPr>
      <t>OL 8 must disable the systemd Ctrl-Alt-Delete burst key sequence.</t>
    </r>
  </si>
  <si>
    <r>
      <rPr>
        <sz val="11"/>
        <color rgb="FF000000"/>
        <rFont val="Calibri"/>
      </rPr>
      <t>Configure OL 8 to disable the CtrlAltDelBurstAction by adding it to a drop file in a "/etc/systemd/system.conf.d/" configuration file:</t>
    </r>
    <r>
      <rPr>
        <sz val="11"/>
        <color rgb="FF000000"/>
        <rFont val="Calibri"/>
      </rPr>
      <t xml:space="preserve">
</t>
    </r>
    <r>
      <rPr>
        <sz val="11"/>
        <color rgb="FF000000"/>
        <rFont val="Calibri"/>
      </rPr>
      <t>If no drop file exists, create one with the following command:</t>
    </r>
    <r>
      <rPr>
        <sz val="11"/>
        <color rgb="FF000000"/>
        <rFont val="Calibri"/>
      </rPr>
      <t xml:space="preserve">
</t>
    </r>
    <r>
      <rPr>
        <sz val="11"/>
        <color rgb="FF000000"/>
        <rFont val="Calibri"/>
      </rPr>
      <t>$ sudo mkdir -p /etc/systemd/system.conf.d &amp;&amp; sudo vi /etc/systemd/system.conf.d/55-CtrlAltDel-BurstAction</t>
    </r>
    <r>
      <rPr>
        <sz val="11"/>
        <color rgb="FF000000"/>
        <rFont val="Calibri"/>
      </rPr>
      <t xml:space="preserve">
</t>
    </r>
    <r>
      <rPr>
        <sz val="11"/>
        <color rgb="FF000000"/>
        <rFont val="Calibri"/>
      </rPr>
      <t>Edit the file to contain the setting by adding the following text:</t>
    </r>
    <r>
      <rPr>
        <sz val="11"/>
        <color rgb="FF000000"/>
        <rFont val="Calibri"/>
      </rPr>
      <t xml:space="preserve">
</t>
    </r>
    <r>
      <rPr>
        <sz val="11"/>
        <color rgb="FF000000"/>
        <rFont val="Calibri"/>
      </rPr>
      <t>CtrlAltDelBurstAction=none</t>
    </r>
    <r>
      <rPr>
        <sz val="11"/>
        <color rgb="FF000000"/>
        <rFont val="Calibri"/>
      </rPr>
      <t xml:space="preserve">
</t>
    </r>
    <r>
      <rPr>
        <sz val="11"/>
        <color rgb="FF000000"/>
        <rFont val="Calibri"/>
      </rPr>
      <t>Reload the daemon for this change to take effect.</t>
    </r>
    <r>
      <rPr>
        <sz val="11"/>
        <color rgb="FF000000"/>
        <rFont val="Calibri"/>
      </rPr>
      <t xml:space="preserve">
</t>
    </r>
    <r>
      <rPr>
        <sz val="11"/>
        <color rgb="FF000000"/>
        <rFont val="Calibri"/>
      </rPr>
      <t>$ sudo systemctl daemon-reload</t>
    </r>
  </si>
  <si>
    <r>
      <rPr>
        <sz val="11"/>
        <color rgb="FF000000"/>
        <rFont val="Calibri"/>
      </rPr>
      <t>A locally logged-on user who presses Ctrl-Alt-Delete when at the console can reboot the system. If accidentally pressed, as could happen in the case of a mixed OS environment, this can create the risk of short-term loss of availability of systems due to unintentional reboot. In a graphical user environment, risk of unintentional reboot from the Ctrl-Alt-Delete sequence is reduced because the user will be prompted before any action is taken.</t>
    </r>
  </si>
  <si>
    <r>
      <rPr>
        <sz val="11"/>
        <color rgb="FF000000"/>
        <rFont val="Calibri"/>
      </rPr>
      <t xml:space="preserve">Verify OL 8 is not configured to reboot the system when Ctrl-Alt-Delete is pressed seven times within two seconds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grep -iR CtrlAltDelBurstAction /etc/systemd/system*</t>
    </r>
    <r>
      <rPr>
        <sz val="11"/>
        <color rgb="FF000000"/>
        <rFont val="Calibri"/>
      </rPr>
      <t xml:space="preserve">
</t>
    </r>
    <r>
      <rPr>
        <sz val="11"/>
        <color rgb="FF000000"/>
        <rFont val="Calibri"/>
      </rPr>
      <t>/etc/systemd/system.conf.d/55-CtrlAltDel-BurstAction:CtrlAltDelBurstAction=none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"CtrlAltDelBurstAction" is not set to "none" or is commented out or missing, this is a finding.</t>
    </r>
  </si>
  <si>
    <t>V-248872</t>
  </si>
  <si>
    <r>
      <rPr>
        <sz val="11"/>
        <rFont val="Calibri"/>
      </rPr>
      <t>OL 8 must disable the debug-shell systemd service.</t>
    </r>
  </si>
  <si>
    <r>
      <rPr>
        <sz val="11"/>
        <color rgb="FF000000"/>
        <rFont val="Calibri"/>
      </rPr>
      <t xml:space="preserve">Configure the system to mask the "debug-shell systemd" service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systemctl mask debug-shell.service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Created symlink /etc/systemd/system/debug-shell.service -&gt; /dev/null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Reload the daemon to take effect: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systemctl daemon-reload</t>
    </r>
  </si>
  <si>
    <r>
      <rPr>
        <sz val="11"/>
        <color rgb="FF000000"/>
        <rFont val="Calibri"/>
      </rPr>
      <t>The debug-shell requires no authentication and provides root privileges to anyone who has physical access to the machine. While this feature is disabled by default, masking it adds a layer of assurance that it will not be enabled via a dependency in "system". This also prevents attackers with physical access from trivially bypassing security on the machine through valid troubleshooting configurations and gaining root access when the system is rebooted.</t>
    </r>
  </si>
  <si>
    <r>
      <rPr>
        <sz val="11"/>
        <color rgb="FF000000"/>
        <rFont val="Calibri"/>
      </rPr>
      <t xml:space="preserve">Verify OL 8 is configured to mask the "debug-shell systemd" service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systemctl status debug-shell.service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debug-shell.service </t>
    </r>
    <r>
      <rPr>
        <sz val="11"/>
        <color rgb="FF000000"/>
        <rFont val="Calibri"/>
      </rPr>
      <t xml:space="preserve">
</t>
    </r>
    <r>
      <rPr>
        <sz val="11"/>
        <color rgb="FF000000"/>
        <rFont val="Calibri"/>
      </rPr>
      <t xml:space="preserve">Loaded: masked (Reason: Unit debug-shell.service is masked.) </t>
    </r>
    <r>
      <rPr>
        <sz val="11"/>
        <color rgb="FF000000"/>
        <rFont val="Calibri"/>
      </rPr>
      <t xml:space="preserve">
</t>
    </r>
    <r>
      <rPr>
        <sz val="11"/>
        <color rgb="FF000000"/>
        <rFont val="Calibri"/>
      </rPr>
      <t xml:space="preserve">Active: inactive (dead)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"debug-shell.service" is loaded and not masked, this is a finding.</t>
    </r>
  </si>
  <si>
    <t>V-248873</t>
  </si>
  <si>
    <r>
      <rPr>
        <sz val="11"/>
        <rFont val="Calibri"/>
      </rPr>
      <t>The Trivial File Transfer Protocol (TFTP) server package must not be installed if not required for OL 8 operational support.</t>
    </r>
  </si>
  <si>
    <r>
      <rPr>
        <sz val="11"/>
        <color rgb="FF000000"/>
        <rFont val="Calibri"/>
      </rPr>
      <t xml:space="preserve">Remove the TFTP package from the system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yum remove tftp-server</t>
    </r>
  </si>
  <si>
    <r>
      <rPr>
        <sz val="11"/>
        <color rgb="FF000000"/>
        <rFont val="Calibri"/>
      </rPr>
      <t>If TFTP is required for operational support (such as the transmission of router configurations) its use must be documented with the Information System Security Officer (ISSO), restricted to only authorized personnel, and have access control rules established.</t>
    </r>
  </si>
  <si>
    <r>
      <rPr>
        <sz val="11"/>
        <color rgb="FF000000"/>
        <rFont val="Calibri"/>
      </rPr>
      <t xml:space="preserve">Verify a TFTP server has not been installed on the system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yum list installed tftp-server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tftp-server.x86_64 5.2-24.el8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TFTP is installed and the requirement for TFTP is not documented with the ISSO, this is a finding.</t>
    </r>
  </si>
  <si>
    <t>V-248874</t>
  </si>
  <si>
    <r>
      <rPr>
        <sz val="11"/>
        <rFont val="Calibri"/>
      </rPr>
      <t>The root account must be the only account having unrestricted access to the OL 8 system.</t>
    </r>
  </si>
  <si>
    <r>
      <rPr>
        <sz val="11"/>
        <color rgb="FF000000"/>
        <rFont val="Calibri"/>
      </rPr>
      <t xml:space="preserve">Change the UID of any account on the system, other than root, that has a UID of "0".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account is associated with system commands or applications, change the UID to one greater than "0" but less than "1000". Otherwise, assign a UID of greater than "1000" that has not already been assigned.</t>
    </r>
  </si>
  <si>
    <r>
      <rPr>
        <sz val="11"/>
        <color rgb="FF000000"/>
        <rFont val="Calibri"/>
      </rPr>
      <t>If an account other than root also has a User Identifier (UID) of "0", it has root authority, giving that account unrestricted access to the entire operating system. Multiple accounts with a UID of "0" afford an opportunity for potential intruders to guess a password for a privileged account.</t>
    </r>
  </si>
  <si>
    <r>
      <rPr>
        <sz val="11"/>
        <color rgb="FF000000"/>
        <rFont val="Calibri"/>
      </rPr>
      <t xml:space="preserve">Check the system for duplicate UID "0" assignments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awk -F: '$3 == 0 {print $1}' /etc/passwd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any accounts other than root have a UID of "0", this is a finding.</t>
    </r>
  </si>
  <si>
    <t>V-248875</t>
  </si>
  <si>
    <r>
      <rPr>
        <sz val="11"/>
        <rFont val="Calibri"/>
      </rPr>
      <t>OL 8 must prevent IPv4 Internet Control Message Protocol (ICMP) redirect messages from being accepted.</t>
    </r>
  </si>
  <si>
    <r>
      <rPr>
        <sz val="11"/>
        <color rgb="FF000000"/>
        <rFont val="Calibri"/>
      </rPr>
      <t>Configure OL 8 to prevent IPv4 ICMP redirect messages from being accepted.</t>
    </r>
    <r>
      <rPr>
        <sz val="11"/>
        <color rgb="FF000000"/>
        <rFont val="Calibri"/>
      </rPr>
      <t xml:space="preserve">
</t>
    </r>
    <r>
      <rPr>
        <sz val="11"/>
        <color rgb="FF000000"/>
        <rFont val="Calibri"/>
      </rPr>
      <t>Add or edit the following line in a single system configuration file in the "/etc/sysctl.d/" directory:</t>
    </r>
    <r>
      <rPr>
        <sz val="11"/>
        <color rgb="FF000000"/>
        <rFont val="Calibri"/>
      </rPr>
      <t xml:space="preserve">
</t>
    </r>
    <r>
      <rPr>
        <sz val="11"/>
        <color rgb="FF000000"/>
        <rFont val="Calibri"/>
      </rPr>
      <t>net.ipv4.conf.default.accept_redirects = 0</t>
    </r>
    <r>
      <rPr>
        <sz val="11"/>
        <color rgb="FF000000"/>
        <rFont val="Calibri"/>
      </rPr>
      <t xml:space="preserve">
</t>
    </r>
    <r>
      <rPr>
        <sz val="11"/>
        <color rgb="FF000000"/>
        <rFont val="Calibri"/>
      </rPr>
      <t>Load settings from all system configuration files with the following command:</t>
    </r>
    <r>
      <rPr>
        <sz val="11"/>
        <color rgb="FF000000"/>
        <rFont val="Calibri"/>
      </rPr>
      <t xml:space="preserve">
</t>
    </r>
    <r>
      <rPr>
        <sz val="11"/>
        <color rgb="FF000000"/>
        <rFont val="Calibri"/>
      </rPr>
      <t>$ sudo sysctl --system</t>
    </r>
  </si>
  <si>
    <r>
      <rPr>
        <sz val="11"/>
        <color rgb="FF000000"/>
        <rFont val="Calibri"/>
      </rPr>
      <t>ICMP redirect messages are used by routers to inform hosts that a more direct route exists for a particular destination. These messages modify the host's route table and are unauthenticated. An illicit ICMP redirect message could result in a man-in-the-middle attack.</t>
    </r>
    <r>
      <rPr>
        <sz val="11"/>
        <color rgb="FF000000"/>
        <rFont val="Calibri"/>
      </rPr>
      <t xml:space="preserve">
</t>
    </r>
    <r>
      <rPr>
        <sz val="11"/>
        <color rgb="FF000000"/>
        <rFont val="Calibri"/>
      </rPr>
      <t>The sysctl --system command will load settings from all system configuration files. All configuration files are sorted by their filename in lexicographical order, regardless of the directories in which they reside. If multiple files specify the same option, the entry in the file with the lexicographically latest name will take precedence. Files are read from directories in the following list from top to bottom. Once a file of a given filename is loaded, any file of the same name in subsequent directories is ignored.</t>
    </r>
    <r>
      <rPr>
        <sz val="11"/>
        <color rgb="FF000000"/>
        <rFont val="Calibri"/>
      </rPr>
      <t xml:space="preserve">
</t>
    </r>
    <r>
      <rPr>
        <sz val="11"/>
        <color rgb="FF000000"/>
        <rFont val="Calibri"/>
      </rPr>
      <t>/etc/sysctl.d/*.conf</t>
    </r>
    <r>
      <rPr>
        <sz val="11"/>
        <color rgb="FF000000"/>
        <rFont val="Calibri"/>
      </rPr>
      <t xml:space="preserve">
</t>
    </r>
    <r>
      <rPr>
        <sz val="11"/>
        <color rgb="FF000000"/>
        <rFont val="Calibri"/>
      </rPr>
      <t>/run/sysctl.d/*.conf</t>
    </r>
    <r>
      <rPr>
        <sz val="11"/>
        <color rgb="FF000000"/>
        <rFont val="Calibri"/>
      </rPr>
      <t xml:space="preserve">
</t>
    </r>
    <r>
      <rPr>
        <sz val="11"/>
        <color rgb="FF000000"/>
        <rFont val="Calibri"/>
      </rPr>
      <t>/usr/local/lib/sysctl.d/*.conf</t>
    </r>
    <r>
      <rPr>
        <sz val="11"/>
        <color rgb="FF000000"/>
        <rFont val="Calibri"/>
      </rPr>
      <t xml:space="preserve">
</t>
    </r>
    <r>
      <rPr>
        <sz val="11"/>
        <color rgb="FF000000"/>
        <rFont val="Calibri"/>
      </rPr>
      <t>/usr/lib/sysctl.d/*.conf</t>
    </r>
    <r>
      <rPr>
        <sz val="11"/>
        <color rgb="FF000000"/>
        <rFont val="Calibri"/>
      </rPr>
      <t xml:space="preserve">
</t>
    </r>
    <r>
      <rPr>
        <sz val="11"/>
        <color rgb="FF000000"/>
        <rFont val="Calibri"/>
      </rPr>
      <t>/lib/sysctl.d/*.conf</t>
    </r>
    <r>
      <rPr>
        <sz val="11"/>
        <color rgb="FF000000"/>
        <rFont val="Calibri"/>
      </rPr>
      <t xml:space="preserve">
</t>
    </r>
    <r>
      <rPr>
        <sz val="11"/>
        <color rgb="FF000000"/>
        <rFont val="Calibri"/>
      </rPr>
      <t>/etc/sysctl.conf</t>
    </r>
  </si>
  <si>
    <r>
      <rPr>
        <sz val="11"/>
        <color rgb="FF000000"/>
        <rFont val="Calibri"/>
      </rPr>
      <t>Verify OL 8 will not accept IPv4 ICMP redirect messages.</t>
    </r>
    <r>
      <rPr>
        <sz val="11"/>
        <color rgb="FF000000"/>
        <rFont val="Calibri"/>
      </rPr>
      <t xml:space="preserve">
</t>
    </r>
    <r>
      <rPr>
        <sz val="11"/>
        <color rgb="FF000000"/>
        <rFont val="Calibri"/>
      </rPr>
      <t>Check the value of the default "accept_redirects" variables with the following command:</t>
    </r>
    <r>
      <rPr>
        <sz val="11"/>
        <color rgb="FF000000"/>
        <rFont val="Calibri"/>
      </rPr>
      <t xml:space="preserve">
</t>
    </r>
    <r>
      <rPr>
        <sz val="11"/>
        <color rgb="FF000000"/>
        <rFont val="Calibri"/>
      </rPr>
      <t>$ sysctl net.ipv4.conf.default.accept_redirects</t>
    </r>
    <r>
      <rPr>
        <sz val="11"/>
        <color rgb="FF000000"/>
        <rFont val="Calibri"/>
      </rPr>
      <t xml:space="preserve">
</t>
    </r>
    <r>
      <rPr>
        <sz val="11"/>
        <color rgb="FF000000"/>
        <rFont val="Calibri"/>
      </rPr>
      <t>net.ipv4.conf.default.accept_redirects = 0</t>
    </r>
    <r>
      <rPr>
        <sz val="11"/>
        <color rgb="FF000000"/>
        <rFont val="Calibri"/>
      </rPr>
      <t xml:space="preserve">
</t>
    </r>
    <r>
      <rPr>
        <sz val="11"/>
        <color rgb="FF000000"/>
        <rFont val="Calibri"/>
      </rPr>
      <t>If the returned line does not have a value of "0", a line is not returned, or the line is commented out, this is a finding.</t>
    </r>
  </si>
  <si>
    <t>V-248876</t>
  </si>
  <si>
    <r>
      <rPr>
        <sz val="11"/>
        <rFont val="Calibri"/>
      </rPr>
      <t>OL 8 must prevent IPv6 Internet Control Message Protocol (ICMP) redirect messages from being accepted.</t>
    </r>
  </si>
  <si>
    <r>
      <rPr>
        <sz val="11"/>
        <color rgb="FF000000"/>
        <rFont val="Calibri"/>
      </rPr>
      <t>Configure OL 8 to prevent IPv6 ICMP redirect messages from being accepted.</t>
    </r>
    <r>
      <rPr>
        <sz val="11"/>
        <color rgb="FF000000"/>
        <rFont val="Calibri"/>
      </rPr>
      <t xml:space="preserve">
</t>
    </r>
    <r>
      <rPr>
        <sz val="11"/>
        <color rgb="FF000000"/>
        <rFont val="Calibri"/>
      </rPr>
      <t>Add or edit the following line in a single system configuration file in the "/etc/sysctl.d/" directory:</t>
    </r>
    <r>
      <rPr>
        <sz val="11"/>
        <color rgb="FF000000"/>
        <rFont val="Calibri"/>
      </rPr>
      <t xml:space="preserve">
</t>
    </r>
    <r>
      <rPr>
        <sz val="11"/>
        <color rgb="FF000000"/>
        <rFont val="Calibri"/>
      </rPr>
      <t>net.ipv6.conf.default.accept_redirects = 0</t>
    </r>
    <r>
      <rPr>
        <sz val="11"/>
        <color rgb="FF000000"/>
        <rFont val="Calibri"/>
      </rPr>
      <t xml:space="preserve">
</t>
    </r>
    <r>
      <rPr>
        <sz val="11"/>
        <color rgb="FF000000"/>
        <rFont val="Calibri"/>
      </rPr>
      <t>Load settings from all system configuration files with the following command:</t>
    </r>
    <r>
      <rPr>
        <sz val="11"/>
        <color rgb="FF000000"/>
        <rFont val="Calibri"/>
      </rPr>
      <t xml:space="preserve">
</t>
    </r>
    <r>
      <rPr>
        <sz val="11"/>
        <color rgb="FF000000"/>
        <rFont val="Calibri"/>
      </rPr>
      <t>$ sudo sysctl --system</t>
    </r>
  </si>
  <si>
    <r>
      <rPr>
        <sz val="11"/>
        <color rgb="FF000000"/>
        <rFont val="Calibri"/>
      </rPr>
      <t>Note: If IPv6 is disabled on the system, this requirement is Not Applicable.</t>
    </r>
    <r>
      <rPr>
        <sz val="11"/>
        <color rgb="FF000000"/>
        <rFont val="Calibri"/>
      </rPr>
      <t xml:space="preserve">
</t>
    </r>
    <r>
      <rPr>
        <sz val="11"/>
        <color rgb="FF000000"/>
        <rFont val="Calibri"/>
      </rPr>
      <t>Verify OL 8 will not accept IPv6 ICMP redirect messages.</t>
    </r>
    <r>
      <rPr>
        <sz val="11"/>
        <color rgb="FF000000"/>
        <rFont val="Calibri"/>
      </rPr>
      <t xml:space="preserve">
</t>
    </r>
    <r>
      <rPr>
        <sz val="11"/>
        <color rgb="FF000000"/>
        <rFont val="Calibri"/>
      </rPr>
      <t>Check the value of the default "accept_redirects" variables with the following command:</t>
    </r>
    <r>
      <rPr>
        <sz val="11"/>
        <color rgb="FF000000"/>
        <rFont val="Calibri"/>
      </rPr>
      <t xml:space="preserve">
</t>
    </r>
    <r>
      <rPr>
        <sz val="11"/>
        <color rgb="FF000000"/>
        <rFont val="Calibri"/>
      </rPr>
      <t>$ sysctl net.ipv6.conf.default.accept_redirects</t>
    </r>
    <r>
      <rPr>
        <sz val="11"/>
        <color rgb="FF000000"/>
        <rFont val="Calibri"/>
      </rPr>
      <t xml:space="preserve">
</t>
    </r>
    <r>
      <rPr>
        <sz val="11"/>
        <color rgb="FF000000"/>
        <rFont val="Calibri"/>
      </rPr>
      <t>net.ipv6.conf.default.accept_redirects = 0</t>
    </r>
    <r>
      <rPr>
        <sz val="11"/>
        <color rgb="FF000000"/>
        <rFont val="Calibri"/>
      </rPr>
      <t xml:space="preserve">
</t>
    </r>
    <r>
      <rPr>
        <sz val="11"/>
        <color rgb="FF000000"/>
        <rFont val="Calibri"/>
      </rPr>
      <t>If the returned line does not have a value of "0", a line is not returned, or the line is commented out, this is a finding.</t>
    </r>
  </si>
  <si>
    <t>V-248877</t>
  </si>
  <si>
    <r>
      <rPr>
        <sz val="11"/>
        <rFont val="Calibri"/>
      </rPr>
      <t>OL 8 must not send Internet Control Message Protocol (ICMP) redirects.</t>
    </r>
  </si>
  <si>
    <r>
      <rPr>
        <sz val="11"/>
        <color rgb="FF000000"/>
        <rFont val="Calibri"/>
      </rPr>
      <t>Configure OL 8 to not allow interfaces to perform IPv4 ICMP redirects.</t>
    </r>
    <r>
      <rPr>
        <sz val="11"/>
        <color rgb="FF000000"/>
        <rFont val="Calibri"/>
      </rPr>
      <t xml:space="preserve">
</t>
    </r>
    <r>
      <rPr>
        <sz val="11"/>
        <color rgb="FF000000"/>
        <rFont val="Calibri"/>
      </rPr>
      <t>Add or edit the following line in a single system configuration file in the "/etc/sysctl.d/" directory:</t>
    </r>
    <r>
      <rPr>
        <sz val="11"/>
        <color rgb="FF000000"/>
        <rFont val="Calibri"/>
      </rPr>
      <t xml:space="preserve">
</t>
    </r>
    <r>
      <rPr>
        <sz val="11"/>
        <color rgb="FF000000"/>
        <rFont val="Calibri"/>
      </rPr>
      <t>net.ipv4.conf.all.send_redirects = 0</t>
    </r>
    <r>
      <rPr>
        <sz val="11"/>
        <color rgb="FF000000"/>
        <rFont val="Calibri"/>
      </rPr>
      <t xml:space="preserve">
</t>
    </r>
    <r>
      <rPr>
        <sz val="11"/>
        <color rgb="FF000000"/>
        <rFont val="Calibri"/>
      </rPr>
      <t>Load settings from all system configuration files with the following command:</t>
    </r>
    <r>
      <rPr>
        <sz val="11"/>
        <color rgb="FF000000"/>
        <rFont val="Calibri"/>
      </rPr>
      <t xml:space="preserve">
</t>
    </r>
    <r>
      <rPr>
        <sz val="11"/>
        <color rgb="FF000000"/>
        <rFont val="Calibri"/>
      </rPr>
      <t>$ sudo sysctl --system</t>
    </r>
  </si>
  <si>
    <r>
      <rPr>
        <sz val="11"/>
        <color rgb="FF000000"/>
        <rFont val="Calibri"/>
      </rPr>
      <t xml:space="preserve">ICMP redirect messages are used by routers to inform hosts that a more direct route exists for a particular destination. These messages contain information from the system's route table, possibly revealing portions of the network topology.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There are notable differences between Internet Protocol version 4 (IPv4) and Internet Protocol version 6 (IPv6). There is only a directive to disable sending of IPv4 redirected packets. Refer to RFC4294 for an explanation of "IPv6 Node Requirements", which resulted in this difference between IPv4 and IPv6.</t>
    </r>
    <r>
      <rPr>
        <sz val="11"/>
        <color rgb="FF000000"/>
        <rFont val="Calibri"/>
      </rPr>
      <t xml:space="preserve">
</t>
    </r>
    <r>
      <rPr>
        <sz val="11"/>
        <color rgb="FF000000"/>
        <rFont val="Calibri"/>
      </rPr>
      <t>The sysctl --system command will load settings from all system configuration files. All configuration files are sorted by their filename in lexicographical order, regardless of the directories in which they reside. If multiple files specify the same option, the entry in the file with the lexicographically latest name will take precedence. Files are read from directories in the following list from top to bottom. Once a file of a given filename is loaded, any file of the same name in subsequent directories is ignored.</t>
    </r>
    <r>
      <rPr>
        <sz val="11"/>
        <color rgb="FF000000"/>
        <rFont val="Calibri"/>
      </rPr>
      <t xml:space="preserve">
</t>
    </r>
    <r>
      <rPr>
        <sz val="11"/>
        <color rgb="FF000000"/>
        <rFont val="Calibri"/>
      </rPr>
      <t>/etc/sysctl.d/*.conf</t>
    </r>
    <r>
      <rPr>
        <sz val="11"/>
        <color rgb="FF000000"/>
        <rFont val="Calibri"/>
      </rPr>
      <t xml:space="preserve">
</t>
    </r>
    <r>
      <rPr>
        <sz val="11"/>
        <color rgb="FF000000"/>
        <rFont val="Calibri"/>
      </rPr>
      <t>/run/sysctl.d/*.conf</t>
    </r>
    <r>
      <rPr>
        <sz val="11"/>
        <color rgb="FF000000"/>
        <rFont val="Calibri"/>
      </rPr>
      <t xml:space="preserve">
</t>
    </r>
    <r>
      <rPr>
        <sz val="11"/>
        <color rgb="FF000000"/>
        <rFont val="Calibri"/>
      </rPr>
      <t>/usr/local/lib/sysctl.d/*.conf</t>
    </r>
    <r>
      <rPr>
        <sz val="11"/>
        <color rgb="FF000000"/>
        <rFont val="Calibri"/>
      </rPr>
      <t xml:space="preserve">
</t>
    </r>
    <r>
      <rPr>
        <sz val="11"/>
        <color rgb="FF000000"/>
        <rFont val="Calibri"/>
      </rPr>
      <t>/usr/lib/sysctl.d/*.conf</t>
    </r>
    <r>
      <rPr>
        <sz val="11"/>
        <color rgb="FF000000"/>
        <rFont val="Calibri"/>
      </rPr>
      <t xml:space="preserve">
</t>
    </r>
    <r>
      <rPr>
        <sz val="11"/>
        <color rgb="FF000000"/>
        <rFont val="Calibri"/>
      </rPr>
      <t>/lib/sysctl.d/*.conf</t>
    </r>
    <r>
      <rPr>
        <sz val="11"/>
        <color rgb="FF000000"/>
        <rFont val="Calibri"/>
      </rPr>
      <t xml:space="preserve">
</t>
    </r>
    <r>
      <rPr>
        <sz val="11"/>
        <color rgb="FF000000"/>
        <rFont val="Calibri"/>
      </rPr>
      <t>/etc/sysctl.conf</t>
    </r>
  </si>
  <si>
    <r>
      <rPr>
        <sz val="11"/>
        <color rgb="FF000000"/>
        <rFont val="Calibri"/>
      </rPr>
      <t>Verify OL 8 does not IPv4 ICMP redirect messages.</t>
    </r>
    <r>
      <rPr>
        <sz val="11"/>
        <color rgb="FF000000"/>
        <rFont val="Calibri"/>
      </rPr>
      <t xml:space="preserve">
</t>
    </r>
    <r>
      <rPr>
        <sz val="11"/>
        <color rgb="FF000000"/>
        <rFont val="Calibri"/>
      </rPr>
      <t>Check the value of the "all send_redirects" variables with the following command:</t>
    </r>
    <r>
      <rPr>
        <sz val="11"/>
        <color rgb="FF000000"/>
        <rFont val="Calibri"/>
      </rPr>
      <t xml:space="preserve">
</t>
    </r>
    <r>
      <rPr>
        <sz val="11"/>
        <color rgb="FF000000"/>
        <rFont val="Calibri"/>
      </rPr>
      <t>$ sysctl net.ipv4.conf.all.send_redirects</t>
    </r>
    <r>
      <rPr>
        <sz val="11"/>
        <color rgb="FF000000"/>
        <rFont val="Calibri"/>
      </rPr>
      <t xml:space="preserve">
</t>
    </r>
    <r>
      <rPr>
        <sz val="11"/>
        <color rgb="FF000000"/>
        <rFont val="Calibri"/>
      </rPr>
      <t>net.ipv4.conf.all.send_redirects = 0</t>
    </r>
    <r>
      <rPr>
        <sz val="11"/>
        <color rgb="FF000000"/>
        <rFont val="Calibri"/>
      </rPr>
      <t xml:space="preserve">
</t>
    </r>
    <r>
      <rPr>
        <sz val="11"/>
        <color rgb="FF000000"/>
        <rFont val="Calibri"/>
      </rPr>
      <t>If "net.ipv4.conf.all.send_redirects" is not set to "0" and is not documented with the information system security officer (ISSO) as an operational requirement or is missing, this is a finding.</t>
    </r>
  </si>
  <si>
    <t>V-248878</t>
  </si>
  <si>
    <r>
      <rPr>
        <sz val="11"/>
        <rFont val="Calibri"/>
      </rPr>
      <t>OL 8 must not respond to Internet Control Message Protocol (ICMP) echoes sent to a broadcast address.</t>
    </r>
  </si>
  <si>
    <r>
      <rPr>
        <sz val="11"/>
        <color rgb="FF000000"/>
        <rFont val="Calibri"/>
      </rPr>
      <t>Configure OL 8 to not respond to IPv4 ICMP echoes sent to a broadcast address.</t>
    </r>
    <r>
      <rPr>
        <sz val="11"/>
        <color rgb="FF000000"/>
        <rFont val="Calibri"/>
      </rPr>
      <t xml:space="preserve">
</t>
    </r>
    <r>
      <rPr>
        <sz val="11"/>
        <color rgb="FF000000"/>
        <rFont val="Calibri"/>
      </rPr>
      <t>Add or edit the following line in a single system configuration file in the "/etc/sysctl.d/" directory:</t>
    </r>
    <r>
      <rPr>
        <sz val="11"/>
        <color rgb="FF000000"/>
        <rFont val="Calibri"/>
      </rPr>
      <t xml:space="preserve">
</t>
    </r>
    <r>
      <rPr>
        <sz val="11"/>
        <color rgb="FF000000"/>
        <rFont val="Calibri"/>
      </rPr>
      <t>net.ipv4.icmp_echo_ignore_broadcasts = 1</t>
    </r>
    <r>
      <rPr>
        <sz val="11"/>
        <color rgb="FF000000"/>
        <rFont val="Calibri"/>
      </rPr>
      <t xml:space="preserve">
</t>
    </r>
    <r>
      <rPr>
        <sz val="11"/>
        <color rgb="FF000000"/>
        <rFont val="Calibri"/>
      </rPr>
      <t>Load settings from all system configuration files with the following command:</t>
    </r>
    <r>
      <rPr>
        <sz val="11"/>
        <color rgb="FF000000"/>
        <rFont val="Calibri"/>
      </rPr>
      <t xml:space="preserve">
</t>
    </r>
    <r>
      <rPr>
        <sz val="11"/>
        <color rgb="FF000000"/>
        <rFont val="Calibri"/>
      </rPr>
      <t>$ sudo sysctl --system</t>
    </r>
  </si>
  <si>
    <r>
      <rPr>
        <sz val="11"/>
        <color rgb="FF000000"/>
        <rFont val="Calibri"/>
      </rPr>
      <t xml:space="preserve">Responding to broadcast ICMP echoes facilitates network mapping and provides a vector for amplification attacks.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There are notable differences between Internet Protocol version 4 (IPv4) and Internet Protocol version 6 (IPv6). IPv6 does not implement the same method of broadcast as IPv4. Instead, IPv6 uses multicast addressing to the all-hosts multicast group. Refer to RFC4294 for an explanation of "IPv6 Node Requirements", which resulted in this difference between IPv4 and IPv6.</t>
    </r>
    <r>
      <rPr>
        <sz val="11"/>
        <color rgb="FF000000"/>
        <rFont val="Calibri"/>
      </rPr>
      <t xml:space="preserve">
</t>
    </r>
    <r>
      <rPr>
        <sz val="11"/>
        <color rgb="FF000000"/>
        <rFont val="Calibri"/>
      </rPr>
      <t>The sysctl --system command will load settings from all system configuration files. All configuration files are sorted by their filename in lexicographical order, regardless of the directories in which they reside. If multiple files specify the same option, the entry in the file with the lexicographically latest name will take precedence. Files are read from directories in the following list from top to bottom. Once a file of a given filename is loaded, any file of the same name in subsequent directories is ignored.</t>
    </r>
    <r>
      <rPr>
        <sz val="11"/>
        <color rgb="FF000000"/>
        <rFont val="Calibri"/>
      </rPr>
      <t xml:space="preserve">
</t>
    </r>
    <r>
      <rPr>
        <sz val="11"/>
        <color rgb="FF000000"/>
        <rFont val="Calibri"/>
      </rPr>
      <t>/etc/sysctl.d/*.conf</t>
    </r>
    <r>
      <rPr>
        <sz val="11"/>
        <color rgb="FF000000"/>
        <rFont val="Calibri"/>
      </rPr>
      <t xml:space="preserve">
</t>
    </r>
    <r>
      <rPr>
        <sz val="11"/>
        <color rgb="FF000000"/>
        <rFont val="Calibri"/>
      </rPr>
      <t>/run/sysctl.d/*.conf</t>
    </r>
    <r>
      <rPr>
        <sz val="11"/>
        <color rgb="FF000000"/>
        <rFont val="Calibri"/>
      </rPr>
      <t xml:space="preserve">
</t>
    </r>
    <r>
      <rPr>
        <sz val="11"/>
        <color rgb="FF000000"/>
        <rFont val="Calibri"/>
      </rPr>
      <t>/usr/local/lib/sysctl.d/*.conf</t>
    </r>
    <r>
      <rPr>
        <sz val="11"/>
        <color rgb="FF000000"/>
        <rFont val="Calibri"/>
      </rPr>
      <t xml:space="preserve">
</t>
    </r>
    <r>
      <rPr>
        <sz val="11"/>
        <color rgb="FF000000"/>
        <rFont val="Calibri"/>
      </rPr>
      <t>/usr/lib/sysctl.d/*.conf</t>
    </r>
    <r>
      <rPr>
        <sz val="11"/>
        <color rgb="FF000000"/>
        <rFont val="Calibri"/>
      </rPr>
      <t xml:space="preserve">
</t>
    </r>
    <r>
      <rPr>
        <sz val="11"/>
        <color rgb="FF000000"/>
        <rFont val="Calibri"/>
      </rPr>
      <t>/lib/sysctl.d/*.conf</t>
    </r>
    <r>
      <rPr>
        <sz val="11"/>
        <color rgb="FF000000"/>
        <rFont val="Calibri"/>
      </rPr>
      <t xml:space="preserve">
</t>
    </r>
    <r>
      <rPr>
        <sz val="11"/>
        <color rgb="FF000000"/>
        <rFont val="Calibri"/>
      </rPr>
      <t>/etc/sysctl.conf</t>
    </r>
  </si>
  <si>
    <r>
      <rPr>
        <sz val="11"/>
        <color rgb="FF000000"/>
        <rFont val="Calibri"/>
      </rPr>
      <t>Verify OL 8 does not respond to ICMP echoes sent to a broadcast address.</t>
    </r>
    <r>
      <rPr>
        <sz val="11"/>
        <color rgb="FF000000"/>
        <rFont val="Calibri"/>
      </rPr>
      <t xml:space="preserve">
</t>
    </r>
    <r>
      <rPr>
        <sz val="11"/>
        <color rgb="FF000000"/>
        <rFont val="Calibri"/>
      </rPr>
      <t>Check the value of the "icmp_echo_ignore_broadcasts" variable with the following command:</t>
    </r>
    <r>
      <rPr>
        <sz val="11"/>
        <color rgb="FF000000"/>
        <rFont val="Calibri"/>
      </rPr>
      <t xml:space="preserve">
</t>
    </r>
    <r>
      <rPr>
        <sz val="11"/>
        <color rgb="FF000000"/>
        <rFont val="Calibri"/>
      </rPr>
      <t>$ sysctl net.ipv4.icmp_echo_ignore_broadcasts</t>
    </r>
    <r>
      <rPr>
        <sz val="11"/>
        <color rgb="FF000000"/>
        <rFont val="Calibri"/>
      </rPr>
      <t xml:space="preserve">
</t>
    </r>
    <r>
      <rPr>
        <sz val="11"/>
        <color rgb="FF000000"/>
        <rFont val="Calibri"/>
      </rPr>
      <t>net.ipv4.icmp_echo_ignore_broadcasts = 1</t>
    </r>
    <r>
      <rPr>
        <sz val="11"/>
        <color rgb="FF000000"/>
        <rFont val="Calibri"/>
      </rPr>
      <t xml:space="preserve">
</t>
    </r>
    <r>
      <rPr>
        <sz val="11"/>
        <color rgb="FF000000"/>
        <rFont val="Calibri"/>
      </rPr>
      <t>If the returned line does not have a value of "1", a line is not returned, or the retuned line is commented out, this is a finding.</t>
    </r>
  </si>
  <si>
    <t>V-248879</t>
  </si>
  <si>
    <r>
      <rPr>
        <sz val="11"/>
        <rFont val="Calibri"/>
      </rPr>
      <t>OL 8 must not forward IPv4 source-routed packets.</t>
    </r>
  </si>
  <si>
    <r>
      <rPr>
        <sz val="11"/>
        <color rgb="FF000000"/>
        <rFont val="Calibri"/>
      </rPr>
      <t>Configure OL 8 to ignore IPv4 source-routed packets.</t>
    </r>
    <r>
      <rPr>
        <sz val="11"/>
        <color rgb="FF000000"/>
        <rFont val="Calibri"/>
      </rPr>
      <t xml:space="preserve">
</t>
    </r>
    <r>
      <rPr>
        <sz val="11"/>
        <color rgb="FF000000"/>
        <rFont val="Calibri"/>
      </rPr>
      <t>Add or edit the following line in a single system configuration file in the "/etc/sysctl.d/" directory:</t>
    </r>
    <r>
      <rPr>
        <sz val="11"/>
        <color rgb="FF000000"/>
        <rFont val="Calibri"/>
      </rPr>
      <t xml:space="preserve">
</t>
    </r>
    <r>
      <rPr>
        <sz val="11"/>
        <color rgb="FF000000"/>
        <rFont val="Calibri"/>
      </rPr>
      <t>net.ipv4.conf.all.accept_source_route = 0</t>
    </r>
    <r>
      <rPr>
        <sz val="11"/>
        <color rgb="FF000000"/>
        <rFont val="Calibri"/>
      </rPr>
      <t xml:space="preserve">
</t>
    </r>
    <r>
      <rPr>
        <sz val="11"/>
        <color rgb="FF000000"/>
        <rFont val="Calibri"/>
      </rPr>
      <t>Load settings from all system configuration files with the following command:</t>
    </r>
    <r>
      <rPr>
        <sz val="11"/>
        <color rgb="FF000000"/>
        <rFont val="Calibri"/>
      </rPr>
      <t xml:space="preserve">
</t>
    </r>
    <r>
      <rPr>
        <sz val="11"/>
        <color rgb="FF000000"/>
        <rFont val="Calibri"/>
      </rPr>
      <t>$ sudo sysctl --system</t>
    </r>
  </si>
  <si>
    <r>
      <rPr>
        <sz val="11"/>
        <color rgb="FF000000"/>
        <rFont val="Calibri"/>
      </rPr>
      <t>Source-routed packets allow the source of the packet to suggest that routers forward the packet along a different path than configured on the router, which can be used to bypass network security measures. This requirement applies only to the forwarding of source-routed traffic, such as when forwarding is enabled and the system is functioning as a router.</t>
    </r>
    <r>
      <rPr>
        <sz val="11"/>
        <color rgb="FF000000"/>
        <rFont val="Calibri"/>
      </rPr>
      <t xml:space="preserve">
</t>
    </r>
    <r>
      <rPr>
        <sz val="11"/>
        <color rgb="FF000000"/>
        <rFont val="Calibri"/>
      </rPr>
      <t>The sysctl --system command will load settings from all system configuration files. All configuration files are sorted by their filename in lexicographical order, regardless of the directories in which they reside. If multiple files specify the same option, the entry in the file with the lexicographically latest name will take precedence. Files are read from directories in the following list from top to bottom. Once a file of a given filename is loaded, any file of the same name in subsequent directories is ignored.</t>
    </r>
    <r>
      <rPr>
        <sz val="11"/>
        <color rgb="FF000000"/>
        <rFont val="Calibri"/>
      </rPr>
      <t xml:space="preserve">
</t>
    </r>
    <r>
      <rPr>
        <sz val="11"/>
        <color rgb="FF000000"/>
        <rFont val="Calibri"/>
      </rPr>
      <t>/etc/sysctl.d/*.conf</t>
    </r>
    <r>
      <rPr>
        <sz val="11"/>
        <color rgb="FF000000"/>
        <rFont val="Calibri"/>
      </rPr>
      <t xml:space="preserve">
</t>
    </r>
    <r>
      <rPr>
        <sz val="11"/>
        <color rgb="FF000000"/>
        <rFont val="Calibri"/>
      </rPr>
      <t>/run/sysctl.d/*.conf</t>
    </r>
    <r>
      <rPr>
        <sz val="11"/>
        <color rgb="FF000000"/>
        <rFont val="Calibri"/>
      </rPr>
      <t xml:space="preserve">
</t>
    </r>
    <r>
      <rPr>
        <sz val="11"/>
        <color rgb="FF000000"/>
        <rFont val="Calibri"/>
      </rPr>
      <t>/usr/local/lib/sysctl.d/*.conf</t>
    </r>
    <r>
      <rPr>
        <sz val="11"/>
        <color rgb="FF000000"/>
        <rFont val="Calibri"/>
      </rPr>
      <t xml:space="preserve">
</t>
    </r>
    <r>
      <rPr>
        <sz val="11"/>
        <color rgb="FF000000"/>
        <rFont val="Calibri"/>
      </rPr>
      <t>/usr/lib/sysctl.d/*.conf</t>
    </r>
    <r>
      <rPr>
        <sz val="11"/>
        <color rgb="FF000000"/>
        <rFont val="Calibri"/>
      </rPr>
      <t xml:space="preserve">
</t>
    </r>
    <r>
      <rPr>
        <sz val="11"/>
        <color rgb="FF000000"/>
        <rFont val="Calibri"/>
      </rPr>
      <t>/lib/sysctl.d/*.conf</t>
    </r>
    <r>
      <rPr>
        <sz val="11"/>
        <color rgb="FF000000"/>
        <rFont val="Calibri"/>
      </rPr>
      <t xml:space="preserve">
</t>
    </r>
    <r>
      <rPr>
        <sz val="11"/>
        <color rgb="FF000000"/>
        <rFont val="Calibri"/>
      </rPr>
      <t>/etc/sysctl.conf</t>
    </r>
  </si>
  <si>
    <r>
      <rPr>
        <sz val="11"/>
        <color rgb="FF000000"/>
        <rFont val="Calibri"/>
      </rPr>
      <t>Verify OL 8 will not accept IPv4 source-routed packets.</t>
    </r>
    <r>
      <rPr>
        <sz val="11"/>
        <color rgb="FF000000"/>
        <rFont val="Calibri"/>
      </rPr>
      <t xml:space="preserve">
</t>
    </r>
    <r>
      <rPr>
        <sz val="11"/>
        <color rgb="FF000000"/>
        <rFont val="Calibri"/>
      </rPr>
      <t>Check the value of the all "accept_source_route" variables with the following command:</t>
    </r>
    <r>
      <rPr>
        <sz val="11"/>
        <color rgb="FF000000"/>
        <rFont val="Calibri"/>
      </rPr>
      <t xml:space="preserve">
</t>
    </r>
    <r>
      <rPr>
        <sz val="11"/>
        <color rgb="FF000000"/>
        <rFont val="Calibri"/>
      </rPr>
      <t>$ sysctl net.ipv4.conf.all.accept_source_route</t>
    </r>
    <r>
      <rPr>
        <sz val="11"/>
        <color rgb="FF000000"/>
        <rFont val="Calibri"/>
      </rPr>
      <t xml:space="preserve">
</t>
    </r>
    <r>
      <rPr>
        <sz val="11"/>
        <color rgb="FF000000"/>
        <rFont val="Calibri"/>
      </rPr>
      <t>net.ipv4.conf.all.accept_source_route = 0</t>
    </r>
    <r>
      <rPr>
        <sz val="11"/>
        <color rgb="FF000000"/>
        <rFont val="Calibri"/>
      </rPr>
      <t xml:space="preserve">
</t>
    </r>
    <r>
      <rPr>
        <sz val="11"/>
        <color rgb="FF000000"/>
        <rFont val="Calibri"/>
      </rPr>
      <t>If the returned line does not have a value of "0", a line is not returned, or the line is commented out, this is a finding.</t>
    </r>
  </si>
  <si>
    <t>V-248880</t>
  </si>
  <si>
    <r>
      <rPr>
        <sz val="11"/>
        <rFont val="Calibri"/>
      </rPr>
      <t>OL 8 must not forward IPv6 source-routed packets.</t>
    </r>
  </si>
  <si>
    <r>
      <rPr>
        <sz val="11"/>
        <color rgb="FF000000"/>
        <rFont val="Calibri"/>
      </rPr>
      <t>Configure OL 8 to not forward IPv6 source-routed packets.</t>
    </r>
    <r>
      <rPr>
        <sz val="11"/>
        <color rgb="FF000000"/>
        <rFont val="Calibri"/>
      </rPr>
      <t xml:space="preserve">
</t>
    </r>
    <r>
      <rPr>
        <sz val="11"/>
        <color rgb="FF000000"/>
        <rFont val="Calibri"/>
      </rPr>
      <t>Add or edit the following line in a single system configuration file in the "/etc/sysctl.d/" directory:</t>
    </r>
    <r>
      <rPr>
        <sz val="11"/>
        <color rgb="FF000000"/>
        <rFont val="Calibri"/>
      </rPr>
      <t xml:space="preserve">
</t>
    </r>
    <r>
      <rPr>
        <sz val="11"/>
        <color rgb="FF000000"/>
        <rFont val="Calibri"/>
      </rPr>
      <t>net.ipv6.conf.all.accept_source_route = 0</t>
    </r>
    <r>
      <rPr>
        <sz val="11"/>
        <color rgb="FF000000"/>
        <rFont val="Calibri"/>
      </rPr>
      <t xml:space="preserve">
</t>
    </r>
    <r>
      <rPr>
        <sz val="11"/>
        <color rgb="FF000000"/>
        <rFont val="Calibri"/>
      </rPr>
      <t>Load settings from all system configuration files with the following command:</t>
    </r>
    <r>
      <rPr>
        <sz val="11"/>
        <color rgb="FF000000"/>
        <rFont val="Calibri"/>
      </rPr>
      <t xml:space="preserve">
</t>
    </r>
    <r>
      <rPr>
        <sz val="11"/>
        <color rgb="FF000000"/>
        <rFont val="Calibri"/>
      </rPr>
      <t>$ sudo sysctl --system</t>
    </r>
  </si>
  <si>
    <r>
      <rPr>
        <sz val="11"/>
        <color rgb="FF000000"/>
        <rFont val="Calibri"/>
      </rPr>
      <t>Note: If IPv6 is disabled on the system, this requirement is Not Applicable.</t>
    </r>
    <r>
      <rPr>
        <sz val="11"/>
        <color rgb="FF000000"/>
        <rFont val="Calibri"/>
      </rPr>
      <t xml:space="preserve">
</t>
    </r>
    <r>
      <rPr>
        <sz val="11"/>
        <color rgb="FF000000"/>
        <rFont val="Calibri"/>
      </rPr>
      <t>Verify OL 8 does not accept IPv6 source-routed packets.</t>
    </r>
    <r>
      <rPr>
        <sz val="11"/>
        <color rgb="FF000000"/>
        <rFont val="Calibri"/>
      </rPr>
      <t xml:space="preserve">
</t>
    </r>
    <r>
      <rPr>
        <sz val="11"/>
        <color rgb="FF000000"/>
        <rFont val="Calibri"/>
      </rPr>
      <t>Check the value of the accept source route variable with the following command:</t>
    </r>
    <r>
      <rPr>
        <sz val="11"/>
        <color rgb="FF000000"/>
        <rFont val="Calibri"/>
      </rPr>
      <t xml:space="preserve">
</t>
    </r>
    <r>
      <rPr>
        <sz val="11"/>
        <color rgb="FF000000"/>
        <rFont val="Calibri"/>
      </rPr>
      <t>$ sysctl net.ipv6.conf.all.accept_source_route</t>
    </r>
    <r>
      <rPr>
        <sz val="11"/>
        <color rgb="FF000000"/>
        <rFont val="Calibri"/>
      </rPr>
      <t xml:space="preserve">
</t>
    </r>
    <r>
      <rPr>
        <sz val="11"/>
        <color rgb="FF000000"/>
        <rFont val="Calibri"/>
      </rPr>
      <t>net.ipv6.conf.all.accept_source_route = 0</t>
    </r>
    <r>
      <rPr>
        <sz val="11"/>
        <color rgb="FF000000"/>
        <rFont val="Calibri"/>
      </rPr>
      <t xml:space="preserve">
</t>
    </r>
    <r>
      <rPr>
        <sz val="11"/>
        <color rgb="FF000000"/>
        <rFont val="Calibri"/>
      </rPr>
      <t>If the returned line does not have a value of "0", a line is not returned, or the line is commented out, this is a finding.</t>
    </r>
  </si>
  <si>
    <t>V-248881</t>
  </si>
  <si>
    <r>
      <rPr>
        <sz val="11"/>
        <rFont val="Calibri"/>
      </rPr>
      <t>OL 8 must not forward IPv4 source-routed packets by default.</t>
    </r>
  </si>
  <si>
    <r>
      <rPr>
        <sz val="11"/>
        <color rgb="FF000000"/>
        <rFont val="Calibri"/>
      </rPr>
      <t>Configure OL 8 to not forward IPv4 source-routed packets by default.</t>
    </r>
    <r>
      <rPr>
        <sz val="11"/>
        <color rgb="FF000000"/>
        <rFont val="Calibri"/>
      </rPr>
      <t xml:space="preserve">
</t>
    </r>
    <r>
      <rPr>
        <sz val="11"/>
        <color rgb="FF000000"/>
        <rFont val="Calibri"/>
      </rPr>
      <t>Add or edit the following line in a single system configuration file in the "/etc/sysctl.d/" directory:</t>
    </r>
    <r>
      <rPr>
        <sz val="11"/>
        <color rgb="FF000000"/>
        <rFont val="Calibri"/>
      </rPr>
      <t xml:space="preserve">
</t>
    </r>
    <r>
      <rPr>
        <sz val="11"/>
        <color rgb="FF000000"/>
        <rFont val="Calibri"/>
      </rPr>
      <t>net.ipv4.conf.default.accept_source_route = 0</t>
    </r>
    <r>
      <rPr>
        <sz val="11"/>
        <color rgb="FF000000"/>
        <rFont val="Calibri"/>
      </rPr>
      <t xml:space="preserve">
</t>
    </r>
    <r>
      <rPr>
        <sz val="11"/>
        <color rgb="FF000000"/>
        <rFont val="Calibri"/>
      </rPr>
      <t>Load settings from all system configuration files with the following command:</t>
    </r>
    <r>
      <rPr>
        <sz val="11"/>
        <color rgb="FF000000"/>
        <rFont val="Calibri"/>
      </rPr>
      <t xml:space="preserve">
</t>
    </r>
    <r>
      <rPr>
        <sz val="11"/>
        <color rgb="FF000000"/>
        <rFont val="Calibri"/>
      </rPr>
      <t>$ sudo sysctl --system</t>
    </r>
  </si>
  <si>
    <r>
      <rPr>
        <sz val="11"/>
        <color rgb="FF000000"/>
        <rFont val="Calibri"/>
      </rPr>
      <t>Verify OL 8 does not accept IPv4 source-routed packets by default.</t>
    </r>
    <r>
      <rPr>
        <sz val="11"/>
        <color rgb="FF000000"/>
        <rFont val="Calibri"/>
      </rPr>
      <t xml:space="preserve">
</t>
    </r>
    <r>
      <rPr>
        <sz val="11"/>
        <color rgb="FF000000"/>
        <rFont val="Calibri"/>
      </rPr>
      <t>Check the value of the accept source route variable with the following command:</t>
    </r>
    <r>
      <rPr>
        <sz val="11"/>
        <color rgb="FF000000"/>
        <rFont val="Calibri"/>
      </rPr>
      <t xml:space="preserve">
</t>
    </r>
    <r>
      <rPr>
        <sz val="11"/>
        <color rgb="FF000000"/>
        <rFont val="Calibri"/>
      </rPr>
      <t>$ sysctl net.ipv4.conf.default.accept_source_route</t>
    </r>
    <r>
      <rPr>
        <sz val="11"/>
        <color rgb="FF000000"/>
        <rFont val="Calibri"/>
      </rPr>
      <t xml:space="preserve">
</t>
    </r>
    <r>
      <rPr>
        <sz val="11"/>
        <color rgb="FF000000"/>
        <rFont val="Calibri"/>
      </rPr>
      <t>net.ipv4.conf.default.accept_source_route = 0</t>
    </r>
    <r>
      <rPr>
        <sz val="11"/>
        <color rgb="FF000000"/>
        <rFont val="Calibri"/>
      </rPr>
      <t xml:space="preserve">
</t>
    </r>
    <r>
      <rPr>
        <sz val="11"/>
        <color rgb="FF000000"/>
        <rFont val="Calibri"/>
      </rPr>
      <t>If the returned line does not have a value of "0", a line is not returned, or the line is commented out, this is a finding.</t>
    </r>
  </si>
  <si>
    <t>V-248882</t>
  </si>
  <si>
    <r>
      <rPr>
        <sz val="11"/>
        <rFont val="Calibri"/>
      </rPr>
      <t>OL 8 must not forward IPv6 source-routed packets by default.</t>
    </r>
  </si>
  <si>
    <r>
      <rPr>
        <sz val="11"/>
        <color rgb="FF000000"/>
        <rFont val="Calibri"/>
      </rPr>
      <t>Configure OL 8 to not forward IPv6 source-routed packets by default.</t>
    </r>
    <r>
      <rPr>
        <sz val="11"/>
        <color rgb="FF000000"/>
        <rFont val="Calibri"/>
      </rPr>
      <t xml:space="preserve">
</t>
    </r>
    <r>
      <rPr>
        <sz val="11"/>
        <color rgb="FF000000"/>
        <rFont val="Calibri"/>
      </rPr>
      <t>Add or edit the following line in a single system configuration file in the "/etc/sysctl.d/" directory:</t>
    </r>
    <r>
      <rPr>
        <sz val="11"/>
        <color rgb="FF000000"/>
        <rFont val="Calibri"/>
      </rPr>
      <t xml:space="preserve">
</t>
    </r>
    <r>
      <rPr>
        <sz val="11"/>
        <color rgb="FF000000"/>
        <rFont val="Calibri"/>
      </rPr>
      <t>net.ipv6.conf.default.accept_source_route = 0</t>
    </r>
    <r>
      <rPr>
        <sz val="11"/>
        <color rgb="FF000000"/>
        <rFont val="Calibri"/>
      </rPr>
      <t xml:space="preserve">
</t>
    </r>
    <r>
      <rPr>
        <sz val="11"/>
        <color rgb="FF000000"/>
        <rFont val="Calibri"/>
      </rPr>
      <t>Load settings from all system configuration files with the following command:</t>
    </r>
    <r>
      <rPr>
        <sz val="11"/>
        <color rgb="FF000000"/>
        <rFont val="Calibri"/>
      </rPr>
      <t xml:space="preserve">
</t>
    </r>
    <r>
      <rPr>
        <sz val="11"/>
        <color rgb="FF000000"/>
        <rFont val="Calibri"/>
      </rPr>
      <t>$ sudo sysctl --system</t>
    </r>
  </si>
  <si>
    <r>
      <rPr>
        <sz val="11"/>
        <color rgb="FF000000"/>
        <rFont val="Calibri"/>
      </rPr>
      <t>Note: If IPv6 is disabled on the system, this requirement is Not Applicable.</t>
    </r>
    <r>
      <rPr>
        <sz val="11"/>
        <color rgb="FF000000"/>
        <rFont val="Calibri"/>
      </rPr>
      <t xml:space="preserve">
</t>
    </r>
    <r>
      <rPr>
        <sz val="11"/>
        <color rgb="FF000000"/>
        <rFont val="Calibri"/>
      </rPr>
      <t>Verify OL 8 does not accept IPv6 source-routed packets by default.</t>
    </r>
    <r>
      <rPr>
        <sz val="11"/>
        <color rgb="FF000000"/>
        <rFont val="Calibri"/>
      </rPr>
      <t xml:space="preserve">
</t>
    </r>
    <r>
      <rPr>
        <sz val="11"/>
        <color rgb="FF000000"/>
        <rFont val="Calibri"/>
      </rPr>
      <t>Check the value of the accept source route variable with the following command:</t>
    </r>
    <r>
      <rPr>
        <sz val="11"/>
        <color rgb="FF000000"/>
        <rFont val="Calibri"/>
      </rPr>
      <t xml:space="preserve">
</t>
    </r>
    <r>
      <rPr>
        <sz val="11"/>
        <color rgb="FF000000"/>
        <rFont val="Calibri"/>
      </rPr>
      <t>$ sysctl net.ipv6.conf.default.accept_source_route</t>
    </r>
    <r>
      <rPr>
        <sz val="11"/>
        <color rgb="FF000000"/>
        <rFont val="Calibri"/>
      </rPr>
      <t xml:space="preserve">
</t>
    </r>
    <r>
      <rPr>
        <sz val="11"/>
        <color rgb="FF000000"/>
        <rFont val="Calibri"/>
      </rPr>
      <t>net.ipv6.conf.default.accept_source_route = 0</t>
    </r>
    <r>
      <rPr>
        <sz val="11"/>
        <color rgb="FF000000"/>
        <rFont val="Calibri"/>
      </rPr>
      <t xml:space="preserve">
</t>
    </r>
    <r>
      <rPr>
        <sz val="11"/>
        <color rgb="FF000000"/>
        <rFont val="Calibri"/>
      </rPr>
      <t>If the returned line does not have a value of "0", a line is not returned, or the line is commented out, this is a finding.</t>
    </r>
  </si>
  <si>
    <t>V-248883</t>
  </si>
  <si>
    <r>
      <rPr>
        <sz val="11"/>
        <rFont val="Calibri"/>
      </rPr>
      <t>OL 8 must not enable IPv6 packet forwarding unless the system is a router.</t>
    </r>
  </si>
  <si>
    <r>
      <rPr>
        <sz val="11"/>
        <color rgb="FF000000"/>
        <rFont val="Calibri"/>
      </rPr>
      <t>Configure OL 8 to not allow IPv6 packet forwarding unless the system is a router.</t>
    </r>
    <r>
      <rPr>
        <sz val="11"/>
        <color rgb="FF000000"/>
        <rFont val="Calibri"/>
      </rPr>
      <t xml:space="preserve">
</t>
    </r>
    <r>
      <rPr>
        <sz val="11"/>
        <color rgb="FF000000"/>
        <rFont val="Calibri"/>
      </rPr>
      <t>Add or edit the following line in a single system configuration file in the "/etc/sysctl.d/" directory:</t>
    </r>
    <r>
      <rPr>
        <sz val="11"/>
        <color rgb="FF000000"/>
        <rFont val="Calibri"/>
      </rPr>
      <t xml:space="preserve">
</t>
    </r>
    <r>
      <rPr>
        <sz val="11"/>
        <color rgb="FF000000"/>
        <rFont val="Calibri"/>
      </rPr>
      <t>net.ipv6.conf.all.forwarding = 0</t>
    </r>
    <r>
      <rPr>
        <sz val="11"/>
        <color rgb="FF000000"/>
        <rFont val="Calibri"/>
      </rPr>
      <t xml:space="preserve">
</t>
    </r>
    <r>
      <rPr>
        <sz val="11"/>
        <color rgb="FF000000"/>
        <rFont val="Calibri"/>
      </rPr>
      <t>Load settings from all system configuration files with the following command:</t>
    </r>
    <r>
      <rPr>
        <sz val="11"/>
        <color rgb="FF000000"/>
        <rFont val="Calibri"/>
      </rPr>
      <t xml:space="preserve">
</t>
    </r>
    <r>
      <rPr>
        <sz val="11"/>
        <color rgb="FF000000"/>
        <rFont val="Calibri"/>
      </rPr>
      <t>$ sudo sysctl --system</t>
    </r>
  </si>
  <si>
    <r>
      <rPr>
        <sz val="11"/>
        <color rgb="FF000000"/>
        <rFont val="Calibri"/>
      </rPr>
      <t>Routing protocol daemons are typically used on routers to exchange network topology information with other routers. If this software is used when not required, system network information may be unnecessarily transmitted across the network.</t>
    </r>
    <r>
      <rPr>
        <sz val="11"/>
        <color rgb="FF000000"/>
        <rFont val="Calibri"/>
      </rPr>
      <t xml:space="preserve">
</t>
    </r>
    <r>
      <rPr>
        <sz val="11"/>
        <color rgb="FF000000"/>
        <rFont val="Calibri"/>
      </rPr>
      <t>The sysctl --system command will load settings from all system configuration files. All configuration files are sorted by their filename in lexicographical order, regardless of the directories in which they reside. If multiple files specify the same option, the entry in the file with the lexicographically latest name will take precedence. Files are read from directories in the following list from top to bottom. Once a file of a given filename is loaded, any file of the same name in subsequent directories is ignored.</t>
    </r>
    <r>
      <rPr>
        <sz val="11"/>
        <color rgb="FF000000"/>
        <rFont val="Calibri"/>
      </rPr>
      <t xml:space="preserve">
</t>
    </r>
    <r>
      <rPr>
        <sz val="11"/>
        <color rgb="FF000000"/>
        <rFont val="Calibri"/>
      </rPr>
      <t>/etc/sysctl.d/*.conf</t>
    </r>
    <r>
      <rPr>
        <sz val="11"/>
        <color rgb="FF000000"/>
        <rFont val="Calibri"/>
      </rPr>
      <t xml:space="preserve">
</t>
    </r>
    <r>
      <rPr>
        <sz val="11"/>
        <color rgb="FF000000"/>
        <rFont val="Calibri"/>
      </rPr>
      <t>/run/sysctl.d/*.conf</t>
    </r>
    <r>
      <rPr>
        <sz val="11"/>
        <color rgb="FF000000"/>
        <rFont val="Calibri"/>
      </rPr>
      <t xml:space="preserve">
</t>
    </r>
    <r>
      <rPr>
        <sz val="11"/>
        <color rgb="FF000000"/>
        <rFont val="Calibri"/>
      </rPr>
      <t>/usr/local/lib/sysctl.d/*.conf</t>
    </r>
    <r>
      <rPr>
        <sz val="11"/>
        <color rgb="FF000000"/>
        <rFont val="Calibri"/>
      </rPr>
      <t xml:space="preserve">
</t>
    </r>
    <r>
      <rPr>
        <sz val="11"/>
        <color rgb="FF000000"/>
        <rFont val="Calibri"/>
      </rPr>
      <t>/usr/lib/sysctl.d/*.conf</t>
    </r>
    <r>
      <rPr>
        <sz val="11"/>
        <color rgb="FF000000"/>
        <rFont val="Calibri"/>
      </rPr>
      <t xml:space="preserve">
</t>
    </r>
    <r>
      <rPr>
        <sz val="11"/>
        <color rgb="FF000000"/>
        <rFont val="Calibri"/>
      </rPr>
      <t>/lib/sysctl.d/*.conf</t>
    </r>
    <r>
      <rPr>
        <sz val="11"/>
        <color rgb="FF000000"/>
        <rFont val="Calibri"/>
      </rPr>
      <t xml:space="preserve">
</t>
    </r>
    <r>
      <rPr>
        <sz val="11"/>
        <color rgb="FF000000"/>
        <rFont val="Calibri"/>
      </rPr>
      <t>/etc/sysctl.conf</t>
    </r>
  </si>
  <si>
    <r>
      <rPr>
        <sz val="11"/>
        <color rgb="FF000000"/>
        <rFont val="Calibri"/>
      </rPr>
      <t>Note: If IPv6 is disabled on the system, this requirement is Not Applicable.</t>
    </r>
    <r>
      <rPr>
        <sz val="11"/>
        <color rgb="FF000000"/>
        <rFont val="Calibri"/>
      </rPr>
      <t xml:space="preserve">
</t>
    </r>
    <r>
      <rPr>
        <sz val="11"/>
        <color rgb="FF000000"/>
        <rFont val="Calibri"/>
      </rPr>
      <t>Verify OL 8 is not performing IPv6 packet forwarding, unless the system is a router.</t>
    </r>
    <r>
      <rPr>
        <sz val="11"/>
        <color rgb="FF000000"/>
        <rFont val="Calibri"/>
      </rPr>
      <t xml:space="preserve">
</t>
    </r>
    <r>
      <rPr>
        <sz val="11"/>
        <color rgb="FF000000"/>
        <rFont val="Calibri"/>
      </rPr>
      <t>Check that IPv6 forwarding is disabled using the following commands:</t>
    </r>
    <r>
      <rPr>
        <sz val="11"/>
        <color rgb="FF000000"/>
        <rFont val="Calibri"/>
      </rPr>
      <t xml:space="preserve">
</t>
    </r>
    <r>
      <rPr>
        <sz val="11"/>
        <color rgb="FF000000"/>
        <rFont val="Calibri"/>
      </rPr>
      <t>$ sysctl net.ipv6.conf.all.forwarding</t>
    </r>
    <r>
      <rPr>
        <sz val="11"/>
        <color rgb="FF000000"/>
        <rFont val="Calibri"/>
      </rPr>
      <t xml:space="preserve">
</t>
    </r>
    <r>
      <rPr>
        <sz val="11"/>
        <color rgb="FF000000"/>
        <rFont val="Calibri"/>
      </rPr>
      <t>net.ipv6.conf.all.forwarding = 0</t>
    </r>
    <r>
      <rPr>
        <sz val="11"/>
        <color rgb="FF000000"/>
        <rFont val="Calibri"/>
      </rPr>
      <t xml:space="preserve">
</t>
    </r>
    <r>
      <rPr>
        <sz val="11"/>
        <color rgb="FF000000"/>
        <rFont val="Calibri"/>
      </rPr>
      <t>If the IPv6 forwarding value is not "0" and is not documented with the information system security officer (ISSO) as an operational requirement, this is a finding.</t>
    </r>
  </si>
  <si>
    <t>V-248884</t>
  </si>
  <si>
    <r>
      <rPr>
        <sz val="11"/>
        <rFont val="Calibri"/>
      </rPr>
      <t>OL 8 must not accept router advertisements on all IPv6 interfaces.</t>
    </r>
  </si>
  <si>
    <r>
      <rPr>
        <sz val="11"/>
        <color rgb="FF000000"/>
        <rFont val="Calibri"/>
      </rPr>
      <t>Configure OL 8 to not accept router advertisements on all IPv6 interfaces unless the system is a router.</t>
    </r>
    <r>
      <rPr>
        <sz val="11"/>
        <color rgb="FF000000"/>
        <rFont val="Calibri"/>
      </rPr>
      <t xml:space="preserve">
</t>
    </r>
    <r>
      <rPr>
        <sz val="11"/>
        <color rgb="FF000000"/>
        <rFont val="Calibri"/>
      </rPr>
      <t>Add or edit the following line in a single system configuration file in the "/etc/sysctl.d/" directory:</t>
    </r>
    <r>
      <rPr>
        <sz val="11"/>
        <color rgb="FF000000"/>
        <rFont val="Calibri"/>
      </rPr>
      <t xml:space="preserve">
</t>
    </r>
    <r>
      <rPr>
        <sz val="11"/>
        <color rgb="FF000000"/>
        <rFont val="Calibri"/>
      </rPr>
      <t>net.ipv6.conf.all.accept_ra = 0</t>
    </r>
    <r>
      <rPr>
        <sz val="11"/>
        <color rgb="FF000000"/>
        <rFont val="Calibri"/>
      </rPr>
      <t xml:space="preserve">
</t>
    </r>
    <r>
      <rPr>
        <sz val="11"/>
        <color rgb="FF000000"/>
        <rFont val="Calibri"/>
      </rPr>
      <t>Load settings from all system configuration files with the following command:</t>
    </r>
    <r>
      <rPr>
        <sz val="11"/>
        <color rgb="FF000000"/>
        <rFont val="Calibri"/>
      </rPr>
      <t xml:space="preserve">
</t>
    </r>
    <r>
      <rPr>
        <sz val="11"/>
        <color rgb="FF000000"/>
        <rFont val="Calibri"/>
      </rPr>
      <t>$ sudo sysctl --system</t>
    </r>
  </si>
  <si>
    <r>
      <rPr>
        <sz val="11"/>
        <color rgb="FF000000"/>
        <rFont val="Calibri"/>
      </rPr>
      <t xml:space="preserve">Routing protocol daemons are typically used on routers to exchange network topology information with other routers. If this software is used when not required, system network information may be unnecessarily transmitted across the network.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An illicit router advertisement message could result in a man-in-the-middle attack.</t>
    </r>
    <r>
      <rPr>
        <sz val="11"/>
        <color rgb="FF000000"/>
        <rFont val="Calibri"/>
      </rPr>
      <t xml:space="preserve">
</t>
    </r>
    <r>
      <rPr>
        <sz val="11"/>
        <color rgb="FF000000"/>
        <rFont val="Calibri"/>
      </rPr>
      <t>The sysctl --system command will load settings from all system configuration files. All configuration files are sorted by their filename in lexicographical order, regardless of the directories in which they reside. If multiple files specify the same option, the entry in the file with the lexicographically latest name will take precedence. Files are read from directories in the following list from top to bottom. Once a file of a given filename is loaded, any file of the same name in subsequent directories is ignored.</t>
    </r>
    <r>
      <rPr>
        <sz val="11"/>
        <color rgb="FF000000"/>
        <rFont val="Calibri"/>
      </rPr>
      <t xml:space="preserve">
</t>
    </r>
    <r>
      <rPr>
        <sz val="11"/>
        <color rgb="FF000000"/>
        <rFont val="Calibri"/>
      </rPr>
      <t>/etc/sysctl.d/*.conf</t>
    </r>
    <r>
      <rPr>
        <sz val="11"/>
        <color rgb="FF000000"/>
        <rFont val="Calibri"/>
      </rPr>
      <t xml:space="preserve">
</t>
    </r>
    <r>
      <rPr>
        <sz val="11"/>
        <color rgb="FF000000"/>
        <rFont val="Calibri"/>
      </rPr>
      <t>/run/sysctl.d/*.conf</t>
    </r>
    <r>
      <rPr>
        <sz val="11"/>
        <color rgb="FF000000"/>
        <rFont val="Calibri"/>
      </rPr>
      <t xml:space="preserve">
</t>
    </r>
    <r>
      <rPr>
        <sz val="11"/>
        <color rgb="FF000000"/>
        <rFont val="Calibri"/>
      </rPr>
      <t>/usr/local/lib/sysctl.d/*.conf</t>
    </r>
    <r>
      <rPr>
        <sz val="11"/>
        <color rgb="FF000000"/>
        <rFont val="Calibri"/>
      </rPr>
      <t xml:space="preserve">
</t>
    </r>
    <r>
      <rPr>
        <sz val="11"/>
        <color rgb="FF000000"/>
        <rFont val="Calibri"/>
      </rPr>
      <t>/usr/lib/sysctl.d/*.conf</t>
    </r>
    <r>
      <rPr>
        <sz val="11"/>
        <color rgb="FF000000"/>
        <rFont val="Calibri"/>
      </rPr>
      <t xml:space="preserve">
</t>
    </r>
    <r>
      <rPr>
        <sz val="11"/>
        <color rgb="FF000000"/>
        <rFont val="Calibri"/>
      </rPr>
      <t>/lib/sysctl.d/*.conf</t>
    </r>
    <r>
      <rPr>
        <sz val="11"/>
        <color rgb="FF000000"/>
        <rFont val="Calibri"/>
      </rPr>
      <t xml:space="preserve">
</t>
    </r>
    <r>
      <rPr>
        <sz val="11"/>
        <color rgb="FF000000"/>
        <rFont val="Calibri"/>
      </rPr>
      <t>/etc/sysctl.conf</t>
    </r>
  </si>
  <si>
    <r>
      <rPr>
        <sz val="11"/>
        <color rgb="FF000000"/>
        <rFont val="Calibri"/>
      </rPr>
      <t>Note: If IPv6 is disabled on the system, this requirement is Not Applicable.</t>
    </r>
    <r>
      <rPr>
        <sz val="11"/>
        <color rgb="FF000000"/>
        <rFont val="Calibri"/>
      </rPr>
      <t xml:space="preserve">
</t>
    </r>
    <r>
      <rPr>
        <sz val="11"/>
        <color rgb="FF000000"/>
        <rFont val="Calibri"/>
      </rPr>
      <t>Verify OL 8 does not accept router advertisements on all IPv6 interfaces, unless the system is a router.</t>
    </r>
    <r>
      <rPr>
        <sz val="11"/>
        <color rgb="FF000000"/>
        <rFont val="Calibri"/>
      </rPr>
      <t xml:space="preserve">
</t>
    </r>
    <r>
      <rPr>
        <sz val="11"/>
        <color rgb="FF000000"/>
        <rFont val="Calibri"/>
      </rPr>
      <t>Determine if router advertisements are not accepted by using the following command:</t>
    </r>
    <r>
      <rPr>
        <sz val="11"/>
        <color rgb="FF000000"/>
        <rFont val="Calibri"/>
      </rPr>
      <t xml:space="preserve">
</t>
    </r>
    <r>
      <rPr>
        <sz val="11"/>
        <color rgb="FF000000"/>
        <rFont val="Calibri"/>
      </rPr>
      <t>$ sysctl net.ipv6.conf.all.accept_ra</t>
    </r>
    <r>
      <rPr>
        <sz val="11"/>
        <color rgb="FF000000"/>
        <rFont val="Calibri"/>
      </rPr>
      <t xml:space="preserve">
</t>
    </r>
    <r>
      <rPr>
        <sz val="11"/>
        <color rgb="FF000000"/>
        <rFont val="Calibri"/>
      </rPr>
      <t>net.ipv6.conf.all.accept_ra = 0</t>
    </r>
    <r>
      <rPr>
        <sz val="11"/>
        <color rgb="FF000000"/>
        <rFont val="Calibri"/>
      </rPr>
      <t xml:space="preserve">
</t>
    </r>
    <r>
      <rPr>
        <sz val="11"/>
        <color rgb="FF000000"/>
        <rFont val="Calibri"/>
      </rPr>
      <t>If the "accept_ra" value is not "0" and is not documented with the information system security officer (ISSO) as an operational requirement, this is a finding.</t>
    </r>
  </si>
  <si>
    <t>V-248885</t>
  </si>
  <si>
    <r>
      <rPr>
        <sz val="11"/>
        <rFont val="Calibri"/>
      </rPr>
      <t>OL 8 must not accept router advertisements on all IPv6 interfaces by default.</t>
    </r>
  </si>
  <si>
    <r>
      <rPr>
        <sz val="11"/>
        <color rgb="FF000000"/>
        <rFont val="Calibri"/>
      </rPr>
      <t>Configure OL 8 to not accept router advertisements on all IPv6 interfaces by default unless the system is a router.</t>
    </r>
    <r>
      <rPr>
        <sz val="11"/>
        <color rgb="FF000000"/>
        <rFont val="Calibri"/>
      </rPr>
      <t xml:space="preserve">
</t>
    </r>
    <r>
      <rPr>
        <sz val="11"/>
        <color rgb="FF000000"/>
        <rFont val="Calibri"/>
      </rPr>
      <t>Add or edit the following line in a single system configuration file in the "/etc/sysctl.d/" directory:</t>
    </r>
    <r>
      <rPr>
        <sz val="11"/>
        <color rgb="FF000000"/>
        <rFont val="Calibri"/>
      </rPr>
      <t xml:space="preserve">
</t>
    </r>
    <r>
      <rPr>
        <sz val="11"/>
        <color rgb="FF000000"/>
        <rFont val="Calibri"/>
      </rPr>
      <t>net.ipv6.conf.default.accept_ra = 0</t>
    </r>
    <r>
      <rPr>
        <sz val="11"/>
        <color rgb="FF000000"/>
        <rFont val="Calibri"/>
      </rPr>
      <t xml:space="preserve">
</t>
    </r>
    <r>
      <rPr>
        <sz val="11"/>
        <color rgb="FF000000"/>
        <rFont val="Calibri"/>
      </rPr>
      <t>Load settings from all system configuration files with the following command:</t>
    </r>
    <r>
      <rPr>
        <sz val="11"/>
        <color rgb="FF000000"/>
        <rFont val="Calibri"/>
      </rPr>
      <t xml:space="preserve">
</t>
    </r>
    <r>
      <rPr>
        <sz val="11"/>
        <color rgb="FF000000"/>
        <rFont val="Calibri"/>
      </rPr>
      <t>$ sudo sysctl --system</t>
    </r>
  </si>
  <si>
    <r>
      <rPr>
        <sz val="11"/>
        <color rgb="FF000000"/>
        <rFont val="Calibri"/>
      </rPr>
      <t>Note: If IPv6 is disabled on the system, this requirement is Not Applicable.</t>
    </r>
    <r>
      <rPr>
        <sz val="11"/>
        <color rgb="FF000000"/>
        <rFont val="Calibri"/>
      </rPr>
      <t xml:space="preserve">
</t>
    </r>
    <r>
      <rPr>
        <sz val="11"/>
        <color rgb="FF000000"/>
        <rFont val="Calibri"/>
      </rPr>
      <t>Verify OL 8 does not accept router advertisements on all IPv6 interfaces by default unless the system is a router.</t>
    </r>
    <r>
      <rPr>
        <sz val="11"/>
        <color rgb="FF000000"/>
        <rFont val="Calibri"/>
      </rPr>
      <t xml:space="preserve">
</t>
    </r>
    <r>
      <rPr>
        <sz val="11"/>
        <color rgb="FF000000"/>
        <rFont val="Calibri"/>
      </rPr>
      <t>Determine if router advertisements are not accepted by default by using the following command:</t>
    </r>
    <r>
      <rPr>
        <sz val="11"/>
        <color rgb="FF000000"/>
        <rFont val="Calibri"/>
      </rPr>
      <t xml:space="preserve">
</t>
    </r>
    <r>
      <rPr>
        <sz val="11"/>
        <color rgb="FF000000"/>
        <rFont val="Calibri"/>
      </rPr>
      <t>$ sysctl net.ipv6.conf.default.accept_ra</t>
    </r>
    <r>
      <rPr>
        <sz val="11"/>
        <color rgb="FF000000"/>
        <rFont val="Calibri"/>
      </rPr>
      <t xml:space="preserve">
</t>
    </r>
    <r>
      <rPr>
        <sz val="11"/>
        <color rgb="FF000000"/>
        <rFont val="Calibri"/>
      </rPr>
      <t>net.ipv6.conf.default.accept_ra = 0</t>
    </r>
    <r>
      <rPr>
        <sz val="11"/>
        <color rgb="FF000000"/>
        <rFont val="Calibri"/>
      </rPr>
      <t xml:space="preserve">
</t>
    </r>
    <r>
      <rPr>
        <sz val="11"/>
        <color rgb="FF000000"/>
        <rFont val="Calibri"/>
      </rPr>
      <t>If the "accept_ra" value is not "0" and is not documented with the information system security officer (ISSO) as an operational requirement, this is a finding.</t>
    </r>
  </si>
  <si>
    <t>V-248886</t>
  </si>
  <si>
    <r>
      <rPr>
        <sz val="11"/>
        <rFont val="Calibri"/>
      </rPr>
      <t>OL 8 must not allow interfaces to perform Internet Control Message Protocol (ICMP) redirects by default.</t>
    </r>
  </si>
  <si>
    <r>
      <rPr>
        <sz val="11"/>
        <color rgb="FF000000"/>
        <rFont val="Calibri"/>
      </rPr>
      <t>Configure OL 8 to not allow interfaces to perform IPv4 ICMP redirects by default.</t>
    </r>
    <r>
      <rPr>
        <sz val="11"/>
        <color rgb="FF000000"/>
        <rFont val="Calibri"/>
      </rPr>
      <t xml:space="preserve">
</t>
    </r>
    <r>
      <rPr>
        <sz val="11"/>
        <color rgb="FF000000"/>
        <rFont val="Calibri"/>
      </rPr>
      <t>Add or edit the following line in a single system configuration file in the "/etc/sysctl.d/" directory:</t>
    </r>
    <r>
      <rPr>
        <sz val="11"/>
        <color rgb="FF000000"/>
        <rFont val="Calibri"/>
      </rPr>
      <t xml:space="preserve">
</t>
    </r>
    <r>
      <rPr>
        <sz val="11"/>
        <color rgb="FF000000"/>
        <rFont val="Calibri"/>
      </rPr>
      <t>net.ipv4.conf.default.send_redirects = 0</t>
    </r>
    <r>
      <rPr>
        <sz val="11"/>
        <color rgb="FF000000"/>
        <rFont val="Calibri"/>
      </rPr>
      <t xml:space="preserve">
</t>
    </r>
    <r>
      <rPr>
        <sz val="11"/>
        <color rgb="FF000000"/>
        <rFont val="Calibri"/>
      </rPr>
      <t>Load settings from all system configuration files with the following command:</t>
    </r>
    <r>
      <rPr>
        <sz val="11"/>
        <color rgb="FF000000"/>
        <rFont val="Calibri"/>
      </rPr>
      <t xml:space="preserve">
</t>
    </r>
    <r>
      <rPr>
        <sz val="11"/>
        <color rgb="FF000000"/>
        <rFont val="Calibri"/>
      </rPr>
      <t>$ sudo sysctl --system</t>
    </r>
  </si>
  <si>
    <r>
      <rPr>
        <sz val="11"/>
        <color rgb="FF000000"/>
        <rFont val="Calibri"/>
      </rPr>
      <t>ICMP redirect messages are used by routers to inform hosts that a more direct route exists for a particular destination. These messages contain information from the system's route table, possibly revealing portions of the network topology.</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There are notable differences between Internet Protocol version 4 (IPv4) and Internet Protocol version 6 (IPv6). There is only a directive to disable sending of IPv4 redirected packets. Refer to RFC4294 for an explanation of "IPv6 Node Requirements", which resulted in this difference between IPv4 and IPv6.</t>
    </r>
    <r>
      <rPr>
        <sz val="11"/>
        <color rgb="FF000000"/>
        <rFont val="Calibri"/>
      </rPr>
      <t xml:space="preserve">
</t>
    </r>
    <r>
      <rPr>
        <sz val="11"/>
        <color rgb="FF000000"/>
        <rFont val="Calibri"/>
      </rPr>
      <t>The sysctl --system command will load settings from all system configuration files. All configuration files are sorted by their filename in lexicographical order, regardless of the directories in which they reside. If multiple files specify the same option, the entry in the file with the lexicographically latest name will take precedence. Files are read from directories in the following list from top to bottom. Once a file of a given filename is loaded, any file of the same name in subsequent directories is ignored.</t>
    </r>
    <r>
      <rPr>
        <sz val="11"/>
        <color rgb="FF000000"/>
        <rFont val="Calibri"/>
      </rPr>
      <t xml:space="preserve">
</t>
    </r>
    <r>
      <rPr>
        <sz val="11"/>
        <color rgb="FF000000"/>
        <rFont val="Calibri"/>
      </rPr>
      <t>/etc/sysctl.d/*.conf</t>
    </r>
    <r>
      <rPr>
        <sz val="11"/>
        <color rgb="FF000000"/>
        <rFont val="Calibri"/>
      </rPr>
      <t xml:space="preserve">
</t>
    </r>
    <r>
      <rPr>
        <sz val="11"/>
        <color rgb="FF000000"/>
        <rFont val="Calibri"/>
      </rPr>
      <t>/run/sysctl.d/*.conf</t>
    </r>
    <r>
      <rPr>
        <sz val="11"/>
        <color rgb="FF000000"/>
        <rFont val="Calibri"/>
      </rPr>
      <t xml:space="preserve">
</t>
    </r>
    <r>
      <rPr>
        <sz val="11"/>
        <color rgb="FF000000"/>
        <rFont val="Calibri"/>
      </rPr>
      <t>/usr/local/lib/sysctl.d/*.conf</t>
    </r>
    <r>
      <rPr>
        <sz val="11"/>
        <color rgb="FF000000"/>
        <rFont val="Calibri"/>
      </rPr>
      <t xml:space="preserve">
</t>
    </r>
    <r>
      <rPr>
        <sz val="11"/>
        <color rgb="FF000000"/>
        <rFont val="Calibri"/>
      </rPr>
      <t>/usr/lib/sysctl.d/*.conf</t>
    </r>
    <r>
      <rPr>
        <sz val="11"/>
        <color rgb="FF000000"/>
        <rFont val="Calibri"/>
      </rPr>
      <t xml:space="preserve">
</t>
    </r>
    <r>
      <rPr>
        <sz val="11"/>
        <color rgb="FF000000"/>
        <rFont val="Calibri"/>
      </rPr>
      <t>/lib/sysctl.d/*.conf</t>
    </r>
    <r>
      <rPr>
        <sz val="11"/>
        <color rgb="FF000000"/>
        <rFont val="Calibri"/>
      </rPr>
      <t xml:space="preserve">
</t>
    </r>
    <r>
      <rPr>
        <sz val="11"/>
        <color rgb="FF000000"/>
        <rFont val="Calibri"/>
      </rPr>
      <t>/etc/sysctl.conf</t>
    </r>
  </si>
  <si>
    <r>
      <rPr>
        <sz val="11"/>
        <color rgb="FF000000"/>
        <rFont val="Calibri"/>
      </rPr>
      <t>Verify OL 8 does not allow interfaces to perform Internet Protocol version 4 (IPv4) ICMP redirects by default.</t>
    </r>
    <r>
      <rPr>
        <sz val="11"/>
        <color rgb="FF000000"/>
        <rFont val="Calibri"/>
      </rPr>
      <t xml:space="preserve">
</t>
    </r>
    <r>
      <rPr>
        <sz val="11"/>
        <color rgb="FF000000"/>
        <rFont val="Calibri"/>
      </rPr>
      <t>Check the value of the "default send_redirects" variables with the following command:</t>
    </r>
    <r>
      <rPr>
        <sz val="11"/>
        <color rgb="FF000000"/>
        <rFont val="Calibri"/>
      </rPr>
      <t xml:space="preserve">
</t>
    </r>
    <r>
      <rPr>
        <sz val="11"/>
        <color rgb="FF000000"/>
        <rFont val="Calibri"/>
      </rPr>
      <t>$ sysctl net.ipv4.conf.default.send_redirects</t>
    </r>
    <r>
      <rPr>
        <sz val="11"/>
        <color rgb="FF000000"/>
        <rFont val="Calibri"/>
      </rPr>
      <t xml:space="preserve">
</t>
    </r>
    <r>
      <rPr>
        <sz val="11"/>
        <color rgb="FF000000"/>
        <rFont val="Calibri"/>
      </rPr>
      <t>net.ipv4.conf.default.send_redirects=0</t>
    </r>
    <r>
      <rPr>
        <sz val="11"/>
        <color rgb="FF000000"/>
        <rFont val="Calibri"/>
      </rPr>
      <t xml:space="preserve">
</t>
    </r>
    <r>
      <rPr>
        <sz val="11"/>
        <color rgb="FF000000"/>
        <rFont val="Calibri"/>
      </rPr>
      <t>If "net.ipv4.conf.default.send_redirects" is not set to "0" and is not documented with the information system security officer (ISSO) as an operational requirement or is missing, this is a finding.</t>
    </r>
  </si>
  <si>
    <t>V-248887</t>
  </si>
  <si>
    <r>
      <rPr>
        <sz val="11"/>
        <rFont val="Calibri"/>
      </rPr>
      <t>OL 8 must ignore IPv4 Internet Control Message Protocol (ICMP) redirect messages.</t>
    </r>
  </si>
  <si>
    <r>
      <rPr>
        <sz val="11"/>
        <color rgb="FF000000"/>
        <rFont val="Calibri"/>
      </rPr>
      <t>Configure OL 8 to ignore IPv4 ICMP redirect messages.</t>
    </r>
    <r>
      <rPr>
        <sz val="11"/>
        <color rgb="FF000000"/>
        <rFont val="Calibri"/>
      </rPr>
      <t xml:space="preserve">
</t>
    </r>
    <r>
      <rPr>
        <sz val="11"/>
        <color rgb="FF000000"/>
        <rFont val="Calibri"/>
      </rPr>
      <t>Add or edit the following line in a single system configuration file in the "/etc/sysctl.d/" directory:</t>
    </r>
    <r>
      <rPr>
        <sz val="11"/>
        <color rgb="FF000000"/>
        <rFont val="Calibri"/>
      </rPr>
      <t xml:space="preserve">
</t>
    </r>
    <r>
      <rPr>
        <sz val="11"/>
        <color rgb="FF000000"/>
        <rFont val="Calibri"/>
      </rPr>
      <t>net.ipv4.conf.all.accept_redirects = 0</t>
    </r>
    <r>
      <rPr>
        <sz val="11"/>
        <color rgb="FF000000"/>
        <rFont val="Calibri"/>
      </rPr>
      <t xml:space="preserve">
</t>
    </r>
    <r>
      <rPr>
        <sz val="11"/>
        <color rgb="FF000000"/>
        <rFont val="Calibri"/>
      </rPr>
      <t>Load settings from all system configuration files with the following command:</t>
    </r>
    <r>
      <rPr>
        <sz val="11"/>
        <color rgb="FF000000"/>
        <rFont val="Calibri"/>
      </rPr>
      <t xml:space="preserve">
</t>
    </r>
    <r>
      <rPr>
        <sz val="11"/>
        <color rgb="FF000000"/>
        <rFont val="Calibri"/>
      </rPr>
      <t>$ sudo sysctl --system</t>
    </r>
  </si>
  <si>
    <r>
      <rPr>
        <sz val="11"/>
        <color rgb="FF000000"/>
        <rFont val="Calibri"/>
      </rPr>
      <t>Verify OL 8 will not accept IPv4 ICMP redirect messages.</t>
    </r>
    <r>
      <rPr>
        <sz val="11"/>
        <color rgb="FF000000"/>
        <rFont val="Calibri"/>
      </rPr>
      <t xml:space="preserve">
</t>
    </r>
    <r>
      <rPr>
        <sz val="11"/>
        <color rgb="FF000000"/>
        <rFont val="Calibri"/>
      </rPr>
      <t>Check the value of all "accept_redirects" variables with the following command:</t>
    </r>
    <r>
      <rPr>
        <sz val="11"/>
        <color rgb="FF000000"/>
        <rFont val="Calibri"/>
      </rPr>
      <t xml:space="preserve">
</t>
    </r>
    <r>
      <rPr>
        <sz val="11"/>
        <color rgb="FF000000"/>
        <rFont val="Calibri"/>
      </rPr>
      <t>$ sysctl net.ipv4.conf.all.accept_redirects</t>
    </r>
    <r>
      <rPr>
        <sz val="11"/>
        <color rgb="FF000000"/>
        <rFont val="Calibri"/>
      </rPr>
      <t xml:space="preserve">
</t>
    </r>
    <r>
      <rPr>
        <sz val="11"/>
        <color rgb="FF000000"/>
        <rFont val="Calibri"/>
      </rPr>
      <t>net.ipv4.conf.all.accept_redirects = 0</t>
    </r>
    <r>
      <rPr>
        <sz val="11"/>
        <color rgb="FF000000"/>
        <rFont val="Calibri"/>
      </rPr>
      <t xml:space="preserve">
</t>
    </r>
    <r>
      <rPr>
        <sz val="11"/>
        <color rgb="FF000000"/>
        <rFont val="Calibri"/>
      </rPr>
      <t>If the returned line does not have a value of "0", a line is not returned, or the line is commented out, this is a finding.</t>
    </r>
  </si>
  <si>
    <t>V-248888</t>
  </si>
  <si>
    <r>
      <rPr>
        <sz val="11"/>
        <rFont val="Calibri"/>
      </rPr>
      <t>OL 8 must ignore IPv6 Internet Control Message Protocol (ICMP) redirect messages.</t>
    </r>
  </si>
  <si>
    <r>
      <rPr>
        <sz val="11"/>
        <color rgb="FF000000"/>
        <rFont val="Calibri"/>
      </rPr>
      <t>Configure OL 8 to ignore IPv6 ICMP redirect messages.</t>
    </r>
    <r>
      <rPr>
        <sz val="11"/>
        <color rgb="FF000000"/>
        <rFont val="Calibri"/>
      </rPr>
      <t xml:space="preserve">
</t>
    </r>
    <r>
      <rPr>
        <sz val="11"/>
        <color rgb="FF000000"/>
        <rFont val="Calibri"/>
      </rPr>
      <t>Add or edit the following line in a single system configuration file in the "/etc/sysctl.d/" directory:</t>
    </r>
    <r>
      <rPr>
        <sz val="11"/>
        <color rgb="FF000000"/>
        <rFont val="Calibri"/>
      </rPr>
      <t xml:space="preserve">
</t>
    </r>
    <r>
      <rPr>
        <sz val="11"/>
        <color rgb="FF000000"/>
        <rFont val="Calibri"/>
      </rPr>
      <t>net.ipv6.conf.all.accept_redirects = 0</t>
    </r>
    <r>
      <rPr>
        <sz val="11"/>
        <color rgb="FF000000"/>
        <rFont val="Calibri"/>
      </rPr>
      <t xml:space="preserve">
</t>
    </r>
    <r>
      <rPr>
        <sz val="11"/>
        <color rgb="FF000000"/>
        <rFont val="Calibri"/>
      </rPr>
      <t>Load settings from all system configuration files with the following command:</t>
    </r>
    <r>
      <rPr>
        <sz val="11"/>
        <color rgb="FF000000"/>
        <rFont val="Calibri"/>
      </rPr>
      <t xml:space="preserve">
</t>
    </r>
    <r>
      <rPr>
        <sz val="11"/>
        <color rgb="FF000000"/>
        <rFont val="Calibri"/>
      </rPr>
      <t>$ sudo sysctl --system</t>
    </r>
  </si>
  <si>
    <r>
      <rPr>
        <sz val="11"/>
        <color rgb="FF000000"/>
        <rFont val="Calibri"/>
      </rPr>
      <t>Note: If IPv6 is disabled on the system, this requirement is Not Applicable.</t>
    </r>
    <r>
      <rPr>
        <sz val="11"/>
        <color rgb="FF000000"/>
        <rFont val="Calibri"/>
      </rPr>
      <t xml:space="preserve">
</t>
    </r>
    <r>
      <rPr>
        <sz val="11"/>
        <color rgb="FF000000"/>
        <rFont val="Calibri"/>
      </rPr>
      <t>Verify OL 8 ignores IPv6 ICMP redirect messages.</t>
    </r>
    <r>
      <rPr>
        <sz val="11"/>
        <color rgb="FF000000"/>
        <rFont val="Calibri"/>
      </rPr>
      <t xml:space="preserve">
</t>
    </r>
    <r>
      <rPr>
        <sz val="11"/>
        <color rgb="FF000000"/>
        <rFont val="Calibri"/>
      </rPr>
      <t>Check the value of the "accept_redirects" variables with the following command:</t>
    </r>
    <r>
      <rPr>
        <sz val="11"/>
        <color rgb="FF000000"/>
        <rFont val="Calibri"/>
      </rPr>
      <t xml:space="preserve">
</t>
    </r>
    <r>
      <rPr>
        <sz val="11"/>
        <color rgb="FF000000"/>
        <rFont val="Calibri"/>
      </rPr>
      <t>$ sysctl net.ipv6.conf.all.accept_redirects</t>
    </r>
    <r>
      <rPr>
        <sz val="11"/>
        <color rgb="FF000000"/>
        <rFont val="Calibri"/>
      </rPr>
      <t xml:space="preserve">
</t>
    </r>
    <r>
      <rPr>
        <sz val="11"/>
        <color rgb="FF000000"/>
        <rFont val="Calibri"/>
      </rPr>
      <t>net.ipv6.conf.all.accept_redirects = 0</t>
    </r>
    <r>
      <rPr>
        <sz val="11"/>
        <color rgb="FF000000"/>
        <rFont val="Calibri"/>
      </rPr>
      <t xml:space="preserve">
</t>
    </r>
    <r>
      <rPr>
        <sz val="11"/>
        <color rgb="FF000000"/>
        <rFont val="Calibri"/>
      </rPr>
      <t>If the returned line does not have a value of "0", a line is not returned, or the line is commented out, this is a finding.</t>
    </r>
  </si>
  <si>
    <t>V-248889</t>
  </si>
  <si>
    <r>
      <rPr>
        <sz val="11"/>
        <rFont val="Calibri"/>
      </rPr>
      <t xml:space="preserve">OL 8 must disable access to the network </t>
    </r>
    <r>
      <rPr>
        <sz val="11"/>
        <color rgb="FF000000"/>
        <rFont val="Calibri"/>
      </rPr>
      <t>"</t>
    </r>
    <r>
      <rPr>
        <b/>
        <sz val="11"/>
        <color rgb="FF000000"/>
        <rFont val="Calibri"/>
      </rPr>
      <t>bpf</t>
    </r>
    <r>
      <rPr>
        <sz val="11"/>
        <color rgb="FF000000"/>
        <rFont val="Calibri"/>
      </rPr>
      <t>"</t>
    </r>
    <r>
      <rPr>
        <sz val="11"/>
        <color rgb="FF000000"/>
        <rFont val="Calibri"/>
      </rPr>
      <t xml:space="preserve"> syscall from nonprivileged processes.</t>
    </r>
  </si>
  <si>
    <r>
      <rPr>
        <sz val="11"/>
        <color rgb="FF000000"/>
        <rFont val="Calibri"/>
      </rPr>
      <t>Configure OL 8 to prevent privilege escalation thru the kernel by disabling access to the bpf syscall by adding the following line to a file, in the "/etc/sysctl.d" directory:</t>
    </r>
    <r>
      <rPr>
        <sz val="11"/>
        <color rgb="FF000000"/>
        <rFont val="Calibri"/>
      </rPr>
      <t xml:space="preserve">
</t>
    </r>
    <r>
      <rPr>
        <sz val="11"/>
        <color rgb="FF000000"/>
        <rFont val="Calibri"/>
      </rPr>
      <t>kernel.nonprivileged_bpf_disabled = 1</t>
    </r>
    <r>
      <rPr>
        <sz val="11"/>
        <color rgb="FF000000"/>
        <rFont val="Calibri"/>
      </rPr>
      <t xml:space="preserve">
</t>
    </r>
    <r>
      <rPr>
        <sz val="11"/>
        <color rgb="FF000000"/>
        <rFont val="Calibri"/>
      </rPr>
      <t>The system configuration files must be reloaded for the changes to take effect. To reload the contents of the files, run the following command:</t>
    </r>
    <r>
      <rPr>
        <sz val="11"/>
        <color rgb="FF000000"/>
        <rFont val="Calibri"/>
      </rPr>
      <t xml:space="preserve">
</t>
    </r>
    <r>
      <rPr>
        <sz val="11"/>
        <color rgb="FF000000"/>
        <rFont val="Calibri"/>
      </rPr>
      <t>$ sudo sysctl --system</t>
    </r>
  </si>
  <si>
    <r>
      <rPr>
        <sz val="11"/>
        <color rgb="FF000000"/>
        <rFont val="Calibri"/>
      </rPr>
      <t>Verify OL 8 prevents privilege escalation thru the kernel by disabling access to the bpf system call with the following commands:</t>
    </r>
    <r>
      <rPr>
        <sz val="11"/>
        <color rgb="FF000000"/>
        <rFont val="Calibri"/>
      </rPr>
      <t xml:space="preserve">
</t>
    </r>
    <r>
      <rPr>
        <sz val="11"/>
        <color rgb="FF000000"/>
        <rFont val="Calibri"/>
      </rPr>
      <t>$ sysctl kernel.unprivileged_bpf_disabled</t>
    </r>
    <r>
      <rPr>
        <sz val="11"/>
        <color rgb="FF000000"/>
        <rFont val="Calibri"/>
      </rPr>
      <t xml:space="preserve">
</t>
    </r>
    <r>
      <rPr>
        <sz val="11"/>
        <color rgb="FF000000"/>
        <rFont val="Calibri"/>
      </rPr>
      <t>kernel.unprivileged_bpf_disabled = 1</t>
    </r>
    <r>
      <rPr>
        <sz val="11"/>
        <color rgb="FF000000"/>
        <rFont val="Calibri"/>
      </rPr>
      <t xml:space="preserve">
</t>
    </r>
    <r>
      <rPr>
        <sz val="11"/>
        <color rgb="FF000000"/>
        <rFont val="Calibri"/>
      </rPr>
      <t>If the returned line does not have a value of "1" or a line is not returned, this is a finding.</t>
    </r>
  </si>
  <si>
    <t>V-248890</t>
  </si>
  <si>
    <r>
      <rPr>
        <sz val="11"/>
        <rFont val="Calibri"/>
      </rPr>
      <t xml:space="preserve">OL 8 must restrict the use of </t>
    </r>
    <r>
      <rPr>
        <sz val="11"/>
        <color rgb="FF000000"/>
        <rFont val="Calibri"/>
      </rPr>
      <t>"</t>
    </r>
    <r>
      <rPr>
        <b/>
        <sz val="11"/>
        <color rgb="FF000000"/>
        <rFont val="Calibri"/>
      </rPr>
      <t>ptrace</t>
    </r>
    <r>
      <rPr>
        <sz val="11"/>
        <color rgb="FF000000"/>
        <rFont val="Calibri"/>
      </rPr>
      <t>"</t>
    </r>
    <r>
      <rPr>
        <sz val="11"/>
        <color rgb="FF000000"/>
        <rFont val="Calibri"/>
      </rPr>
      <t xml:space="preserve"> to descendant processes.</t>
    </r>
  </si>
  <si>
    <r>
      <rPr>
        <sz val="11"/>
        <color rgb="FF000000"/>
        <rFont val="Calibri"/>
      </rPr>
      <t>Configure OL 8 to restrict usage of ptrace to descendant processes by adding the following line to "/etc/sysctl.d/99-sysctl.conf":</t>
    </r>
    <r>
      <rPr>
        <sz val="11"/>
        <color rgb="FF000000"/>
        <rFont val="Calibri"/>
      </rPr>
      <t xml:space="preserve">
</t>
    </r>
    <r>
      <rPr>
        <sz val="11"/>
        <color rgb="FF000000"/>
        <rFont val="Calibri"/>
      </rPr>
      <t>kernel.yama.ptrace_scope = 1</t>
    </r>
    <r>
      <rPr>
        <sz val="11"/>
        <color rgb="FF000000"/>
        <rFont val="Calibri"/>
      </rPr>
      <t xml:space="preserve">
</t>
    </r>
    <r>
      <rPr>
        <sz val="11"/>
        <color rgb="FF000000"/>
        <rFont val="Calibri"/>
      </rPr>
      <t>The system configuration files must be reloaded for the changes to take effect. To reload the contents of the files, run the following command:</t>
    </r>
    <r>
      <rPr>
        <sz val="11"/>
        <color rgb="FF000000"/>
        <rFont val="Calibri"/>
      </rPr>
      <t xml:space="preserve">
</t>
    </r>
    <r>
      <rPr>
        <sz val="11"/>
        <color rgb="FF000000"/>
        <rFont val="Calibri"/>
      </rPr>
      <t>$ sudo sysctl --system</t>
    </r>
  </si>
  <si>
    <r>
      <rPr>
        <sz val="11"/>
        <color rgb="FF000000"/>
        <rFont val="Calibri"/>
      </rPr>
      <t>Verify OL 8 restricts usage of ptrace to descendant processes with the following commands:</t>
    </r>
    <r>
      <rPr>
        <sz val="11"/>
        <color rgb="FF000000"/>
        <rFont val="Calibri"/>
      </rPr>
      <t xml:space="preserve">
</t>
    </r>
    <r>
      <rPr>
        <sz val="11"/>
        <color rgb="FF000000"/>
        <rFont val="Calibri"/>
      </rPr>
      <t>$ sysctl kernel.yama.ptrace_scope</t>
    </r>
    <r>
      <rPr>
        <sz val="11"/>
        <color rgb="FF000000"/>
        <rFont val="Calibri"/>
      </rPr>
      <t xml:space="preserve">
</t>
    </r>
    <r>
      <rPr>
        <sz val="11"/>
        <color rgb="FF000000"/>
        <rFont val="Calibri"/>
      </rPr>
      <t>kernel.yama.ptrace_scope = 1</t>
    </r>
    <r>
      <rPr>
        <sz val="11"/>
        <color rgb="FF000000"/>
        <rFont val="Calibri"/>
      </rPr>
      <t xml:space="preserve">
</t>
    </r>
    <r>
      <rPr>
        <sz val="11"/>
        <color rgb="FF000000"/>
        <rFont val="Calibri"/>
      </rPr>
      <t>If the returned line does not have a value of "1", or a line is not returned, this is a finding.</t>
    </r>
  </si>
  <si>
    <t>V-248891</t>
  </si>
  <si>
    <r>
      <rPr>
        <sz val="11"/>
        <rFont val="Calibri"/>
      </rPr>
      <t>OL 8 must restrict exposed kernel pointer addresses access.</t>
    </r>
  </si>
  <si>
    <r>
      <rPr>
        <sz val="11"/>
        <color rgb="FF000000"/>
        <rFont val="Calibri"/>
      </rPr>
      <t>Configure OL 8 to prevent the leak of kernel pointers to nonprivileged users.</t>
    </r>
    <r>
      <rPr>
        <sz val="11"/>
        <color rgb="FF000000"/>
        <rFont val="Calibri"/>
      </rPr>
      <t xml:space="preserve">
</t>
    </r>
    <r>
      <rPr>
        <sz val="11"/>
        <color rgb="FF000000"/>
        <rFont val="Calibri"/>
      </rPr>
      <t>Add or edit the following line in /etc/sysctl.d/99-sysctl.conf system configuration file:</t>
    </r>
    <r>
      <rPr>
        <sz val="11"/>
        <color rgb="FF000000"/>
        <rFont val="Calibri"/>
      </rPr>
      <t xml:space="preserve">
</t>
    </r>
    <r>
      <rPr>
        <sz val="11"/>
        <color rgb="FF000000"/>
        <rFont val="Calibri"/>
      </rPr>
      <t>kernel.kptr_restrict = 1</t>
    </r>
    <r>
      <rPr>
        <sz val="11"/>
        <color rgb="FF000000"/>
        <rFont val="Calibri"/>
      </rPr>
      <t xml:space="preserve">
</t>
    </r>
    <r>
      <rPr>
        <sz val="11"/>
        <color rgb="FF000000"/>
        <rFont val="Calibri"/>
      </rPr>
      <t>Reload settings from all system configuration files with the following command:</t>
    </r>
    <r>
      <rPr>
        <sz val="11"/>
        <color rgb="FF000000"/>
        <rFont val="Calibri"/>
      </rPr>
      <t xml:space="preserve">
</t>
    </r>
    <r>
      <rPr>
        <sz val="11"/>
        <color rgb="FF000000"/>
        <rFont val="Calibri"/>
      </rPr>
      <t>$ sudo sysctl --system</t>
    </r>
  </si>
  <si>
    <r>
      <rPr>
        <sz val="11"/>
        <color rgb="FF000000"/>
        <rFont val="Calibri"/>
      </rPr>
      <t>Verify OL 8 restricts access to exposed kernel pointers with the following command:</t>
    </r>
    <r>
      <rPr>
        <sz val="11"/>
        <color rgb="FF000000"/>
        <rFont val="Calibri"/>
      </rPr>
      <t xml:space="preserve">
</t>
    </r>
    <r>
      <rPr>
        <sz val="11"/>
        <color rgb="FF000000"/>
        <rFont val="Calibri"/>
      </rPr>
      <t xml:space="preserve">$ sysctl kernel.kptr_restrict </t>
    </r>
    <r>
      <rPr>
        <sz val="11"/>
        <color rgb="FF000000"/>
        <rFont val="Calibri"/>
      </rPr>
      <t xml:space="preserve">
</t>
    </r>
    <r>
      <rPr>
        <sz val="11"/>
        <color rgb="FF000000"/>
        <rFont val="Calibri"/>
      </rPr>
      <t>kernel.kptr_restrict = 1</t>
    </r>
  </si>
  <si>
    <t>V-248892</t>
  </si>
  <si>
    <r>
      <rPr>
        <sz val="11"/>
        <rFont val="Calibri"/>
      </rPr>
      <t>OL 8 must disable the use of user namespaces.</t>
    </r>
  </si>
  <si>
    <r>
      <rPr>
        <sz val="11"/>
        <color rgb="FF000000"/>
        <rFont val="Calibri"/>
      </rPr>
      <t>Configure OL 8 to disable the use of user namespaces by adding the following line to a file, in the "/etc/sysctl.d" directory:</t>
    </r>
    <r>
      <rPr>
        <sz val="11"/>
        <color rgb="FF000000"/>
        <rFont val="Calibri"/>
      </rPr>
      <t xml:space="preserve">
</t>
    </r>
    <r>
      <rPr>
        <sz val="11"/>
        <color rgb="FF000000"/>
        <rFont val="Calibri"/>
      </rPr>
      <t xml:space="preserve">Note: User namespaces are used primarily for Linux containers. If containers are in use, this requirement is Not Applicable. </t>
    </r>
    <r>
      <rPr>
        <sz val="11"/>
        <color rgb="FF000000"/>
        <rFont val="Calibri"/>
      </rPr>
      <t xml:space="preserve">
</t>
    </r>
    <r>
      <rPr>
        <sz val="11"/>
        <color rgb="FF000000"/>
        <rFont val="Calibri"/>
      </rPr>
      <t>user.max_user_namespaces = 0</t>
    </r>
    <r>
      <rPr>
        <sz val="11"/>
        <color rgb="FF000000"/>
        <rFont val="Calibri"/>
      </rPr>
      <t xml:space="preserve">
</t>
    </r>
    <r>
      <rPr>
        <sz val="11"/>
        <color rgb="FF000000"/>
        <rFont val="Calibri"/>
      </rPr>
      <t>The system configuration files must be reloaded for the changes to take effect. To reload the contents of the files, run the following command:</t>
    </r>
    <r>
      <rPr>
        <sz val="11"/>
        <color rgb="FF000000"/>
        <rFont val="Calibri"/>
      </rPr>
      <t xml:space="preserve">
</t>
    </r>
    <r>
      <rPr>
        <sz val="11"/>
        <color rgb="FF000000"/>
        <rFont val="Calibri"/>
      </rPr>
      <t>$ sudo sysctl --system</t>
    </r>
  </si>
  <si>
    <r>
      <rPr>
        <sz val="11"/>
        <color rgb="FF000000"/>
        <rFont val="Calibri"/>
      </rPr>
      <t xml:space="preserve">It is detrimental for operating systems to provide, or install by default, functionality exceeding requirements or mission objectives. These unnecessary capabilities or services are often overlooked and therefore may remain unsecured. They increase the risk to the platform by providing additional attack vectors. </t>
    </r>
    <r>
      <rPr>
        <sz val="11"/>
        <color rgb="FF000000"/>
        <rFont val="Calibri"/>
      </rPr>
      <t xml:space="preserve">
</t>
    </r>
    <r>
      <rPr>
        <sz val="11"/>
        <color rgb="FF000000"/>
        <rFont val="Calibri"/>
      </rPr>
      <t>User namespaces are used primarily for Linux containers. "Rootful" containers run with root privileges on the host system and may pose a security risk if compromised. "Rootless" containers run without root privileges and allow for better isolation from the host system. The value "0" disallows the use of user namespaces. When containers are not in use, namespaces should be disallowed. When privileged user namespaces or "rootful" containers are in use, user namespaces should be disallowed. When nonprivileged user namespaces or "rootless" containers are deployed on a system, the value should be set to a large nonzero value. The default value depends on the amount of memory in the system, approximately the total memory in kilobytes divided by 256.</t>
    </r>
    <r>
      <rPr>
        <sz val="11"/>
        <color rgb="FF000000"/>
        <rFont val="Calibri"/>
      </rPr>
      <t xml:space="preserve">
</t>
    </r>
    <r>
      <rPr>
        <sz val="11"/>
        <color rgb="FF000000"/>
        <rFont val="Calibri"/>
      </rPr>
      <t>The sysctl --system command will load settings from all system configuration files. All configuration files are sorted by their filename in lexicographical order, regardless of the directories in which they reside. If multiple files specify the same option, the entry in the file with the lexicographically latest name will take precedence. Files are read from directories in the following list from top to bottom. Once a file of a given filename is loaded, any file of the same name in subsequent directories is ignored.</t>
    </r>
    <r>
      <rPr>
        <sz val="11"/>
        <color rgb="FF000000"/>
        <rFont val="Calibri"/>
      </rPr>
      <t xml:space="preserve">
</t>
    </r>
    <r>
      <rPr>
        <sz val="11"/>
        <color rgb="FF000000"/>
        <rFont val="Calibri"/>
      </rPr>
      <t>/etc/sysctl.d/*.conf</t>
    </r>
    <r>
      <rPr>
        <sz val="11"/>
        <color rgb="FF000000"/>
        <rFont val="Calibri"/>
      </rPr>
      <t xml:space="preserve">
</t>
    </r>
    <r>
      <rPr>
        <sz val="11"/>
        <color rgb="FF000000"/>
        <rFont val="Calibri"/>
      </rPr>
      <t>/run/sysctl.d/*.conf</t>
    </r>
    <r>
      <rPr>
        <sz val="11"/>
        <color rgb="FF000000"/>
        <rFont val="Calibri"/>
      </rPr>
      <t xml:space="preserve">
</t>
    </r>
    <r>
      <rPr>
        <sz val="11"/>
        <color rgb="FF000000"/>
        <rFont val="Calibri"/>
      </rPr>
      <t>/usr/local/lib/sysctl.d/*.conf</t>
    </r>
    <r>
      <rPr>
        <sz val="11"/>
        <color rgb="FF000000"/>
        <rFont val="Calibri"/>
      </rPr>
      <t xml:space="preserve">
</t>
    </r>
    <r>
      <rPr>
        <sz val="11"/>
        <color rgb="FF000000"/>
        <rFont val="Calibri"/>
      </rPr>
      <t>/usr/lib/sysctl.d/*.conf</t>
    </r>
    <r>
      <rPr>
        <sz val="11"/>
        <color rgb="FF000000"/>
        <rFont val="Calibri"/>
      </rPr>
      <t xml:space="preserve">
</t>
    </r>
    <r>
      <rPr>
        <sz val="11"/>
        <color rgb="FF000000"/>
        <rFont val="Calibri"/>
      </rPr>
      <t>/lib/sysctl.d/*.conf</t>
    </r>
    <r>
      <rPr>
        <sz val="11"/>
        <color rgb="FF000000"/>
        <rFont val="Calibri"/>
      </rPr>
      <t xml:space="preserve">
</t>
    </r>
    <r>
      <rPr>
        <sz val="11"/>
        <color rgb="FF000000"/>
        <rFont val="Calibri"/>
      </rPr>
      <t>/etc/sysctl.conf</t>
    </r>
  </si>
  <si>
    <r>
      <rPr>
        <sz val="11"/>
        <color rgb="FF000000"/>
        <rFont val="Calibri"/>
      </rPr>
      <t>Note: User namespaces are used primarily for Linux containers. If containers are in use, this requirement is Not Applicable.</t>
    </r>
    <r>
      <rPr>
        <sz val="11"/>
        <color rgb="FF000000"/>
        <rFont val="Calibri"/>
      </rPr>
      <t xml:space="preserve">
</t>
    </r>
    <r>
      <rPr>
        <sz val="11"/>
        <color rgb="FF000000"/>
        <rFont val="Calibri"/>
      </rPr>
      <t>Verify OL 8 disables the use of user namespaces with the following commands:</t>
    </r>
    <r>
      <rPr>
        <sz val="11"/>
        <color rgb="FF000000"/>
        <rFont val="Calibri"/>
      </rPr>
      <t xml:space="preserve">
</t>
    </r>
    <r>
      <rPr>
        <sz val="11"/>
        <color rgb="FF000000"/>
        <rFont val="Calibri"/>
      </rPr>
      <t>$ sysctl user.max_user_namespaces</t>
    </r>
    <r>
      <rPr>
        <sz val="11"/>
        <color rgb="FF000000"/>
        <rFont val="Calibri"/>
      </rPr>
      <t xml:space="preserve">
</t>
    </r>
    <r>
      <rPr>
        <sz val="11"/>
        <color rgb="FF000000"/>
        <rFont val="Calibri"/>
      </rPr>
      <t>user.max_user_namespaces = 0</t>
    </r>
    <r>
      <rPr>
        <sz val="11"/>
        <color rgb="FF000000"/>
        <rFont val="Calibri"/>
      </rPr>
      <t xml:space="preserve">
</t>
    </r>
    <r>
      <rPr>
        <sz val="11"/>
        <color rgb="FF000000"/>
        <rFont val="Calibri"/>
      </rPr>
      <t>If the returned line does not have a value of "0", or a line is not returned, this is a finding.</t>
    </r>
  </si>
  <si>
    <t>V-248893</t>
  </si>
  <si>
    <r>
      <rPr>
        <sz val="11"/>
        <rFont val="Calibri"/>
      </rPr>
      <t>OL 8 must use reverse path filtering on all IPv4 interfaces.</t>
    </r>
  </si>
  <si>
    <r>
      <rPr>
        <sz val="11"/>
        <color rgb="FF000000"/>
        <rFont val="Calibri"/>
      </rPr>
      <t xml:space="preserve">Configure OL 8 to use reverse path filtering on all IPv4 interfaces. </t>
    </r>
    <r>
      <rPr>
        <sz val="11"/>
        <color rgb="FF000000"/>
        <rFont val="Calibri"/>
      </rPr>
      <t xml:space="preserve">
</t>
    </r>
    <r>
      <rPr>
        <sz val="11"/>
        <color rgb="FF000000"/>
        <rFont val="Calibri"/>
      </rPr>
      <t>Add or edit the following line in a single system configuration file in the "/etc/sysctl.d/" directory:</t>
    </r>
    <r>
      <rPr>
        <sz val="11"/>
        <color rgb="FF000000"/>
        <rFont val="Calibri"/>
      </rPr>
      <t xml:space="preserve">
</t>
    </r>
    <r>
      <rPr>
        <sz val="11"/>
        <color rgb="FF000000"/>
        <rFont val="Calibri"/>
      </rPr>
      <t>net.ipv4.conf.all.rp_filter = 1</t>
    </r>
    <r>
      <rPr>
        <sz val="11"/>
        <color rgb="FF000000"/>
        <rFont val="Calibri"/>
      </rPr>
      <t xml:space="preserve">
</t>
    </r>
    <r>
      <rPr>
        <sz val="11"/>
        <color rgb="FF000000"/>
        <rFont val="Calibri"/>
      </rPr>
      <t>The system configuration files must be reloaded for the changes to take effect. To reload the contents of the files, run the following command:</t>
    </r>
    <r>
      <rPr>
        <sz val="11"/>
        <color rgb="FF000000"/>
        <rFont val="Calibri"/>
      </rPr>
      <t xml:space="preserve">
</t>
    </r>
    <r>
      <rPr>
        <sz val="11"/>
        <color rgb="FF000000"/>
        <rFont val="Calibri"/>
      </rPr>
      <t>$ sudo sysctl --system</t>
    </r>
  </si>
  <si>
    <r>
      <rPr>
        <sz val="11"/>
        <color rgb="FF000000"/>
        <rFont val="Calibri"/>
      </rPr>
      <t xml:space="preserve">It is detrimental for operating systems to provide, or install by default, functionality exceeding requirements or mission objectives. These unnecessary capabilities or services are often overlooked and therefore may remain unsecured. They increase the risk to the platform by providing additional attack vectors.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Enabling reverse path filtering drops packets with source addresses that are not routable. There is no equivalent filter for IPv6 traffic.</t>
    </r>
    <r>
      <rPr>
        <sz val="11"/>
        <color rgb="FF000000"/>
        <rFont val="Calibri"/>
      </rPr>
      <t xml:space="preserve">
</t>
    </r>
    <r>
      <rPr>
        <sz val="11"/>
        <color rgb="FF000000"/>
        <rFont val="Calibri"/>
      </rPr>
      <t>The sysctl --system command will load settings from all system configuration files. All configuration files are sorted by their filename in lexicographical order, regardless of the directories in which they reside. If multiple files specify the same option, the entry in the file with the lexicographically latest name will take precedence. Files are read from directories in the following list from top to bottom. Once a file of a given filename is loaded, any file of the same name in subsequent directories is ignored.</t>
    </r>
    <r>
      <rPr>
        <sz val="11"/>
        <color rgb="FF000000"/>
        <rFont val="Calibri"/>
      </rPr>
      <t xml:space="preserve">
</t>
    </r>
    <r>
      <rPr>
        <sz val="11"/>
        <color rgb="FF000000"/>
        <rFont val="Calibri"/>
      </rPr>
      <t>/etc/sysctl.d/*.conf</t>
    </r>
    <r>
      <rPr>
        <sz val="11"/>
        <color rgb="FF000000"/>
        <rFont val="Calibri"/>
      </rPr>
      <t xml:space="preserve">
</t>
    </r>
    <r>
      <rPr>
        <sz val="11"/>
        <color rgb="FF000000"/>
        <rFont val="Calibri"/>
      </rPr>
      <t>/run/sysctl.d/*.conf</t>
    </r>
    <r>
      <rPr>
        <sz val="11"/>
        <color rgb="FF000000"/>
        <rFont val="Calibri"/>
      </rPr>
      <t xml:space="preserve">
</t>
    </r>
    <r>
      <rPr>
        <sz val="11"/>
        <color rgb="FF000000"/>
        <rFont val="Calibri"/>
      </rPr>
      <t>/usr/local/lib/sysctl.d/*.conf</t>
    </r>
    <r>
      <rPr>
        <sz val="11"/>
        <color rgb="FF000000"/>
        <rFont val="Calibri"/>
      </rPr>
      <t xml:space="preserve">
</t>
    </r>
    <r>
      <rPr>
        <sz val="11"/>
        <color rgb="FF000000"/>
        <rFont val="Calibri"/>
      </rPr>
      <t>/usr/lib/sysctl.d/*.conf</t>
    </r>
    <r>
      <rPr>
        <sz val="11"/>
        <color rgb="FF000000"/>
        <rFont val="Calibri"/>
      </rPr>
      <t xml:space="preserve">
</t>
    </r>
    <r>
      <rPr>
        <sz val="11"/>
        <color rgb="FF000000"/>
        <rFont val="Calibri"/>
      </rPr>
      <t>/lib/sysctl.d/*.conf</t>
    </r>
    <r>
      <rPr>
        <sz val="11"/>
        <color rgb="FF000000"/>
        <rFont val="Calibri"/>
      </rPr>
      <t xml:space="preserve">
</t>
    </r>
    <r>
      <rPr>
        <sz val="11"/>
        <color rgb="FF000000"/>
        <rFont val="Calibri"/>
      </rPr>
      <t>/etc/sysctl.conf</t>
    </r>
  </si>
  <si>
    <r>
      <rPr>
        <sz val="11"/>
        <color rgb="FF000000"/>
        <rFont val="Calibri"/>
      </rPr>
      <t>Verify OL 8 uses reverse path filtering on all IPv4 interfaces with the following commands:</t>
    </r>
    <r>
      <rPr>
        <sz val="11"/>
        <color rgb="FF000000"/>
        <rFont val="Calibri"/>
      </rPr>
      <t xml:space="preserve">
</t>
    </r>
    <r>
      <rPr>
        <sz val="11"/>
        <color rgb="FF000000"/>
        <rFont val="Calibri"/>
      </rPr>
      <t>$ sysctl net.ipv4.conf.all.rp_filter</t>
    </r>
    <r>
      <rPr>
        <sz val="11"/>
        <color rgb="FF000000"/>
        <rFont val="Calibri"/>
      </rPr>
      <t xml:space="preserve">
</t>
    </r>
    <r>
      <rPr>
        <sz val="11"/>
        <color rgb="FF000000"/>
        <rFont val="Calibri"/>
      </rPr>
      <t>net.ipv4.conf.all.rp_filter = 1</t>
    </r>
    <r>
      <rPr>
        <sz val="11"/>
        <color rgb="FF000000"/>
        <rFont val="Calibri"/>
      </rPr>
      <t xml:space="preserve">
</t>
    </r>
    <r>
      <rPr>
        <sz val="11"/>
        <color rgb="FF000000"/>
        <rFont val="Calibri"/>
      </rPr>
      <t>If the returned line does not have a value of "1", or a line is not returned, this is a finding.</t>
    </r>
  </si>
  <si>
    <t>V-248894</t>
  </si>
  <si>
    <r>
      <rPr>
        <sz val="11"/>
        <rFont val="Calibri"/>
      </rPr>
      <t>OL 8 must enable hardening for the Berkeley Packet Filter Just-in-time compiler.</t>
    </r>
  </si>
  <si>
    <r>
      <rPr>
        <sz val="11"/>
        <color rgb="FF000000"/>
        <rFont val="Calibri"/>
      </rPr>
      <t>Configure OL 8 to enable hardening for the BPF JIT compiler by adding the following line to a file, in the "/etc/sysctl.d" directory:</t>
    </r>
    <r>
      <rPr>
        <sz val="11"/>
        <color rgb="FF000000"/>
        <rFont val="Calibri"/>
      </rPr>
      <t xml:space="preserve">
</t>
    </r>
    <r>
      <rPr>
        <sz val="11"/>
        <color rgb="FF000000"/>
        <rFont val="Calibri"/>
      </rPr>
      <t>net.core.bpf_jit_harden = 2</t>
    </r>
    <r>
      <rPr>
        <sz val="11"/>
        <color rgb="FF000000"/>
        <rFont val="Calibri"/>
      </rPr>
      <t xml:space="preserve">
</t>
    </r>
    <r>
      <rPr>
        <sz val="11"/>
        <color rgb="FF000000"/>
        <rFont val="Calibri"/>
      </rPr>
      <t>The system configuration files must be reloaded for the changes to take effect. To reload the contents of the files, run the following command:</t>
    </r>
    <r>
      <rPr>
        <sz val="11"/>
        <color rgb="FF000000"/>
        <rFont val="Calibri"/>
      </rPr>
      <t xml:space="preserve">
</t>
    </r>
    <r>
      <rPr>
        <sz val="11"/>
        <color rgb="FF000000"/>
        <rFont val="Calibri"/>
      </rPr>
      <t>$ sudo sysctl --system</t>
    </r>
  </si>
  <si>
    <r>
      <rPr>
        <sz val="11"/>
        <color rgb="FF000000"/>
        <rFont val="Calibri"/>
      </rPr>
      <t>It is detrimental for operating systems to provide, or install by default, functionality exceeding requirements or mission objectives. These unnecessary capabilities or services are often overlooked and therefore may remain unsecured. They increase the risk to the platform by providing additional attack vectors.</t>
    </r>
    <r>
      <rPr>
        <sz val="11"/>
        <color rgb="FF000000"/>
        <rFont val="Calibri"/>
      </rPr>
      <t xml:space="preserve">
</t>
    </r>
    <r>
      <rPr>
        <sz val="11"/>
        <color rgb="FF000000"/>
        <rFont val="Calibri"/>
      </rPr>
      <t>Enabling hardening for the Berkeley Packet Filter (BPF) Just-in-time (JIT) compiler aids in mitigating JIT spraying attacks. Setting the value to "2" enables JIT hardening for all users.</t>
    </r>
    <r>
      <rPr>
        <sz val="11"/>
        <color rgb="FF000000"/>
        <rFont val="Calibri"/>
      </rPr>
      <t xml:space="preserve">
</t>
    </r>
    <r>
      <rPr>
        <sz val="11"/>
        <color rgb="FF000000"/>
        <rFont val="Calibri"/>
      </rPr>
      <t>The sysctl --system command will load settings from all system configuration files. All configuration files are sorted by their filename in lexicographical order, regardless of the directories in which they reside. If multiple files specify the same option, the entry in the file with the lexicographically latest name will take precedence. Files are read from directories in the following list from top to bottom. Once a file of a given filename is loaded, any file of the same name in subsequent directories is ignored.</t>
    </r>
    <r>
      <rPr>
        <sz val="11"/>
        <color rgb="FF000000"/>
        <rFont val="Calibri"/>
      </rPr>
      <t xml:space="preserve">
</t>
    </r>
    <r>
      <rPr>
        <sz val="11"/>
        <color rgb="FF000000"/>
        <rFont val="Calibri"/>
      </rPr>
      <t>/etc/sysctl.d/*.conf</t>
    </r>
    <r>
      <rPr>
        <sz val="11"/>
        <color rgb="FF000000"/>
        <rFont val="Calibri"/>
      </rPr>
      <t xml:space="preserve">
</t>
    </r>
    <r>
      <rPr>
        <sz val="11"/>
        <color rgb="FF000000"/>
        <rFont val="Calibri"/>
      </rPr>
      <t>/run/sysctl.d/*.conf</t>
    </r>
    <r>
      <rPr>
        <sz val="11"/>
        <color rgb="FF000000"/>
        <rFont val="Calibri"/>
      </rPr>
      <t xml:space="preserve">
</t>
    </r>
    <r>
      <rPr>
        <sz val="11"/>
        <color rgb="FF000000"/>
        <rFont val="Calibri"/>
      </rPr>
      <t>/usr/local/lib/sysctl.d/*.conf</t>
    </r>
    <r>
      <rPr>
        <sz val="11"/>
        <color rgb="FF000000"/>
        <rFont val="Calibri"/>
      </rPr>
      <t xml:space="preserve">
</t>
    </r>
    <r>
      <rPr>
        <sz val="11"/>
        <color rgb="FF000000"/>
        <rFont val="Calibri"/>
      </rPr>
      <t>/usr/lib/sysctl.d/*.conf</t>
    </r>
    <r>
      <rPr>
        <sz val="11"/>
        <color rgb="FF000000"/>
        <rFont val="Calibri"/>
      </rPr>
      <t xml:space="preserve">
</t>
    </r>
    <r>
      <rPr>
        <sz val="11"/>
        <color rgb="FF000000"/>
        <rFont val="Calibri"/>
      </rPr>
      <t>/lib/sysctl.d/*.conf</t>
    </r>
    <r>
      <rPr>
        <sz val="11"/>
        <color rgb="FF000000"/>
        <rFont val="Calibri"/>
      </rPr>
      <t xml:space="preserve">
</t>
    </r>
    <r>
      <rPr>
        <sz val="11"/>
        <color rgb="FF000000"/>
        <rFont val="Calibri"/>
      </rPr>
      <t>/etc/sysctl.conf</t>
    </r>
  </si>
  <si>
    <r>
      <rPr>
        <sz val="11"/>
        <color rgb="FF000000"/>
        <rFont val="Calibri"/>
      </rPr>
      <t>Verify OL 8 enables hardening for the BPF JIT with the following commands:</t>
    </r>
    <r>
      <rPr>
        <sz val="11"/>
        <color rgb="FF000000"/>
        <rFont val="Calibri"/>
      </rPr>
      <t xml:space="preserve">
</t>
    </r>
    <r>
      <rPr>
        <sz val="11"/>
        <color rgb="FF000000"/>
        <rFont val="Calibri"/>
      </rPr>
      <t>$ sudo sysctl net.core.bpf_jit_harden</t>
    </r>
    <r>
      <rPr>
        <sz val="11"/>
        <color rgb="FF000000"/>
        <rFont val="Calibri"/>
      </rPr>
      <t xml:space="preserve">
</t>
    </r>
    <r>
      <rPr>
        <sz val="11"/>
        <color rgb="FF000000"/>
        <rFont val="Calibri"/>
      </rPr>
      <t>net.core.bpf_jit_harden = 2</t>
    </r>
    <r>
      <rPr>
        <sz val="11"/>
        <color rgb="FF000000"/>
        <rFont val="Calibri"/>
      </rPr>
      <t xml:space="preserve">
</t>
    </r>
    <r>
      <rPr>
        <sz val="11"/>
        <color rgb="FF000000"/>
        <rFont val="Calibri"/>
      </rPr>
      <t>If the returned line does not have a value of "2", or a line is not returned, this is a finding.</t>
    </r>
  </si>
  <si>
    <t>V-248895</t>
  </si>
  <si>
    <r>
      <rPr>
        <sz val="11"/>
        <rFont val="Calibri"/>
      </rPr>
      <t>OL 8 must be configured to prevent unrestricted mail relaying.</t>
    </r>
  </si>
  <si>
    <r>
      <rPr>
        <sz val="11"/>
        <color rgb="FF000000"/>
        <rFont val="Calibri"/>
      </rPr>
      <t xml:space="preserve">If "postfix" is installed, modify the "/etc/postfix/main.cf" file to restrict client connections to the local network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postconf -e 'smtpd_client_restrictions = permit_mynetworks,reject'</t>
    </r>
  </si>
  <si>
    <r>
      <rPr>
        <sz val="11"/>
        <color rgb="FF000000"/>
        <rFont val="Calibri"/>
      </rPr>
      <t>If unrestricted mail relaying is permitted, unauthorized senders could use this host as a mail relay to send spam or for other unauthorized activity.</t>
    </r>
  </si>
  <si>
    <r>
      <rPr>
        <sz val="11"/>
        <color rgb="FF000000"/>
        <rFont val="Calibri"/>
      </rPr>
      <t xml:space="preserve">Verify the system is configured to prevent unrestricted mail relaying.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Determine if "postfix" is installed with the following commands: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yum list installed postfix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postfix.x86_64 2:3.3.1-9.el8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postfix is not installed, this is not applicable.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postfix is installed, determine if it is configured to reject connections from unknown or untrusted networks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postconf -n smtpd_client_restrictions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smtpd_client_restrictions = permit_mynetworks, reject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"smtpd_client_restrictions" parameter contains any entries other than "permit_mynetworks" and "reject", this is a finding.</t>
    </r>
  </si>
  <si>
    <t>V-248896</t>
  </si>
  <si>
    <r>
      <rPr>
        <sz val="11"/>
        <rFont val="Calibri"/>
      </rPr>
      <t>The OL 8 file integrity tool must be configured to verify extended attributes.</t>
    </r>
  </si>
  <si>
    <r>
      <rPr>
        <sz val="11"/>
        <color rgb="FF000000"/>
        <rFont val="Calibri"/>
      </rPr>
      <t xml:space="preserve">Configure the file integrity tool to check file and directory extended attributes.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AIDE is installed, ensure the "xattrs" rule is present on all uncommented file and directory selection lists.</t>
    </r>
  </si>
  <si>
    <r>
      <rPr>
        <sz val="11"/>
        <color rgb="FF000000"/>
        <rFont val="Calibri"/>
      </rPr>
      <t xml:space="preserve">Extended attributes in file systems are used to contain arbitrary data and file metadata with security implications.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OL 8 installation media come with a file integrity tool, Advanced Intrusion Detection Environment (AIDE).</t>
    </r>
  </si>
  <si>
    <r>
      <rPr>
        <sz val="11"/>
        <color rgb="FF000000"/>
        <rFont val="Calibri"/>
      </rPr>
      <t xml:space="preserve">Verify the file integrity tool is configured to verify extended attributes.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AIDE is not installed, ask the System Administrator how file integrity checks are performed on the system.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Note: AIDE is highly configurable at install time. This requirement assumes the "aide.conf" file is under the "/etc" directory.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Use the following command to determine if the file is in another location: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find / -name aide.conf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Check the "aide.conf" file to determine if the "xattrs" rule has been added to the rule list being applied to the files and directories selection lists.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An example rule that includes the "xattrs" rule follows: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All= p+i+n+u+g+s+m+S+sha512+acl+xattrs+selinux </t>
    </r>
    <r>
      <rPr>
        <sz val="11"/>
        <color rgb="FF000000"/>
        <rFont val="Calibri"/>
      </rPr>
      <t xml:space="preserve">
</t>
    </r>
    <r>
      <rPr>
        <sz val="11"/>
        <color rgb="FF000000"/>
        <rFont val="Calibri"/>
      </rPr>
      <t xml:space="preserve">/bin All # apply the custom rule to the files in bin </t>
    </r>
    <r>
      <rPr>
        <sz val="11"/>
        <color rgb="FF000000"/>
        <rFont val="Calibri"/>
      </rPr>
      <t xml:space="preserve">
</t>
    </r>
    <r>
      <rPr>
        <sz val="11"/>
        <color rgb="FF000000"/>
        <rFont val="Calibri"/>
      </rPr>
      <t xml:space="preserve">/sbin All # apply the same custom rule to the files in sbin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"xattrs" rule is not being used on all uncommented selection lines in the "/etc/aide.conf" file, or extended attributes are not being checked by another file integrity tool, this is a finding.</t>
    </r>
  </si>
  <si>
    <t>V-248897</t>
  </si>
  <si>
    <r>
      <rPr>
        <sz val="11"/>
        <rFont val="Calibri"/>
      </rPr>
      <t>The OL 8 file integrity tool must be configured to verify Access Control Lists (ACLs).</t>
    </r>
  </si>
  <si>
    <r>
      <rPr>
        <sz val="11"/>
        <color rgb="FF000000"/>
        <rFont val="Calibri"/>
      </rPr>
      <t xml:space="preserve">Configure the file integrity tool to check file and directory ACLs.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AIDE is installed, ensure the "acl" rule is present on all file and directory selection lists.</t>
    </r>
  </si>
  <si>
    <r>
      <rPr>
        <sz val="11"/>
        <color rgb="FF000000"/>
        <rFont val="Calibri"/>
      </rPr>
      <t xml:space="preserve">ACLs can provide permissions beyond those permitted through the file mode and must be verified by file integrity tools.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OL 8 installation media come with a file integrity tool, Advanced Intrusion Detection Environment (AIDE).</t>
    </r>
  </si>
  <si>
    <r>
      <rPr>
        <sz val="11"/>
        <color rgb="FF000000"/>
        <rFont val="Calibri"/>
      </rPr>
      <t xml:space="preserve">Verify the file integrity tool is configured to verify ACLs. </t>
    </r>
    <r>
      <rPr>
        <sz val="11"/>
        <color rgb="FF000000"/>
        <rFont val="Calibri"/>
      </rPr>
      <t xml:space="preserve">
</t>
    </r>
    <r>
      <rPr>
        <sz val="11"/>
        <color rgb="FF000000"/>
        <rFont val="Calibri"/>
      </rPr>
      <t xml:space="preserve">Use the following command to determine if the file is in a location other than "/etc/aide/aide.conf":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find / -name aide.conf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Check the "aide.conf" file to determine if the "acl" rule has been added to the rule list being applied to the files and directories selection lists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grep -E "[+]?acl" /etc/aide.conf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VarFile = OwnerMode+n+l+X+acl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"acl" rule is not being used on all selection lines in the "/etc/aide.conf" file or is commented out, or ACLs are not being checked by another file integrity tool, this is a finding.</t>
    </r>
  </si>
  <si>
    <t>V-248898</t>
  </si>
  <si>
    <r>
      <rPr>
        <sz val="11"/>
        <rFont val="Calibri"/>
      </rPr>
      <t>The graphical display manager must not be installed on OL 8 unless approved.</t>
    </r>
  </si>
  <si>
    <r>
      <rPr>
        <sz val="11"/>
        <color rgb="FF000000"/>
        <rFont val="Calibri"/>
      </rPr>
      <t xml:space="preserve">Document the requirement for a display server with the ISSO or remove the related packages with the following example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rpm -e xorg-x11-server-common</t>
    </r>
  </si>
  <si>
    <r>
      <rPr>
        <sz val="11"/>
        <color rgb="FF000000"/>
        <rFont val="Calibri"/>
      </rPr>
      <t>Internet services that are not required for system or application processes must not be active to decrease the attack surface of the system. X Windows has a long history of security vulnerabilities and will not be used unless approved and documented.</t>
    </r>
  </si>
  <si>
    <r>
      <rPr>
        <sz val="11"/>
        <color rgb="FF000000"/>
        <rFont val="Calibri"/>
      </rPr>
      <t xml:space="preserve">Verify that if the system has a display server installed, it is authorized.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Check for the display server package with the following example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rpm -qa | grep xorg | grep server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Ask the System Administrator if use of the display server is an operational requirement.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use of a display server on the system is not documented with the Information System Security Officer (ISSO), this is a finding.</t>
    </r>
  </si>
  <si>
    <t>V-248899</t>
  </si>
  <si>
    <r>
      <rPr>
        <sz val="11"/>
        <rFont val="Calibri"/>
      </rPr>
      <t>OL 8 network interfaces must not be in promiscuous mode.</t>
    </r>
  </si>
  <si>
    <r>
      <rPr>
        <sz val="11"/>
        <color rgb="FF000000"/>
        <rFont val="Calibri"/>
      </rPr>
      <t xml:space="preserve">Configure network interfaces to turn off promiscuous mode unless approved by the ISSO and documented.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Set the promiscuous mode of an interface to "off"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ip link set dev &lt;devicename&gt; multicast off promisc off</t>
    </r>
  </si>
  <si>
    <r>
      <rPr>
        <sz val="11"/>
        <color rgb="FF000000"/>
        <rFont val="Calibri"/>
      </rPr>
      <t xml:space="preserve">Network interfaces in promiscuous mode allow for the capture of all network traffic visible to the system. If unauthorized individuals can access these applications, it may allow them to collect information such as logon IDs, passwords, and key exchanges between systems.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system is being used to perform a network troubleshooting function, the use of these tools must be documented with the Information System Security Officer (ISSO) and restricted to only authorized personnel.</t>
    </r>
  </si>
  <si>
    <r>
      <rPr>
        <sz val="11"/>
        <color rgb="FF000000"/>
        <rFont val="Calibri"/>
      </rPr>
      <t xml:space="preserve">Verify network interfaces are not in promiscuous mode unless approved by the ISSO and documented.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Check for the status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ip link | grep -i promisc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network interfaces are found on the system in promiscuous mode and their use has not been approved by the ISSO and documented, this is a finding.</t>
    </r>
  </si>
  <si>
    <t>V-248900</t>
  </si>
  <si>
    <r>
      <rPr>
        <sz val="11"/>
        <rFont val="Calibri"/>
      </rPr>
      <t>OL 8 remote X connections for interactive users must be disabled unless to fulfill documented and validated mission requirements.</t>
    </r>
  </si>
  <si>
    <r>
      <rPr>
        <sz val="11"/>
        <color rgb="FF000000"/>
        <rFont val="Calibri"/>
      </rPr>
      <t xml:space="preserve">Edit the "/etc/ssh/sshd_config" file to uncomment or add the line for the "X11Forwarding" keyword and set its value to "no" (this file may be named differently or be in a different location if using a version of SSH that is provided by a third-party vendor):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X11Forwarding no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The SSH service must be restarted for changes to take effect: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systemctl restart sshd</t>
    </r>
  </si>
  <si>
    <r>
      <rPr>
        <sz val="11"/>
        <color rgb="FF000000"/>
        <rFont val="Calibri"/>
      </rPr>
      <t xml:space="preserve">The security risk of using X11 forwarding is that the client's X11 display server may be exposed to attack when the SSH client requests forwarding. A System Administrator may have a stance in which they want to protect clients that may expose themselves to attack by unwittingly requesting X11 forwarding, which can warrant a "no" setting.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X11 forwarding should be enabled with caution. Users with the ability to bypass file permissions on the remote host (for the user's X11 authorization database) can access the local X11 display through the forwarded connection. An attacker may then be able to perform activities such as keystroke monitoring if the "ForwardX11Trusted" option is also enabled.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X11 services are not required for the system's intended function, they should be disabled or restricted as appropriate to the system’s needs.</t>
    </r>
  </si>
  <si>
    <r>
      <rPr>
        <sz val="11"/>
        <color rgb="FF000000"/>
        <rFont val="Calibri"/>
      </rPr>
      <t>Verify "X11Forwarding" is disabled with the following command:</t>
    </r>
    <r>
      <rPr>
        <sz val="11"/>
        <color rgb="FF000000"/>
        <rFont val="Calibri"/>
      </rPr>
      <t xml:space="preserve">
</t>
    </r>
    <r>
      <rPr>
        <sz val="11"/>
        <color rgb="FF000000"/>
        <rFont val="Calibri"/>
      </rPr>
      <t>$ sudo /usr/sbin/sshd -dd 2&gt;&amp;1 | awk '/filename/ {print $4}' | tr -d '\r' | tr '\n' ' ' | xargs sudo grep -iH '^\s*x11forwarding'</t>
    </r>
    <r>
      <rPr>
        <sz val="11"/>
        <color rgb="FF000000"/>
        <rFont val="Calibri"/>
      </rPr>
      <t xml:space="preserve">
</t>
    </r>
    <r>
      <rPr>
        <sz val="11"/>
        <color rgb="FF000000"/>
        <rFont val="Calibri"/>
      </rPr>
      <t>X11Forwarding no</t>
    </r>
    <r>
      <rPr>
        <sz val="11"/>
        <color rgb="FF000000"/>
        <rFont val="Calibri"/>
      </rPr>
      <t xml:space="preserve">
</t>
    </r>
    <r>
      <rPr>
        <sz val="11"/>
        <color rgb="FF000000"/>
        <rFont val="Calibri"/>
      </rPr>
      <t>If the "X11Forwarding" keyword is set to "yes" and is not documented with the information system security officer (ISSO) as an operational requirement or is missing, this is a finding.</t>
    </r>
    <r>
      <rPr>
        <sz val="11"/>
        <color rgb="FF000000"/>
        <rFont val="Calibri"/>
      </rPr>
      <t xml:space="preserve">
</t>
    </r>
    <r>
      <rPr>
        <sz val="11"/>
        <color rgb="FF000000"/>
        <rFont val="Calibri"/>
      </rPr>
      <t>If conflicting results are returned, this is a finding.</t>
    </r>
  </si>
  <si>
    <t>V-248901</t>
  </si>
  <si>
    <r>
      <rPr>
        <sz val="11"/>
        <rFont val="Calibri"/>
      </rPr>
      <t>The OL 8 SSH daemon must prevent remote hosts from connecting to the proxy display.</t>
    </r>
  </si>
  <si>
    <r>
      <rPr>
        <sz val="11"/>
        <color rgb="FF000000"/>
        <rFont val="Calibri"/>
      </rPr>
      <t xml:space="preserve">Configure the OL 8 SSH daemon to prevent remote hosts from connecting to the proxy display.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Edit the "/etc/ssh/sshd_config" file to uncomment or add the line for the "X11UseLocalhost" keyword and set its value to "yes" (this file may be named differently or be in a different location if using a version of SSH that is provided by a third-party vendor):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X11UseLocalhost yes</t>
    </r>
  </si>
  <si>
    <r>
      <rPr>
        <sz val="11"/>
        <color rgb="FF000000"/>
        <rFont val="Calibri"/>
      </rPr>
      <t>When X11 forwarding is enabled, there may be additional exposure to the server and client displays if the sshd proxy display is configured to listen on the wildcard address. By default, sshd binds the forwarding server to the loopback address and sets the hostname part of the DISPLAY environment variable to localhost. This prevents remote hosts from connecting to the proxy display.</t>
    </r>
  </si>
  <si>
    <r>
      <rPr>
        <sz val="11"/>
        <color rgb="FF000000"/>
        <rFont val="Calibri"/>
      </rPr>
      <t>Verify the OL 8 SSH daemon prevents remote hosts from connecting to the proxy display.</t>
    </r>
    <r>
      <rPr>
        <sz val="11"/>
        <color rgb="FF000000"/>
        <rFont val="Calibri"/>
      </rPr>
      <t xml:space="preserve">
</t>
    </r>
    <r>
      <rPr>
        <sz val="11"/>
        <color rgb="FF000000"/>
        <rFont val="Calibri"/>
      </rPr>
      <t>Check the SSH "X11UseLocalhost" setting with the following command:</t>
    </r>
    <r>
      <rPr>
        <sz val="11"/>
        <color rgb="FF000000"/>
        <rFont val="Calibri"/>
      </rPr>
      <t xml:space="preserve">
</t>
    </r>
    <r>
      <rPr>
        <sz val="11"/>
        <color rgb="FF000000"/>
        <rFont val="Calibri"/>
      </rPr>
      <t>$ sudo /usr/sbin/sshd -dd 2&gt;&amp;1 | awk '/filename/ {print $4}' | tr -d '\r' | tr '\n' ' ' | xargs sudo grep -iH '^\s*x11uselocalhost'</t>
    </r>
    <r>
      <rPr>
        <sz val="11"/>
        <color rgb="FF000000"/>
        <rFont val="Calibri"/>
      </rPr>
      <t xml:space="preserve">
</t>
    </r>
    <r>
      <rPr>
        <sz val="11"/>
        <color rgb="FF000000"/>
        <rFont val="Calibri"/>
      </rPr>
      <t>X11UseLocalhost yes</t>
    </r>
    <r>
      <rPr>
        <sz val="11"/>
        <color rgb="FF000000"/>
        <rFont val="Calibri"/>
      </rPr>
      <t xml:space="preserve">
</t>
    </r>
    <r>
      <rPr>
        <sz val="11"/>
        <color rgb="FF000000"/>
        <rFont val="Calibri"/>
      </rPr>
      <t>If the "X11UseLocalhost" keyword is set to "no", is missing, or is commented out, this is a finding.</t>
    </r>
    <r>
      <rPr>
        <sz val="11"/>
        <color rgb="FF000000"/>
        <rFont val="Calibri"/>
      </rPr>
      <t xml:space="preserve">
</t>
    </r>
    <r>
      <rPr>
        <sz val="11"/>
        <color rgb="FF000000"/>
        <rFont val="Calibri"/>
      </rPr>
      <t>If conflicting results are returned, this is a finding.</t>
    </r>
  </si>
  <si>
    <t>V-248902</t>
  </si>
  <si>
    <r>
      <rPr>
        <sz val="11"/>
        <rFont val="Calibri"/>
      </rPr>
      <t>If the Trivial File Transfer Protocol (TFTP) server is required, the OL 8 TFTP daemon must be configured to operate in secure mode.</t>
    </r>
  </si>
  <si>
    <r>
      <rPr>
        <sz val="11"/>
        <color rgb="FF000000"/>
        <rFont val="Calibri"/>
      </rPr>
      <t>Configure the TFTP daemon to operate in secure mode with the following command:</t>
    </r>
    <r>
      <rPr>
        <sz val="11"/>
        <color rgb="FF000000"/>
        <rFont val="Calibri"/>
      </rPr>
      <t xml:space="preserve">
</t>
    </r>
    <r>
      <rPr>
        <sz val="11"/>
        <color rgb="FF000000"/>
        <rFont val="Calibri"/>
      </rPr>
      <t>$ sudo systemctl edit tftp.service</t>
    </r>
    <r>
      <rPr>
        <sz val="11"/>
        <color rgb="FF000000"/>
        <rFont val="Calibri"/>
      </rPr>
      <t xml:space="preserve">
</t>
    </r>
    <r>
      <rPr>
        <sz val="11"/>
        <color rgb="FF000000"/>
        <rFont val="Calibri"/>
      </rPr>
      <t>In the editor, enter:</t>
    </r>
    <r>
      <rPr>
        <sz val="11"/>
        <color rgb="FF000000"/>
        <rFont val="Calibri"/>
      </rPr>
      <t xml:space="preserve">
</t>
    </r>
    <r>
      <rPr>
        <sz val="11"/>
        <color rgb="FF000000"/>
        <rFont val="Calibri"/>
      </rPr>
      <t>[Service]</t>
    </r>
    <r>
      <rPr>
        <sz val="11"/>
        <color rgb="FF000000"/>
        <rFont val="Calibri"/>
      </rPr>
      <t xml:space="preserve">
</t>
    </r>
    <r>
      <rPr>
        <sz val="11"/>
        <color rgb="FF000000"/>
        <rFont val="Calibri"/>
      </rPr>
      <t>ExecStart=/usr/sbin/in.tftpd -s /var/lib/tftpboot</t>
    </r>
    <r>
      <rPr>
        <sz val="11"/>
        <color rgb="FF000000"/>
        <rFont val="Calibri"/>
      </rPr>
      <t xml:space="preserve">
</t>
    </r>
    <r>
      <rPr>
        <sz val="11"/>
        <color rgb="FF000000"/>
        <rFont val="Calibri"/>
      </rPr>
      <t>After making changes, reload the systemd daemon and restart the TFTP service as follows:</t>
    </r>
    <r>
      <rPr>
        <sz val="11"/>
        <color rgb="FF000000"/>
        <rFont val="Calibri"/>
      </rPr>
      <t xml:space="preserve">
</t>
    </r>
    <r>
      <rPr>
        <sz val="11"/>
        <color rgb="FF000000"/>
        <rFont val="Calibri"/>
      </rPr>
      <t>$ sudo systemctl daemon-reload</t>
    </r>
    <r>
      <rPr>
        <sz val="11"/>
        <color rgb="FF000000"/>
        <rFont val="Calibri"/>
      </rPr>
      <t xml:space="preserve">
</t>
    </r>
    <r>
      <rPr>
        <sz val="11"/>
        <color rgb="FF000000"/>
        <rFont val="Calibri"/>
      </rPr>
      <t>$ sudo systemctl restart tftp.service</t>
    </r>
  </si>
  <si>
    <r>
      <rPr>
        <sz val="11"/>
        <color rgb="FF000000"/>
        <rFont val="Calibri"/>
      </rPr>
      <t>Restricting TFTP to a specific directory prevents remote users from copying, transferring, or overwriting system files.</t>
    </r>
  </si>
  <si>
    <r>
      <rPr>
        <sz val="11"/>
        <color rgb="FF000000"/>
        <rFont val="Calibri"/>
      </rPr>
      <t>Note: If TFTP is not required, it must not be installed. If TFTP is not installed, this rule is not applicable.</t>
    </r>
    <r>
      <rPr>
        <sz val="11"/>
        <color rgb="FF000000"/>
        <rFont val="Calibri"/>
      </rPr>
      <t xml:space="preserve">
</t>
    </r>
    <r>
      <rPr>
        <sz val="11"/>
        <color rgb="FF000000"/>
        <rFont val="Calibri"/>
      </rPr>
      <t>Check to see if TFTP server is installed with the following command:</t>
    </r>
    <r>
      <rPr>
        <sz val="11"/>
        <color rgb="FF000000"/>
        <rFont val="Calibri"/>
      </rPr>
      <t xml:space="preserve">
</t>
    </r>
    <r>
      <rPr>
        <sz val="11"/>
        <color rgb="FF000000"/>
        <rFont val="Calibri"/>
      </rPr>
      <t xml:space="preserve">$ sudo dnf list installed | grep tftp-server </t>
    </r>
    <r>
      <rPr>
        <sz val="11"/>
        <color rgb="FF000000"/>
        <rFont val="Calibri"/>
      </rPr>
      <t xml:space="preserve">
</t>
    </r>
    <r>
      <rPr>
        <sz val="11"/>
        <color rgb="FF000000"/>
        <rFont val="Calibri"/>
      </rPr>
      <t>tftp-server.x86_64 x.x-x.el8</t>
    </r>
    <r>
      <rPr>
        <sz val="11"/>
        <color rgb="FF000000"/>
        <rFont val="Calibri"/>
      </rPr>
      <t xml:space="preserve">
</t>
    </r>
    <r>
      <rPr>
        <sz val="11"/>
        <color rgb="FF000000"/>
        <rFont val="Calibri"/>
      </rPr>
      <t>Verify the TFTP daemon, if tftp.server is installed, is configured to operate in secure mode with the following command:</t>
    </r>
    <r>
      <rPr>
        <sz val="11"/>
        <color rgb="FF000000"/>
        <rFont val="Calibri"/>
      </rPr>
      <t xml:space="preserve">
</t>
    </r>
    <r>
      <rPr>
        <sz val="11"/>
        <color rgb="FF000000"/>
        <rFont val="Calibri"/>
      </rPr>
      <t>$ grep -i execstart /usr/lib/systemd/system/tftp.service</t>
    </r>
    <r>
      <rPr>
        <sz val="11"/>
        <color rgb="FF000000"/>
        <rFont val="Calibri"/>
      </rPr>
      <t xml:space="preserve">
</t>
    </r>
    <r>
      <rPr>
        <sz val="11"/>
        <color rgb="FF000000"/>
        <rFont val="Calibri"/>
      </rPr>
      <t>ExecStart=/usr/sbin/in.tftpd -s /var/lib/tftpboot</t>
    </r>
    <r>
      <rPr>
        <sz val="11"/>
        <color rgb="FF000000"/>
        <rFont val="Calibri"/>
      </rPr>
      <t xml:space="preserve">
</t>
    </r>
    <r>
      <rPr>
        <sz val="11"/>
        <color rgb="FF000000"/>
        <rFont val="Calibri"/>
      </rPr>
      <t>Note: The "-s" option ensures the TFTP server only serves files from the specified directory, which is a security measure to prevent unauthorized access to other parts of the file system.</t>
    </r>
  </si>
  <si>
    <t>V-248903</t>
  </si>
  <si>
    <r>
      <rPr>
        <sz val="11"/>
        <rFont val="Calibri"/>
      </rPr>
      <t>A File Transfer Protocol (FTP) server package must not be installed unless mission essential on OL 8.</t>
    </r>
  </si>
  <si>
    <r>
      <rPr>
        <sz val="11"/>
        <color rgb="FF000000"/>
        <rFont val="Calibri"/>
      </rPr>
      <t xml:space="preserve">Document the FTP server package with the ISSO as an operational requirement or remove it from the system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yum remove vsftpd</t>
    </r>
  </si>
  <si>
    <r>
      <rPr>
        <sz val="11"/>
        <color rgb="FF000000"/>
        <rFont val="Calibri"/>
      </rPr>
      <t>The FTP service provides an unencrypted remote access that does not provide for the confidentiality and integrity of user passwords or the remote session. If a privileged user were to log on using this service, the privileged user password could be compromised. SSH or other encrypted file transfer methods must be used in place of this service.</t>
    </r>
  </si>
  <si>
    <r>
      <rPr>
        <sz val="11"/>
        <color rgb="FF000000"/>
        <rFont val="Calibri"/>
      </rPr>
      <t xml:space="preserve">Verify an FTP server has not been installed on the system with the following commands: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yum list installed | grep ftpd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vsftpd-3.0.3.el8.x86_64.rpm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an FTP server is installed and is not documented with the Information System Security Officer (ISSO) as an operational requirement, this is a finding.</t>
    </r>
  </si>
  <si>
    <t>V-248904</t>
  </si>
  <si>
    <r>
      <rPr>
        <sz val="11"/>
        <rFont val="Calibri"/>
      </rPr>
      <t xml:space="preserve">OL 8 must not have the </t>
    </r>
    <r>
      <rPr>
        <sz val="11"/>
        <color rgb="FF000000"/>
        <rFont val="Calibri"/>
      </rPr>
      <t>"</t>
    </r>
    <r>
      <rPr>
        <b/>
        <sz val="11"/>
        <color rgb="FF000000"/>
        <rFont val="Calibri"/>
      </rPr>
      <t>gssproxy</t>
    </r>
    <r>
      <rPr>
        <sz val="11"/>
        <color rgb="FF000000"/>
        <rFont val="Calibri"/>
      </rPr>
      <t>"</t>
    </r>
    <r>
      <rPr>
        <sz val="11"/>
        <color rgb="FF000000"/>
        <rFont val="Calibri"/>
      </rPr>
      <t xml:space="preserve"> package installed if not required for operational support.</t>
    </r>
  </si>
  <si>
    <r>
      <rPr>
        <sz val="11"/>
        <color rgb="FF000000"/>
        <rFont val="Calibri"/>
      </rPr>
      <t xml:space="preserve">Configure OL 8 to disable nonessential capabilities by removing the "gssproxy" package from the system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yum remove gssproxy</t>
    </r>
  </si>
  <si>
    <r>
      <rPr>
        <sz val="11"/>
        <color rgb="FF000000"/>
        <rFont val="Calibri"/>
      </rPr>
      <t xml:space="preserve">Verify the operating system is configured to disable nonessential capabilities. The most secure way of ensuring a nonessential capability is disabled is to not have the capability installed.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When an application uses Generic Security Services API (GSSAPI), typically it will have direct access to its security credentials, and all cryptographic operations are performed in the application's process. This is undesirable, but "gssproxy" can help in almost all use cases. It provides privilege separation to applications using the GSSAPI: The gssproxy daemon runs on the system, holds the application's credentials, and performs operations on behalf of the application.</t>
    </r>
  </si>
  <si>
    <r>
      <rPr>
        <sz val="11"/>
        <color rgb="FF000000"/>
        <rFont val="Calibri"/>
      </rPr>
      <t>Note: For Oracle Linux systems, if there is an operational need for gssproxy to be installed, this is not applicable.</t>
    </r>
    <r>
      <rPr>
        <sz val="11"/>
        <color rgb="FF000000"/>
        <rFont val="Calibri"/>
      </rPr>
      <t xml:space="preserve">
</t>
    </r>
    <r>
      <rPr>
        <sz val="11"/>
        <color rgb="FF000000"/>
        <rFont val="Calibri"/>
      </rPr>
      <t>Note: If NFS mounts are authorized and in use on the system, this control is not applicable.</t>
    </r>
    <r>
      <rPr>
        <sz val="11"/>
        <color rgb="FF000000"/>
        <rFont val="Calibri"/>
      </rPr>
      <t xml:space="preserve">
</t>
    </r>
    <r>
      <rPr>
        <sz val="11"/>
        <color rgb="FF000000"/>
        <rFont val="Calibri"/>
      </rPr>
      <t xml:space="preserve">Determine if the "gssproxy" package is installed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yum list installed gssproxy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"gssproxy" package is installed, this is a finding.</t>
    </r>
  </si>
  <si>
    <t>V-248905</t>
  </si>
  <si>
    <r>
      <rPr>
        <sz val="11"/>
        <rFont val="Calibri"/>
      </rPr>
      <t xml:space="preserve">OL 8 must not have the </t>
    </r>
    <r>
      <rPr>
        <sz val="11"/>
        <color rgb="FF000000"/>
        <rFont val="Calibri"/>
      </rPr>
      <t>"</t>
    </r>
    <r>
      <rPr>
        <b/>
        <sz val="11"/>
        <color rgb="FF000000"/>
        <rFont val="Calibri"/>
      </rPr>
      <t>iprutils</t>
    </r>
    <r>
      <rPr>
        <sz val="11"/>
        <color rgb="FF000000"/>
        <rFont val="Calibri"/>
      </rPr>
      <t>"</t>
    </r>
    <r>
      <rPr>
        <sz val="11"/>
        <color rgb="FF000000"/>
        <rFont val="Calibri"/>
      </rPr>
      <t xml:space="preserve"> package installed if not required for operational support.</t>
    </r>
  </si>
  <si>
    <r>
      <rPr>
        <sz val="11"/>
        <color rgb="FF000000"/>
        <rFont val="Calibri"/>
      </rPr>
      <t xml:space="preserve">Configure OL 8 to disable non-essential capabilities by removing the "iprutils" package from the system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yum remove iprutils</t>
    </r>
  </si>
  <si>
    <r>
      <rPr>
        <sz val="11"/>
        <color rgb="FF000000"/>
        <rFont val="Calibri"/>
      </rPr>
      <t>The "iprutils" package provides a suite of utilities to manage and configure IBM Power Linux RAID Adapters supported by the IPR SCSI storage device driver. Disabling the "iprutils" package protects the system against exploitation of any flaws in its implementation.</t>
    </r>
  </si>
  <si>
    <r>
      <rPr>
        <sz val="11"/>
        <color rgb="FF000000"/>
        <rFont val="Calibri"/>
      </rPr>
      <t xml:space="preserve">Determine if the "iprutils" package is installed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yum list installed iprutils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"iprutils" package is installed, this is a finding.</t>
    </r>
  </si>
  <si>
    <t>V-248906</t>
  </si>
  <si>
    <r>
      <rPr>
        <sz val="11"/>
        <rFont val="Calibri"/>
      </rPr>
      <t xml:space="preserve">OL 8 must not have the </t>
    </r>
    <r>
      <rPr>
        <sz val="11"/>
        <color rgb="FF000000"/>
        <rFont val="Calibri"/>
      </rPr>
      <t>"</t>
    </r>
    <r>
      <rPr>
        <b/>
        <sz val="11"/>
        <color rgb="FF000000"/>
        <rFont val="Calibri"/>
      </rPr>
      <t>tuned</t>
    </r>
    <r>
      <rPr>
        <sz val="11"/>
        <color rgb="FF000000"/>
        <rFont val="Calibri"/>
      </rPr>
      <t>"</t>
    </r>
    <r>
      <rPr>
        <sz val="11"/>
        <color rgb="FF000000"/>
        <rFont val="Calibri"/>
      </rPr>
      <t xml:space="preserve"> package installed if not required for operational support.</t>
    </r>
  </si>
  <si>
    <r>
      <rPr>
        <sz val="11"/>
        <color rgb="FF000000"/>
        <rFont val="Calibri"/>
      </rPr>
      <t xml:space="preserve">Configure OL 8 to disable non-essential capabilities by removing the "tuned" package from the system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yum remove tuned</t>
    </r>
  </si>
  <si>
    <r>
      <rPr>
        <sz val="11"/>
        <color rgb="FF000000"/>
        <rFont val="Calibri"/>
      </rPr>
      <t>"Tuned" is a daemon that uses "udev" to monitor connected devices and statically and dynamically tunes system settings according to a selected profile. Disabling the "tuned" package protects the system against exploitation of any flaws in its implementation.</t>
    </r>
  </si>
  <si>
    <r>
      <rPr>
        <sz val="11"/>
        <color rgb="FF000000"/>
        <rFont val="Calibri"/>
      </rPr>
      <t xml:space="preserve">Determine if the "tuned" package is installed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yum list installed tuned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"tuned" package is installed, this is a finding.</t>
    </r>
  </si>
  <si>
    <t>V-248907</t>
  </si>
  <si>
    <r>
      <rPr>
        <sz val="11"/>
        <rFont val="Calibri"/>
      </rPr>
      <t>OL 8 must prevent nonprivileged users from executing privileged functions, including disabling, circumventing, or altering implemented security safeguards/countermeasures.</t>
    </r>
  </si>
  <si>
    <r>
      <rPr>
        <sz val="11"/>
        <color rgb="FF000000"/>
        <rFont val="Calibri"/>
      </rPr>
      <t xml:space="preserve">Configure OL 8 to prevent nonprivileged users from executing privileged functions, including disabling, circumventing, or altering implemented security safeguards/countermeasures.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Use the following command to map a new user to the "sysadm_u" role: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semanage login -a -s sysadm_u &lt;username&gt;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Use the following command to map an existing user to the "sysadm_u" role: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semanage login -m -s sysadm_u &lt;username&gt;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Use the following command to map a new user to the "staff_u" role: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semanage login -a -s staff_u &lt;username&gt;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Use the following command to map an existing user to the "staff_u" role: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semanage login -m -s staff_u &lt;username&gt;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Use the following command to map a new user to the "user_u" role: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semanage login -a -s user_u &lt;username&gt;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Use the following command to map an existing user to the "user_u" role: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semanage login -m -s user_u &lt;username&gt;</t>
    </r>
    <r>
      <rPr>
        <sz val="11"/>
        <color rgb="FF000000"/>
        <rFont val="Calibri"/>
      </rPr>
      <t xml:space="preserve">
</t>
    </r>
    <r>
      <rPr>
        <sz val="11"/>
        <color rgb="FF000000"/>
        <rFont val="Calibri"/>
      </rPr>
      <t>Note: SELinux confined users mapped to sysadm_u are not allowed to log in to the system over SSH, by default. If this is a required function, it can be configured by setting the ssh_sysadm_login SELinux boolean to "on" with the following command:</t>
    </r>
    <r>
      <rPr>
        <sz val="11"/>
        <color rgb="FF000000"/>
        <rFont val="Calibri"/>
      </rPr>
      <t xml:space="preserve">
</t>
    </r>
    <r>
      <rPr>
        <sz val="11"/>
        <color rgb="FF000000"/>
        <rFont val="Calibri"/>
      </rPr>
      <t xml:space="preserve">     $ sudo setsebool -P ssh_sysadm_login on</t>
    </r>
    <r>
      <rPr>
        <sz val="11"/>
        <color rgb="FF000000"/>
        <rFont val="Calibri"/>
      </rPr>
      <t xml:space="preserve">
</t>
    </r>
    <r>
      <rPr>
        <sz val="11"/>
        <color rgb="FF000000"/>
        <rFont val="Calibri"/>
      </rPr>
      <t>This must be documented with the information system security officer (ISSO) as an operational requirement.</t>
    </r>
  </si>
  <si>
    <r>
      <rPr>
        <sz val="11"/>
        <color rgb="FF000000"/>
        <rFont val="Calibri"/>
      </rPr>
      <t xml:space="preserve">Preventing nonprivileged users from executing privileged functions mitigates the risk that unauthorized individuals or processes may gain unnecessary access to information or privileges.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Privileged functions include, for example, establishing accounts, performing system integrity checks, or administering cryptographic key management activities. Nonprivileged users are individuals who do not possess appropriate authorizations. Circumventing intrusion detection and prevention mechanisms or malicious code protection mechanisms are examples of privileged functions that require protection from nonprivileged users.</t>
    </r>
  </si>
  <si>
    <r>
      <rPr>
        <sz val="11"/>
        <color rgb="FF000000"/>
        <rFont val="Calibri"/>
      </rPr>
      <t xml:space="preserve">Verify the operating system prevents nonprivileged users from executing privileged functions, including disabling, circumventing, or altering implemented security safeguards/countermeasures.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Obtain a list of authorized users (other than system administrator and guest accounts) for the system.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Check the list against the system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sudo semanage login -l | more </t>
    </r>
    <r>
      <rPr>
        <sz val="11"/>
        <color rgb="FF000000"/>
        <rFont val="Calibri"/>
      </rPr>
      <t xml:space="preserve">
</t>
    </r>
    <r>
      <rPr>
        <sz val="11"/>
        <color rgb="FF000000"/>
        <rFont val="Calibri"/>
      </rPr>
      <t xml:space="preserve">     Login Name    SELinux User    MLS/MCS Range    Service</t>
    </r>
    <r>
      <rPr>
        <sz val="11"/>
        <color rgb="FF000000"/>
        <rFont val="Calibri"/>
      </rPr>
      <t xml:space="preserve">
</t>
    </r>
    <r>
      <rPr>
        <sz val="11"/>
        <color rgb="FF000000"/>
        <rFont val="Calibri"/>
      </rPr>
      <t xml:space="preserve">     __default__   user_u                 s0-s0:c0.c1023        *</t>
    </r>
    <r>
      <rPr>
        <sz val="11"/>
        <color rgb="FF000000"/>
        <rFont val="Calibri"/>
      </rPr>
      <t xml:space="preserve">
</t>
    </r>
    <r>
      <rPr>
        <sz val="11"/>
        <color rgb="FF000000"/>
        <rFont val="Calibri"/>
      </rPr>
      <t xml:space="preserve">     root                   unconfined_u  s0-s0:c0.c1023        *</t>
    </r>
    <r>
      <rPr>
        <sz val="11"/>
        <color rgb="FF000000"/>
        <rFont val="Calibri"/>
      </rPr>
      <t xml:space="preserve">
</t>
    </r>
    <r>
      <rPr>
        <sz val="11"/>
        <color rgb="FF000000"/>
        <rFont val="Calibri"/>
      </rPr>
      <t xml:space="preserve">     system_u        system_u           s0-s0:c0.c1023        *</t>
    </r>
    <r>
      <rPr>
        <sz val="11"/>
        <color rgb="FF000000"/>
        <rFont val="Calibri"/>
      </rPr>
      <t xml:space="preserve">
</t>
    </r>
    <r>
      <rPr>
        <sz val="11"/>
        <color rgb="FF000000"/>
        <rFont val="Calibri"/>
      </rPr>
      <t xml:space="preserve">     joe                     staff_u                s0-s0:c0.c1023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All administrators must be mapped to the "sysadm_u", "staff_u", or an appropriately tailored confined role as defined by the organization.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All authorized nonadministrative users must be mapped to the "user_u" role.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they are not mapped in this way, this is a finding.</t>
    </r>
  </si>
  <si>
    <t>V-252650</t>
  </si>
  <si>
    <r>
      <rPr>
        <sz val="11"/>
        <rFont val="Calibri"/>
      </rPr>
      <t>The OL 8 operating system must not have accounts configured with blank or null passwords.</t>
    </r>
  </si>
  <si>
    <r>
      <rPr>
        <sz val="11"/>
        <color rgb="FF000000"/>
        <rFont val="Calibri"/>
      </rPr>
      <t>Configure all accounts on the system to have a password or lock the account with the following commands:</t>
    </r>
    <r>
      <rPr>
        <sz val="11"/>
        <color rgb="FF000000"/>
        <rFont val="Calibri"/>
      </rPr>
      <t xml:space="preserve">
</t>
    </r>
    <r>
      <rPr>
        <sz val="11"/>
        <color rgb="FF000000"/>
        <rFont val="Calibri"/>
      </rPr>
      <t>Perform a password reset:</t>
    </r>
    <r>
      <rPr>
        <sz val="11"/>
        <color rgb="FF000000"/>
        <rFont val="Calibri"/>
      </rPr>
      <t xml:space="preserve">
</t>
    </r>
    <r>
      <rPr>
        <sz val="11"/>
        <color rgb="FF000000"/>
        <rFont val="Calibri"/>
      </rPr>
      <t>$ sudo passwd [username]</t>
    </r>
    <r>
      <rPr>
        <sz val="11"/>
        <color rgb="FF000000"/>
        <rFont val="Calibri"/>
      </rPr>
      <t xml:space="preserve">
</t>
    </r>
    <r>
      <rPr>
        <sz val="11"/>
        <color rgb="FF000000"/>
        <rFont val="Calibri"/>
      </rPr>
      <t>Lock an account:</t>
    </r>
    <r>
      <rPr>
        <sz val="11"/>
        <color rgb="FF000000"/>
        <rFont val="Calibri"/>
      </rPr>
      <t xml:space="preserve">
</t>
    </r>
    <r>
      <rPr>
        <sz val="11"/>
        <color rgb="FF000000"/>
        <rFont val="Calibri"/>
      </rPr>
      <t>$ sudo passwd -l [username]</t>
    </r>
  </si>
  <si>
    <r>
      <rPr>
        <sz val="11"/>
        <color rgb="FF000000"/>
        <rFont val="Calibri"/>
      </rPr>
      <t>Check the "/etc/shadow" file for blank passwords with the following command:</t>
    </r>
    <r>
      <rPr>
        <sz val="11"/>
        <color rgb="FF000000"/>
        <rFont val="Calibri"/>
      </rPr>
      <t xml:space="preserve">
</t>
    </r>
    <r>
      <rPr>
        <sz val="11"/>
        <color rgb="FF000000"/>
        <rFont val="Calibri"/>
      </rPr>
      <t>$ sudo awk -F: '!$2 {print $1}' /etc/shadow</t>
    </r>
    <r>
      <rPr>
        <sz val="11"/>
        <color rgb="FF000000"/>
        <rFont val="Calibri"/>
      </rPr>
      <t xml:space="preserve">
</t>
    </r>
    <r>
      <rPr>
        <sz val="11"/>
        <color rgb="FF000000"/>
        <rFont val="Calibri"/>
      </rPr>
      <t>If the command returns any results, this is a finding.</t>
    </r>
  </si>
  <si>
    <t>V-252651</t>
  </si>
  <si>
    <r>
      <rPr>
        <sz val="11"/>
        <rFont val="Calibri"/>
      </rPr>
      <t>OL 8 library directories must have mode 755 or less permissive.</t>
    </r>
  </si>
  <si>
    <r>
      <rPr>
        <sz val="11"/>
        <color rgb="FF000000"/>
        <rFont val="Calibri"/>
      </rPr>
      <t>Configure the library directories to be protected from unauthorized access. Run the following command, replacing "[DIRECTORY]" with any library directory with a mode more permissive than 755.</t>
    </r>
    <r>
      <rPr>
        <sz val="11"/>
        <color rgb="FF000000"/>
        <rFont val="Calibri"/>
      </rPr>
      <t xml:space="preserve">
</t>
    </r>
    <r>
      <rPr>
        <sz val="11"/>
        <color rgb="FF000000"/>
        <rFont val="Calibri"/>
      </rPr>
      <t>$ sudo chmod 755 [DIRECTORY]</t>
    </r>
  </si>
  <si>
    <r>
      <rPr>
        <sz val="11"/>
        <color rgb="FF000000"/>
        <rFont val="Calibri"/>
      </rPr>
      <t>If OL 8 were to allow any user to make changes to software libraries, then those changes might be implemented without undergoing the appropriate testing and approvals that are part of a robust change management process.</t>
    </r>
    <r>
      <rPr>
        <sz val="11"/>
        <color rgb="FF000000"/>
        <rFont val="Calibri"/>
      </rPr>
      <t xml:space="preserve">
</t>
    </r>
    <r>
      <rPr>
        <sz val="11"/>
        <color rgb="FF000000"/>
        <rFont val="Calibri"/>
      </rPr>
      <t>This requirement applies to OL 8 with software libraries that are accessible and configurable, as in the case of interpreted languages. Software libraries also include privileged programs that execute with escalated privileges. Only qualified and authorized individuals will be allowed to obtain access to information system components for purposes of initiating changes, including upgrades and modifications.</t>
    </r>
  </si>
  <si>
    <r>
      <rPr>
        <sz val="11"/>
        <color rgb="FF000000"/>
        <rFont val="Calibri"/>
      </rPr>
      <t>Verify the system-wide shared library directories within "/lib", "/lib64", "/usr/lib" and "/usr/lib64" have mode "755" or less permissive with the following command:</t>
    </r>
    <r>
      <rPr>
        <sz val="11"/>
        <color rgb="FF000000"/>
        <rFont val="Calibri"/>
      </rPr>
      <t xml:space="preserve">
</t>
    </r>
    <r>
      <rPr>
        <sz val="11"/>
        <color rgb="FF000000"/>
        <rFont val="Calibri"/>
      </rPr>
      <t>$ sudo find /lib /lib64 /usr/lib /usr/lib64 -perm /022 -type d -exec stat -c "%n %a" '{}' \;</t>
    </r>
    <r>
      <rPr>
        <sz val="11"/>
        <color rgb="FF000000"/>
        <rFont val="Calibri"/>
      </rPr>
      <t xml:space="preserve">
</t>
    </r>
    <r>
      <rPr>
        <sz val="11"/>
        <color rgb="FF000000"/>
        <rFont val="Calibri"/>
      </rPr>
      <t>If any system-wide shared library directories are found to be group-writable or world-writable, this is a finding.</t>
    </r>
  </si>
  <si>
    <t>V-252652</t>
  </si>
  <si>
    <r>
      <rPr>
        <sz val="11"/>
        <rFont val="Calibri"/>
      </rPr>
      <t>OL 8 library directories must be owned by root.</t>
    </r>
  </si>
  <si>
    <r>
      <rPr>
        <sz val="11"/>
        <color rgb="FF000000"/>
        <rFont val="Calibri"/>
      </rPr>
      <t>Configure the system-wide shared library directories within (/lib, /lib64, /usr/lib and /usr/lib64) to be protected from unauthorized access.</t>
    </r>
    <r>
      <rPr>
        <sz val="11"/>
        <color rgb="FF000000"/>
        <rFont val="Calibri"/>
      </rPr>
      <t xml:space="preserve">
</t>
    </r>
    <r>
      <rPr>
        <sz val="11"/>
        <color rgb="FF000000"/>
        <rFont val="Calibri"/>
      </rPr>
      <t>Run the following command, replacing "[DIRECTORY]" with any library directory not owned by "root".</t>
    </r>
    <r>
      <rPr>
        <sz val="11"/>
        <color rgb="FF000000"/>
        <rFont val="Calibri"/>
      </rPr>
      <t xml:space="preserve">
</t>
    </r>
    <r>
      <rPr>
        <sz val="11"/>
        <color rgb="FF000000"/>
        <rFont val="Calibri"/>
      </rPr>
      <t>$ sudo chown root [DIRECTORY]</t>
    </r>
  </si>
  <si>
    <r>
      <rPr>
        <sz val="11"/>
        <color rgb="FF000000"/>
        <rFont val="Calibri"/>
      </rPr>
      <t>Verify the system-wide shared library directories are owned by "root" with the following command:</t>
    </r>
    <r>
      <rPr>
        <sz val="11"/>
        <color rgb="FF000000"/>
        <rFont val="Calibri"/>
      </rPr>
      <t xml:space="preserve">
</t>
    </r>
    <r>
      <rPr>
        <sz val="11"/>
        <color rgb="FF000000"/>
        <rFont val="Calibri"/>
      </rPr>
      <t>$ sudo find /lib /lib64 /usr/lib /usr/lib64 ! -user root -type d -exec stat -c "%n %U" '{}' \;</t>
    </r>
    <r>
      <rPr>
        <sz val="11"/>
        <color rgb="FF000000"/>
        <rFont val="Calibri"/>
      </rPr>
      <t xml:space="preserve">
</t>
    </r>
    <r>
      <rPr>
        <sz val="11"/>
        <color rgb="FF000000"/>
        <rFont val="Calibri"/>
      </rPr>
      <t>If any system wide shared library directory is returned, this is a finding.</t>
    </r>
  </si>
  <si>
    <t>V-252653</t>
  </si>
  <si>
    <r>
      <rPr>
        <sz val="11"/>
        <rFont val="Calibri"/>
      </rPr>
      <t>OL 8 library directories must be group-owned by root or a system account.</t>
    </r>
  </si>
  <si>
    <r>
      <rPr>
        <sz val="11"/>
        <color rgb="FF000000"/>
        <rFont val="Calibri"/>
      </rPr>
      <t>Configure the system-wide shared library directories (/lib, /lib64, /usr/lib and /usr/lib64) to be protected from unauthorized access.</t>
    </r>
    <r>
      <rPr>
        <sz val="11"/>
        <color rgb="FF000000"/>
        <rFont val="Calibri"/>
      </rPr>
      <t xml:space="preserve">
</t>
    </r>
    <r>
      <rPr>
        <sz val="11"/>
        <color rgb="FF000000"/>
        <rFont val="Calibri"/>
      </rPr>
      <t>Run the following command, replacing "[DIRECTORY]" with any library directory not group-owned by "root".</t>
    </r>
    <r>
      <rPr>
        <sz val="11"/>
        <color rgb="FF000000"/>
        <rFont val="Calibri"/>
      </rPr>
      <t xml:space="preserve">
</t>
    </r>
    <r>
      <rPr>
        <sz val="11"/>
        <color rgb="FF000000"/>
        <rFont val="Calibri"/>
      </rPr>
      <t>$ sudo chgrp root [DIRECTORY]</t>
    </r>
  </si>
  <si>
    <r>
      <rPr>
        <sz val="11"/>
        <color rgb="FF000000"/>
        <rFont val="Calibri"/>
      </rPr>
      <t>Verify the system-wide shared library directories are group-owned by "root" with the following command:</t>
    </r>
    <r>
      <rPr>
        <sz val="11"/>
        <color rgb="FF000000"/>
        <rFont val="Calibri"/>
      </rPr>
      <t xml:space="preserve">
</t>
    </r>
    <r>
      <rPr>
        <sz val="11"/>
        <color rgb="FF000000"/>
        <rFont val="Calibri"/>
      </rPr>
      <t>$ sudo find /lib /lib64 /usr/lib /usr/lib64 ! -group root -type d -exec stat -c "%n %G" '{}' \;</t>
    </r>
    <r>
      <rPr>
        <sz val="11"/>
        <color rgb="FF000000"/>
        <rFont val="Calibri"/>
      </rPr>
      <t xml:space="preserve">
</t>
    </r>
    <r>
      <rPr>
        <sz val="11"/>
        <color rgb="FF000000"/>
        <rFont val="Calibri"/>
      </rPr>
      <t>If any system wide shared library directory is returned and is not group-owned by a required system account, this is a finding.</t>
    </r>
  </si>
  <si>
    <t>V-252654</t>
  </si>
  <si>
    <r>
      <rPr>
        <sz val="11"/>
        <rFont val="Calibri"/>
      </rPr>
      <t>The OL 8 operating system must use a file integrity tool to verify correct operation of all security functions.</t>
    </r>
  </si>
  <si>
    <r>
      <rPr>
        <sz val="11"/>
        <color rgb="FF000000"/>
        <rFont val="Calibri"/>
      </rPr>
      <t>Install AIDE, initialize it, and perform a manual check.</t>
    </r>
    <r>
      <rPr>
        <sz val="11"/>
        <color rgb="FF000000"/>
        <rFont val="Calibri"/>
      </rPr>
      <t xml:space="preserve">
</t>
    </r>
    <r>
      <rPr>
        <sz val="11"/>
        <color rgb="FF000000"/>
        <rFont val="Calibri"/>
      </rPr>
      <t>Install AIDE:</t>
    </r>
    <r>
      <rPr>
        <sz val="11"/>
        <color rgb="FF000000"/>
        <rFont val="Calibri"/>
      </rPr>
      <t xml:space="preserve">
</t>
    </r>
    <r>
      <rPr>
        <sz val="11"/>
        <color rgb="FF000000"/>
        <rFont val="Calibri"/>
      </rPr>
      <t xml:space="preserve">     $ sudo yum install aide</t>
    </r>
    <r>
      <rPr>
        <sz val="11"/>
        <color rgb="FF000000"/>
        <rFont val="Calibri"/>
      </rPr>
      <t xml:space="preserve">
</t>
    </r>
    <r>
      <rPr>
        <sz val="11"/>
        <color rgb="FF000000"/>
        <rFont val="Calibri"/>
      </rPr>
      <t>Initialize it:</t>
    </r>
    <r>
      <rPr>
        <sz val="11"/>
        <color rgb="FF000000"/>
        <rFont val="Calibri"/>
      </rPr>
      <t xml:space="preserve">
</t>
    </r>
    <r>
      <rPr>
        <sz val="11"/>
        <color rgb="FF000000"/>
        <rFont val="Calibri"/>
      </rPr>
      <t xml:space="preserve">     $ sudo /usr/sbin/aide --init</t>
    </r>
    <r>
      <rPr>
        <sz val="11"/>
        <color rgb="FF000000"/>
        <rFont val="Calibri"/>
      </rPr>
      <t xml:space="preserve">
</t>
    </r>
    <r>
      <rPr>
        <sz val="11"/>
        <color rgb="FF000000"/>
        <rFont val="Calibri"/>
      </rPr>
      <t>Example output:</t>
    </r>
    <r>
      <rPr>
        <sz val="11"/>
        <color rgb="FF000000"/>
        <rFont val="Calibri"/>
      </rPr>
      <t xml:space="preserve">
</t>
    </r>
    <r>
      <rPr>
        <sz val="11"/>
        <color rgb="FF000000"/>
        <rFont val="Calibri"/>
      </rPr>
      <t xml:space="preserve">     Number of entries:      48623</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The attributes of the (uncompressed) database(s):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/var/lib/aide/aide.db.new.gz</t>
    </r>
    <r>
      <rPr>
        <sz val="11"/>
        <color rgb="FF000000"/>
        <rFont val="Calibri"/>
      </rPr>
      <t xml:space="preserve">
</t>
    </r>
    <r>
      <rPr>
        <sz val="11"/>
        <color rgb="FF000000"/>
        <rFont val="Calibri"/>
      </rPr>
      <t xml:space="preserve">       SHA1     : LTAVQ8tFJthsrf4m9gfRpnf1vyc=</t>
    </r>
    <r>
      <rPr>
        <sz val="11"/>
        <color rgb="FF000000"/>
        <rFont val="Calibri"/>
      </rPr>
      <t xml:space="preserve">
</t>
    </r>
    <r>
      <rPr>
        <sz val="11"/>
        <color rgb="FF000000"/>
        <rFont val="Calibri"/>
      </rPr>
      <t xml:space="preserve">       SHA256   : NJ9+uzRQKSwmLQ8A6IpKNvYjVKGbhSjt</t>
    </r>
    <r>
      <rPr>
        <sz val="11"/>
        <color rgb="FF000000"/>
        <rFont val="Calibri"/>
      </rPr>
      <t xml:space="preserve">
</t>
    </r>
    <r>
      <rPr>
        <sz val="11"/>
        <color rgb="FF000000"/>
        <rFont val="Calibri"/>
      </rPr>
      <t xml:space="preserve">                  BeJBVcmOVrI=</t>
    </r>
    <r>
      <rPr>
        <sz val="11"/>
        <color rgb="FF000000"/>
        <rFont val="Calibri"/>
      </rPr>
      <t xml:space="preserve">
</t>
    </r>
    <r>
      <rPr>
        <sz val="11"/>
        <color rgb="FF000000"/>
        <rFont val="Calibri"/>
      </rPr>
      <t xml:space="preserve">       SHA512   : 7d8I/F6A1b07E4ZuGeilZjefRgJJ/F20</t>
    </r>
    <r>
      <rPr>
        <sz val="11"/>
        <color rgb="FF000000"/>
        <rFont val="Calibri"/>
      </rPr>
      <t xml:space="preserve">
</t>
    </r>
    <r>
      <rPr>
        <sz val="11"/>
        <color rgb="FF000000"/>
        <rFont val="Calibri"/>
      </rPr>
      <t xml:space="preserve">                  eC2xoag1OsOVpctt3Mi7Jjjf3vFW4xoY</t>
    </r>
    <r>
      <rPr>
        <sz val="11"/>
        <color rgb="FF000000"/>
        <rFont val="Calibri"/>
      </rPr>
      <t xml:space="preserve">
</t>
    </r>
    <r>
      <rPr>
        <sz val="11"/>
        <color rgb="FF000000"/>
        <rFont val="Calibri"/>
      </rPr>
      <t xml:space="preserve">                  5mdS6/ImQpm0xtlTLOPeQQ==</t>
    </r>
    <r>
      <rPr>
        <sz val="11"/>
        <color rgb="FF000000"/>
        <rFont val="Calibri"/>
      </rPr>
      <t xml:space="preserve">
</t>
    </r>
    <r>
      <rPr>
        <sz val="11"/>
        <color rgb="FF000000"/>
        <rFont val="Calibri"/>
      </rPr>
      <t xml:space="preserve">     End timestamp: 2022-10-20 10:50:52 -0700 (run time: 0m 46s)</t>
    </r>
    <r>
      <rPr>
        <sz val="11"/>
        <color rgb="FF000000"/>
        <rFont val="Calibri"/>
      </rPr>
      <t xml:space="preserve">
</t>
    </r>
    <r>
      <rPr>
        <sz val="11"/>
        <color rgb="FF000000"/>
        <rFont val="Calibri"/>
      </rPr>
      <t>The new database will need to be renamed to be read by AIDE:</t>
    </r>
    <r>
      <rPr>
        <sz val="11"/>
        <color rgb="FF000000"/>
        <rFont val="Calibri"/>
      </rPr>
      <t xml:space="preserve">
</t>
    </r>
    <r>
      <rPr>
        <sz val="11"/>
        <color rgb="FF000000"/>
        <rFont val="Calibri"/>
      </rPr>
      <t xml:space="preserve">     $ sudo mv /var/lib/aide/aide.db.new.gz /var/lib/aide/aide.db.gz</t>
    </r>
    <r>
      <rPr>
        <sz val="11"/>
        <color rgb="FF000000"/>
        <rFont val="Calibri"/>
      </rPr>
      <t xml:space="preserve">
</t>
    </r>
    <r>
      <rPr>
        <sz val="11"/>
        <color rgb="FF000000"/>
        <rFont val="Calibri"/>
      </rPr>
      <t>Perform a manual check:</t>
    </r>
    <r>
      <rPr>
        <sz val="11"/>
        <color rgb="FF000000"/>
        <rFont val="Calibri"/>
      </rPr>
      <t xml:space="preserve">
</t>
    </r>
    <r>
      <rPr>
        <sz val="11"/>
        <color rgb="FF000000"/>
        <rFont val="Calibri"/>
      </rPr>
      <t xml:space="preserve">     $ sudo /usr/sbin/aide --check</t>
    </r>
    <r>
      <rPr>
        <sz val="11"/>
        <color rgb="FF000000"/>
        <rFont val="Calibri"/>
      </rPr>
      <t xml:space="preserve">
</t>
    </r>
    <r>
      <rPr>
        <sz val="11"/>
        <color rgb="FF000000"/>
        <rFont val="Calibri"/>
      </rPr>
      <t>Example output:</t>
    </r>
    <r>
      <rPr>
        <sz val="11"/>
        <color rgb="FF000000"/>
        <rFont val="Calibri"/>
      </rPr>
      <t xml:space="preserve">
</t>
    </r>
    <r>
      <rPr>
        <sz val="11"/>
        <color rgb="FF000000"/>
        <rFont val="Calibri"/>
      </rPr>
      <t xml:space="preserve">     Start timestamp: 2022-10-20 11:03:16 -0700 (AIDE 0.16)</t>
    </r>
    <r>
      <rPr>
        <sz val="11"/>
        <color rgb="FF000000"/>
        <rFont val="Calibri"/>
      </rPr>
      <t xml:space="preserve">
</t>
    </r>
    <r>
      <rPr>
        <sz val="11"/>
        <color rgb="FF000000"/>
        <rFont val="Calibri"/>
      </rPr>
      <t xml:space="preserve">     AIDE found differences between database and filesystem!!</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Done.</t>
    </r>
  </si>
  <si>
    <r>
      <rPr>
        <sz val="11"/>
        <color rgb="FF000000"/>
        <rFont val="Calibri"/>
      </rPr>
      <t>Without verification of the security functions, security functions may not operate correctly, and the failure may go unnoticed. Security function is defined as the hardware, software, and/or firmware of the information system responsible for enforcing the system security policy and supporting the isolation of code and data on which the protection is based. Security functionality includes, but is not limited to, establishing system accounts, configuring access authorizations (i.e., permissions, privileges), setting events to be audited, and setting intrusion detection parameters.</t>
    </r>
    <r>
      <rPr>
        <sz val="11"/>
        <color rgb="FF000000"/>
        <rFont val="Calibri"/>
      </rPr>
      <t xml:space="preserve">
</t>
    </r>
    <r>
      <rPr>
        <sz val="11"/>
        <color rgb="FF000000"/>
        <rFont val="Calibri"/>
      </rPr>
      <t>This requirement applies to the OL 8 operating system performing security function verification/testing and/or systems and environments that require this functionality.</t>
    </r>
  </si>
  <si>
    <r>
      <rPr>
        <sz val="11"/>
        <color rgb="FF000000"/>
        <rFont val="Calibri"/>
      </rPr>
      <t>Verify that Advanced Intrusion Detection Environment (AIDE) is installed and verifies the correct operation of all security functions.</t>
    </r>
    <r>
      <rPr>
        <sz val="11"/>
        <color rgb="FF000000"/>
        <rFont val="Calibri"/>
      </rPr>
      <t xml:space="preserve">
</t>
    </r>
    <r>
      <rPr>
        <sz val="11"/>
        <color rgb="FF000000"/>
        <rFont val="Calibri"/>
      </rPr>
      <t>Check that the AIDE package is installed with the following command:</t>
    </r>
    <r>
      <rPr>
        <sz val="11"/>
        <color rgb="FF000000"/>
        <rFont val="Calibri"/>
      </rPr>
      <t xml:space="preserve">
</t>
    </r>
    <r>
      <rPr>
        <sz val="11"/>
        <color rgb="FF000000"/>
        <rFont val="Calibri"/>
      </rPr>
      <t xml:space="preserve">     $ sudo rpm -q aide</t>
    </r>
    <r>
      <rPr>
        <sz val="11"/>
        <color rgb="FF000000"/>
        <rFont val="Calibri"/>
      </rPr>
      <t xml:space="preserve">
</t>
    </r>
    <r>
      <rPr>
        <sz val="11"/>
        <color rgb="FF000000"/>
        <rFont val="Calibri"/>
      </rPr>
      <t xml:space="preserve">     aide-0.16-14.el8_5.1.x86_64</t>
    </r>
    <r>
      <rPr>
        <sz val="11"/>
        <color rgb="FF000000"/>
        <rFont val="Calibri"/>
      </rPr>
      <t xml:space="preserve">
</t>
    </r>
    <r>
      <rPr>
        <sz val="11"/>
        <color rgb="FF000000"/>
        <rFont val="Calibri"/>
      </rPr>
      <t xml:space="preserve">If AIDE is not installed, ask the System Administrator how file integrity checks are performed on the system. </t>
    </r>
    <r>
      <rPr>
        <sz val="11"/>
        <color rgb="FF000000"/>
        <rFont val="Calibri"/>
      </rPr>
      <t xml:space="preserve">
</t>
    </r>
    <r>
      <rPr>
        <sz val="11"/>
        <color rgb="FF000000"/>
        <rFont val="Calibri"/>
      </rPr>
      <t>If there is no application installed to perform integrity checks, this is a finding.</t>
    </r>
    <r>
      <rPr>
        <sz val="11"/>
        <color rgb="FF000000"/>
        <rFont val="Calibri"/>
      </rPr>
      <t xml:space="preserve">
</t>
    </r>
    <r>
      <rPr>
        <sz val="11"/>
        <color rgb="FF000000"/>
        <rFont val="Calibri"/>
      </rPr>
      <t>If AIDE is installed, check if it has been initialized with the following command:</t>
    </r>
    <r>
      <rPr>
        <sz val="11"/>
        <color rgb="FF000000"/>
        <rFont val="Calibri"/>
      </rPr>
      <t xml:space="preserve">
</t>
    </r>
    <r>
      <rPr>
        <sz val="11"/>
        <color rgb="FF000000"/>
        <rFont val="Calibri"/>
      </rPr>
      <t xml:space="preserve">     $ sudo /usr/sbin/aide --check</t>
    </r>
    <r>
      <rPr>
        <sz val="11"/>
        <color rgb="FF000000"/>
        <rFont val="Calibri"/>
      </rPr>
      <t xml:space="preserve">
</t>
    </r>
    <r>
      <rPr>
        <sz val="11"/>
        <color rgb="FF000000"/>
        <rFont val="Calibri"/>
      </rPr>
      <t>If the output is "Couldn't open file /var/lib/aide/aide.db.gz for reading", this is a finding.</t>
    </r>
  </si>
  <si>
    <t>V-252655</t>
  </si>
  <si>
    <r>
      <rPr>
        <sz val="11"/>
        <rFont val="Calibri"/>
      </rPr>
      <t xml:space="preserve">OL 8 must specify the default </t>
    </r>
    <r>
      <rPr>
        <sz val="11"/>
        <color rgb="FF000000"/>
        <rFont val="Calibri"/>
      </rPr>
      <t>"</t>
    </r>
    <r>
      <rPr>
        <b/>
        <sz val="11"/>
        <color rgb="FF000000"/>
        <rFont val="Calibri"/>
      </rPr>
      <t>include</t>
    </r>
    <r>
      <rPr>
        <sz val="11"/>
        <color rgb="FF000000"/>
        <rFont val="Calibri"/>
      </rPr>
      <t>"</t>
    </r>
    <r>
      <rPr>
        <sz val="11"/>
        <color rgb="FF000000"/>
        <rFont val="Calibri"/>
      </rPr>
      <t xml:space="preserve"> directory for the /etc/sudoers file.</t>
    </r>
  </si>
  <si>
    <r>
      <rPr>
        <sz val="11"/>
        <color rgb="FF000000"/>
        <rFont val="Calibri"/>
      </rPr>
      <t>Configure the /etc/sudoers file to only include the /etc/sudoers.d directory.</t>
    </r>
    <r>
      <rPr>
        <sz val="11"/>
        <color rgb="FF000000"/>
        <rFont val="Calibri"/>
      </rPr>
      <t xml:space="preserve">
</t>
    </r>
    <r>
      <rPr>
        <sz val="11"/>
        <color rgb="FF000000"/>
        <rFont val="Calibri"/>
      </rPr>
      <t>Edit the /etc/sudoers file with the following command:</t>
    </r>
    <r>
      <rPr>
        <sz val="11"/>
        <color rgb="FF000000"/>
        <rFont val="Calibri"/>
      </rPr>
      <t xml:space="preserve">
</t>
    </r>
    <r>
      <rPr>
        <sz val="11"/>
        <color rgb="FF000000"/>
        <rFont val="Calibri"/>
      </rPr>
      <t xml:space="preserve">     $ sudo visudo</t>
    </r>
    <r>
      <rPr>
        <sz val="11"/>
        <color rgb="FF000000"/>
        <rFont val="Calibri"/>
      </rPr>
      <t xml:space="preserve">
</t>
    </r>
    <r>
      <rPr>
        <sz val="11"/>
        <color rgb="FF000000"/>
        <rFont val="Calibri"/>
      </rPr>
      <t>Add or modify the following line:</t>
    </r>
    <r>
      <rPr>
        <sz val="11"/>
        <color rgb="FF000000"/>
        <rFont val="Calibri"/>
      </rPr>
      <t xml:space="preserve">
</t>
    </r>
    <r>
      <rPr>
        <sz val="11"/>
        <color rgb="FF000000"/>
        <rFont val="Calibri"/>
      </rPr>
      <t xml:space="preserve">     #includedir /etc/sudoers.d</t>
    </r>
  </si>
  <si>
    <r>
      <rPr>
        <sz val="11"/>
        <color rgb="FF000000"/>
        <rFont val="Calibri"/>
      </rPr>
      <t>The "sudo" command allows authorized users to run programs (including shells) as other users, system users, and root. The "/etc/sudoers" file is used to configure authorized "sudo" users as well as the programs they are allowed to run. Some configuration options in the "/etc/sudoers" file allow configured users to run programs without re-authenticating. Use of these configuration options makes it easier for one compromised account to be used to compromise other accounts.</t>
    </r>
    <r>
      <rPr>
        <sz val="11"/>
        <color rgb="FF000000"/>
        <rFont val="Calibri"/>
      </rPr>
      <t xml:space="preserve">
</t>
    </r>
    <r>
      <rPr>
        <sz val="11"/>
        <color rgb="FF000000"/>
        <rFont val="Calibri"/>
      </rPr>
      <t>It is possible to include other sudoers files from within the sudoers file currently being parsed using the #include and #includedir directives. When sudo reaches this line it will suspend processing of the current file (/etc/sudoers) and switch to the specified file/directory. Once the end of the included file(s) are reached, the rest of /etc/sudoers will be processed. Files that are included may themselves include other files. A hard limit of 128 nested include files is enforced to prevent include file loops.</t>
    </r>
  </si>
  <si>
    <r>
      <rPr>
        <sz val="11"/>
        <color rgb="FF000000"/>
        <rFont val="Calibri"/>
      </rPr>
      <t>Note: If the "include" and "includedir" directives are not present in the /etc/sudoers file, this requirement is not applicable.</t>
    </r>
    <r>
      <rPr>
        <sz val="11"/>
        <color rgb="FF000000"/>
        <rFont val="Calibri"/>
      </rPr>
      <t xml:space="preserve">
</t>
    </r>
    <r>
      <rPr>
        <sz val="11"/>
        <color rgb="FF000000"/>
        <rFont val="Calibri"/>
      </rPr>
      <t>Verify the operating system specifies only the default "include" directory for the /etc/sudoers file with the following command:</t>
    </r>
    <r>
      <rPr>
        <sz val="11"/>
        <color rgb="FF000000"/>
        <rFont val="Calibri"/>
      </rPr>
      <t xml:space="preserve">
</t>
    </r>
    <r>
      <rPr>
        <sz val="11"/>
        <color rgb="FF000000"/>
        <rFont val="Calibri"/>
      </rPr>
      <t xml:space="preserve">     $ sudo grep include /etc/sudoers</t>
    </r>
    <r>
      <rPr>
        <sz val="11"/>
        <color rgb="FF000000"/>
        <rFont val="Calibri"/>
      </rPr>
      <t xml:space="preserve">
</t>
    </r>
    <r>
      <rPr>
        <sz val="11"/>
        <color rgb="FF000000"/>
        <rFont val="Calibri"/>
      </rPr>
      <t xml:space="preserve">     #includedir /etc/sudoers.d</t>
    </r>
    <r>
      <rPr>
        <sz val="11"/>
        <color rgb="FF000000"/>
        <rFont val="Calibri"/>
      </rPr>
      <t xml:space="preserve">
</t>
    </r>
    <r>
      <rPr>
        <sz val="11"/>
        <color rgb="FF000000"/>
        <rFont val="Calibri"/>
      </rPr>
      <t>If the results are not "/etc/sudoers.d" or additional files or directories are specified, this is a finding.</t>
    </r>
    <r>
      <rPr>
        <sz val="11"/>
        <color rgb="FF000000"/>
        <rFont val="Calibri"/>
      </rPr>
      <t xml:space="preserve">
</t>
    </r>
    <r>
      <rPr>
        <sz val="11"/>
        <color rgb="FF000000"/>
        <rFont val="Calibri"/>
      </rPr>
      <t>Verify the operating system does not have nested "include" files or directories within the /etc/sudoers.d directory with the following command:</t>
    </r>
    <r>
      <rPr>
        <sz val="11"/>
        <color rgb="FF000000"/>
        <rFont val="Calibri"/>
      </rPr>
      <t xml:space="preserve">
</t>
    </r>
    <r>
      <rPr>
        <sz val="11"/>
        <color rgb="FF000000"/>
        <rFont val="Calibri"/>
      </rPr>
      <t xml:space="preserve">     $ sudo grep -Er include /etc/sudoers.d</t>
    </r>
    <r>
      <rPr>
        <sz val="11"/>
        <color rgb="FF000000"/>
        <rFont val="Calibri"/>
      </rPr>
      <t xml:space="preserve">
</t>
    </r>
    <r>
      <rPr>
        <sz val="11"/>
        <color rgb="FF000000"/>
        <rFont val="Calibri"/>
      </rPr>
      <t>If results are returned, this is a finding.</t>
    </r>
  </si>
  <si>
    <t>V-252656</t>
  </si>
  <si>
    <r>
      <rPr>
        <sz val="11"/>
        <rFont val="Calibri"/>
      </rPr>
      <t>The OL 8 operating system must not be configured to bypass password requirements for privilege escalation.</t>
    </r>
  </si>
  <si>
    <r>
      <rPr>
        <sz val="11"/>
        <color rgb="FF000000"/>
        <rFont val="Calibri"/>
      </rPr>
      <t>Configure the operating system to require users to supply a password for privilege escalation.</t>
    </r>
    <r>
      <rPr>
        <sz val="11"/>
        <color rgb="FF000000"/>
        <rFont val="Calibri"/>
      </rPr>
      <t xml:space="preserve">
</t>
    </r>
    <r>
      <rPr>
        <sz val="11"/>
        <color rgb="FF000000"/>
        <rFont val="Calibri"/>
      </rPr>
      <t>Check the configuration of the "/etc/ pam.d/sudo" file with the following command:</t>
    </r>
    <r>
      <rPr>
        <sz val="11"/>
        <color rgb="FF000000"/>
        <rFont val="Calibri"/>
      </rPr>
      <t xml:space="preserve">
</t>
    </r>
    <r>
      <rPr>
        <sz val="11"/>
        <color rgb="FF000000"/>
        <rFont val="Calibri"/>
      </rPr>
      <t>$ sudo vi /etc/pam.d/sudo</t>
    </r>
    <r>
      <rPr>
        <sz val="11"/>
        <color rgb="FF000000"/>
        <rFont val="Calibri"/>
      </rPr>
      <t xml:space="preserve">
</t>
    </r>
    <r>
      <rPr>
        <sz val="11"/>
        <color rgb="FF000000"/>
        <rFont val="Calibri"/>
      </rPr>
      <t>Remove any occurrences of " pam_succeed_if " in the file.</t>
    </r>
  </si>
  <si>
    <r>
      <rPr>
        <sz val="11"/>
        <color rgb="FF000000"/>
        <rFont val="Calibri"/>
      </rPr>
      <t xml:space="preserve">Without reauthentication, users may access resources or perform tasks for which they do not have authorization. </t>
    </r>
    <r>
      <rPr>
        <sz val="11"/>
        <color rgb="FF000000"/>
        <rFont val="Calibri"/>
      </rPr>
      <t xml:space="preserve">
</t>
    </r>
    <r>
      <rPr>
        <sz val="11"/>
        <color rgb="FF000000"/>
        <rFont val="Calibri"/>
      </rPr>
      <t>When operating systems provide the capability to escalate a functional capability, it is critical the user reauthenticate.</t>
    </r>
    <r>
      <rPr>
        <sz val="11"/>
        <color rgb="FF000000"/>
        <rFont val="Calibri"/>
      </rPr>
      <t xml:space="preserve">
</t>
    </r>
    <r>
      <rPr>
        <sz val="11"/>
        <color rgb="FF000000"/>
        <rFont val="Calibri"/>
      </rPr>
      <t>Satisfies: SRG-OS-000373-GPOS-00156, SRG-OS-000373-GPOS-00157, SRG-OS-000373-GPOS-00158</t>
    </r>
  </si>
  <si>
    <r>
      <rPr>
        <sz val="11"/>
        <color rgb="FF000000"/>
        <rFont val="Calibri"/>
      </rPr>
      <t>Verify the operating system is not be configured to bypass password requirements for privilege escalation.</t>
    </r>
    <r>
      <rPr>
        <sz val="11"/>
        <color rgb="FF000000"/>
        <rFont val="Calibri"/>
      </rPr>
      <t xml:space="preserve">
</t>
    </r>
    <r>
      <rPr>
        <sz val="11"/>
        <color rgb="FF000000"/>
        <rFont val="Calibri"/>
      </rPr>
      <t>Check the configuration of the "/etc/pam.d/sudo" file with the following command:</t>
    </r>
    <r>
      <rPr>
        <sz val="11"/>
        <color rgb="FF000000"/>
        <rFont val="Calibri"/>
      </rPr>
      <t xml:space="preserve">
</t>
    </r>
    <r>
      <rPr>
        <sz val="11"/>
        <color rgb="FF000000"/>
        <rFont val="Calibri"/>
      </rPr>
      <t>$ sudo grep pam_succeed_if /etc/pam.d/sudo</t>
    </r>
    <r>
      <rPr>
        <sz val="11"/>
        <color rgb="FF000000"/>
        <rFont val="Calibri"/>
      </rPr>
      <t xml:space="preserve">
</t>
    </r>
    <r>
      <rPr>
        <sz val="11"/>
        <color rgb="FF000000"/>
        <rFont val="Calibri"/>
      </rPr>
      <t>If any occurrences of "pam_succeed_if" is returned from the command, this is a finding.</t>
    </r>
  </si>
  <si>
    <t>V-252657</t>
  </si>
  <si>
    <r>
      <rPr>
        <sz val="11"/>
        <rFont val="Calibri"/>
      </rPr>
      <t>OL 8 must ensure the password complexity module is enabled in the system-auth file.</t>
    </r>
  </si>
  <si>
    <r>
      <rPr>
        <sz val="11"/>
        <color rgb="FF000000"/>
        <rFont val="Calibri"/>
      </rPr>
      <t>Configure the operating system to use "pwquality" to enforce password complexity rules.</t>
    </r>
    <r>
      <rPr>
        <sz val="11"/>
        <color rgb="FF000000"/>
        <rFont val="Calibri"/>
      </rPr>
      <t xml:space="preserve">
</t>
    </r>
    <r>
      <rPr>
        <sz val="11"/>
        <color rgb="FF000000"/>
        <rFont val="Calibri"/>
      </rPr>
      <t>Add the following line to the "/etc/pam.d/system-auth" file (or modify the line to have the required value):</t>
    </r>
    <r>
      <rPr>
        <sz val="11"/>
        <color rgb="FF000000"/>
        <rFont val="Calibri"/>
      </rPr>
      <t xml:space="preserve">
</t>
    </r>
    <r>
      <rPr>
        <sz val="11"/>
        <color rgb="FF000000"/>
        <rFont val="Calibri"/>
      </rPr>
      <t xml:space="preserve">     password requisite pam_pwquality.so</t>
    </r>
  </si>
  <si>
    <r>
      <rPr>
        <sz val="11"/>
        <color rgb="FF000000"/>
        <rFont val="Calibri"/>
      </rPr>
      <t>Use of a complex password helps to increase the time and resources required to compromise the password. Password complexity, or strength, is a measure of the effectiveness of a password in resisting attempts at guessing and brute-force attacks. "pwquality" enforces complex password construction configuration and has the ability to limit brute-force attacks on the system.</t>
    </r>
    <r>
      <rPr>
        <sz val="11"/>
        <color rgb="FF000000"/>
        <rFont val="Calibri"/>
      </rPr>
      <t xml:space="preserve">
</t>
    </r>
    <r>
      <rPr>
        <sz val="11"/>
        <color rgb="FF000000"/>
        <rFont val="Calibri"/>
      </rPr>
      <t>OL 8 utilizes "pwquality" as a mechanism to enforce password complexity. This is set in both:</t>
    </r>
    <r>
      <rPr>
        <sz val="11"/>
        <color rgb="FF000000"/>
        <rFont val="Calibri"/>
      </rPr>
      <t xml:space="preserve">
</t>
    </r>
    <r>
      <rPr>
        <sz val="11"/>
        <color rgb="FF000000"/>
        <rFont val="Calibri"/>
      </rPr>
      <t>/etc/pam.d/password-auth</t>
    </r>
    <r>
      <rPr>
        <sz val="11"/>
        <color rgb="FF000000"/>
        <rFont val="Calibri"/>
      </rPr>
      <t xml:space="preserve">
</t>
    </r>
    <r>
      <rPr>
        <sz val="11"/>
        <color rgb="FF000000"/>
        <rFont val="Calibri"/>
      </rPr>
      <t>/etc/pam.d/system-auth</t>
    </r>
  </si>
  <si>
    <r>
      <rPr>
        <sz val="11"/>
        <color rgb="FF000000"/>
        <rFont val="Calibri"/>
      </rPr>
      <t xml:space="preserve">Verify the operating system uses "pwquality" to enforce the password complexity rules. </t>
    </r>
    <r>
      <rPr>
        <sz val="11"/>
        <color rgb="FF000000"/>
        <rFont val="Calibri"/>
      </rPr>
      <t xml:space="preserve">
</t>
    </r>
    <r>
      <rPr>
        <sz val="11"/>
        <color rgb="FF000000"/>
        <rFont val="Calibri"/>
      </rPr>
      <t>Check for the use of "pwquality" in the system-auth file with the following command:</t>
    </r>
    <r>
      <rPr>
        <sz val="11"/>
        <color rgb="FF000000"/>
        <rFont val="Calibri"/>
      </rPr>
      <t xml:space="preserve">
</t>
    </r>
    <r>
      <rPr>
        <sz val="11"/>
        <color rgb="FF000000"/>
        <rFont val="Calibri"/>
      </rPr>
      <t xml:space="preserve">     $ sudo cat /etc/pam.d/system-auth | grep pam_pwquality</t>
    </r>
    <r>
      <rPr>
        <sz val="11"/>
        <color rgb="FF000000"/>
        <rFont val="Calibri"/>
      </rPr>
      <t xml:space="preserve">
</t>
    </r>
    <r>
      <rPr>
        <sz val="11"/>
        <color rgb="FF000000"/>
        <rFont val="Calibri"/>
      </rPr>
      <t xml:space="preserve">     password requisite pam_pwquality.so</t>
    </r>
    <r>
      <rPr>
        <sz val="11"/>
        <color rgb="FF000000"/>
        <rFont val="Calibri"/>
      </rPr>
      <t xml:space="preserve">
</t>
    </r>
    <r>
      <rPr>
        <sz val="11"/>
        <color rgb="FF000000"/>
        <rFont val="Calibri"/>
      </rPr>
      <t>If the command does not return a line containing the value "pam_pwquality.so" as shown, or the line is commented out, this is a finding.</t>
    </r>
  </si>
  <si>
    <t>V-252658</t>
  </si>
  <si>
    <r>
      <rPr>
        <sz val="11"/>
        <rFont val="Calibri"/>
      </rPr>
      <t>OL 8 systems below version 8.4 must ensure the password complexity module in the system-auth file is configured for three retries or less.</t>
    </r>
  </si>
  <si>
    <r>
      <rPr>
        <sz val="11"/>
        <color rgb="FF000000"/>
        <rFont val="Calibri"/>
      </rPr>
      <t>Configure the operating system to limit the "pwquality" retry option to 3.</t>
    </r>
    <r>
      <rPr>
        <sz val="11"/>
        <color rgb="FF000000"/>
        <rFont val="Calibri"/>
      </rPr>
      <t xml:space="preserve">
</t>
    </r>
    <r>
      <rPr>
        <sz val="11"/>
        <color rgb="FF000000"/>
        <rFont val="Calibri"/>
      </rPr>
      <t>Add the following line to the "/etc/pam.d/system-auth" file (or modify the line to have the required value):</t>
    </r>
    <r>
      <rPr>
        <sz val="11"/>
        <color rgb="FF000000"/>
        <rFont val="Calibri"/>
      </rPr>
      <t xml:space="preserve">
</t>
    </r>
    <r>
      <rPr>
        <sz val="11"/>
        <color rgb="FF000000"/>
        <rFont val="Calibri"/>
      </rPr>
      <t xml:space="preserve">     password requisite pam_pwquality.so retry=3</t>
    </r>
  </si>
  <si>
    <r>
      <rPr>
        <sz val="11"/>
        <color rgb="FF000000"/>
        <rFont val="Calibri"/>
      </rPr>
      <t>Use of a complex password helps to increase the time and resources required to compromise the password. Password complexity, or strength, is a measure of the effectiveness of a password in resisting attempts at guessing and brute-force attacks. "pwquality" enforces complex password construction configuration and has the ability to limit brute-force attacks on the system.</t>
    </r>
    <r>
      <rPr>
        <sz val="11"/>
        <color rgb="FF000000"/>
        <rFont val="Calibri"/>
      </rPr>
      <t xml:space="preserve">
</t>
    </r>
    <r>
      <rPr>
        <sz val="11"/>
        <color rgb="FF000000"/>
        <rFont val="Calibri"/>
      </rPr>
      <t>OL 8 utilizes "pwquality" as a mechanism to enforce password complexity. This is set in both:</t>
    </r>
    <r>
      <rPr>
        <sz val="11"/>
        <color rgb="FF000000"/>
        <rFont val="Calibri"/>
      </rPr>
      <t xml:space="preserve">
</t>
    </r>
    <r>
      <rPr>
        <sz val="11"/>
        <color rgb="FF000000"/>
        <rFont val="Calibri"/>
      </rPr>
      <t>/etc/pam.d/password-auth</t>
    </r>
    <r>
      <rPr>
        <sz val="11"/>
        <color rgb="FF000000"/>
        <rFont val="Calibri"/>
      </rPr>
      <t xml:space="preserve">
</t>
    </r>
    <r>
      <rPr>
        <sz val="11"/>
        <color rgb="FF000000"/>
        <rFont val="Calibri"/>
      </rPr>
      <t>/etc/pam.d/system-auth</t>
    </r>
    <r>
      <rPr>
        <sz val="11"/>
        <color rgb="FF000000"/>
        <rFont val="Calibri"/>
      </rPr>
      <t xml:space="preserve">
</t>
    </r>
    <r>
      <rPr>
        <sz val="11"/>
        <color rgb="FF000000"/>
        <rFont val="Calibri"/>
      </rPr>
      <t>By limiting the number of attempts to meet the pwquality module complexity requirements before returning with an error, the system will audit abnormal attempts at password changes.</t>
    </r>
  </si>
  <si>
    <r>
      <rPr>
        <sz val="11"/>
        <color rgb="FF000000"/>
        <rFont val="Calibri"/>
      </rPr>
      <t>Note: This requirement applies to OL versions 8.0 through 8.3. If the system is OL version 8.4 or newer, this requirement is not applicable.</t>
    </r>
    <r>
      <rPr>
        <sz val="11"/>
        <color rgb="FF000000"/>
        <rFont val="Calibri"/>
      </rPr>
      <t xml:space="preserve">
</t>
    </r>
    <r>
      <rPr>
        <sz val="11"/>
        <color rgb="FF000000"/>
        <rFont val="Calibri"/>
      </rPr>
      <t xml:space="preserve">Verify the operating system is configured to limit the "pwquality" retry option to 3. </t>
    </r>
    <r>
      <rPr>
        <sz val="11"/>
        <color rgb="FF000000"/>
        <rFont val="Calibri"/>
      </rPr>
      <t xml:space="preserve">
</t>
    </r>
    <r>
      <rPr>
        <sz val="11"/>
        <color rgb="FF000000"/>
        <rFont val="Calibri"/>
      </rPr>
      <t>Check for the use of the "pwquality" retry option in the system-auth file with the following command:</t>
    </r>
    <r>
      <rPr>
        <sz val="11"/>
        <color rgb="FF000000"/>
        <rFont val="Calibri"/>
      </rPr>
      <t xml:space="preserve">
</t>
    </r>
    <r>
      <rPr>
        <sz val="11"/>
        <color rgb="FF000000"/>
        <rFont val="Calibri"/>
      </rPr>
      <t xml:space="preserve">     $ sudo cat /etc/pam.d/system-auth | grep pam_pwquality</t>
    </r>
    <r>
      <rPr>
        <sz val="11"/>
        <color rgb="FF000000"/>
        <rFont val="Calibri"/>
      </rPr>
      <t xml:space="preserve">
</t>
    </r>
    <r>
      <rPr>
        <sz val="11"/>
        <color rgb="FF000000"/>
        <rFont val="Calibri"/>
      </rPr>
      <t xml:space="preserve">     password requisite pam_pwquality.so retry=3</t>
    </r>
    <r>
      <rPr>
        <sz val="11"/>
        <color rgb="FF000000"/>
        <rFont val="Calibri"/>
      </rPr>
      <t xml:space="preserve">
</t>
    </r>
    <r>
      <rPr>
        <sz val="11"/>
        <color rgb="FF000000"/>
        <rFont val="Calibri"/>
      </rPr>
      <t>If the value of "retry" is set to "0" or greater than "3", this is a finding.</t>
    </r>
  </si>
  <si>
    <t>V-252659</t>
  </si>
  <si>
    <r>
      <rPr>
        <sz val="11"/>
        <rFont val="Calibri"/>
      </rPr>
      <t>OL 8 systems below version 8.4 must ensure the password complexity module in the password-auth file is configured for three retries or less.</t>
    </r>
  </si>
  <si>
    <r>
      <rPr>
        <sz val="11"/>
        <color rgb="FF000000"/>
        <rFont val="Calibri"/>
      </rPr>
      <t>Configure the operating system to limit the "pwquality" retry option to 3.</t>
    </r>
    <r>
      <rPr>
        <sz val="11"/>
        <color rgb="FF000000"/>
        <rFont val="Calibri"/>
      </rPr>
      <t xml:space="preserve">
</t>
    </r>
    <r>
      <rPr>
        <sz val="11"/>
        <color rgb="FF000000"/>
        <rFont val="Calibri"/>
      </rPr>
      <t>Add the following line to the "/etc/pam.d/password-auth" file (or modify the line to have the required value):</t>
    </r>
    <r>
      <rPr>
        <sz val="11"/>
        <color rgb="FF000000"/>
        <rFont val="Calibri"/>
      </rPr>
      <t xml:space="preserve">
</t>
    </r>
    <r>
      <rPr>
        <sz val="11"/>
        <color rgb="FF000000"/>
        <rFont val="Calibri"/>
      </rPr>
      <t xml:space="preserve">     password requisite pam_pwquality.so retry=3</t>
    </r>
  </si>
  <si>
    <r>
      <rPr>
        <sz val="11"/>
        <color rgb="FF000000"/>
        <rFont val="Calibri"/>
      </rPr>
      <t>Note: This requirement applies to OL versions 8.0 through 8.3. If the system is OL version 8.4 or newer, this requirement is not applicable.</t>
    </r>
    <r>
      <rPr>
        <sz val="11"/>
        <color rgb="FF000000"/>
        <rFont val="Calibri"/>
      </rPr>
      <t xml:space="preserve">
</t>
    </r>
    <r>
      <rPr>
        <sz val="11"/>
        <color rgb="FF000000"/>
        <rFont val="Calibri"/>
      </rPr>
      <t xml:space="preserve">Verify the operating system is configured to limit the "pwquality" retry option to 3. </t>
    </r>
    <r>
      <rPr>
        <sz val="11"/>
        <color rgb="FF000000"/>
        <rFont val="Calibri"/>
      </rPr>
      <t xml:space="preserve">
</t>
    </r>
    <r>
      <rPr>
        <sz val="11"/>
        <color rgb="FF000000"/>
        <rFont val="Calibri"/>
      </rPr>
      <t>Check for the use of the "pwquality" retry option in the password-auth file with the following command:</t>
    </r>
    <r>
      <rPr>
        <sz val="11"/>
        <color rgb="FF000000"/>
        <rFont val="Calibri"/>
      </rPr>
      <t xml:space="preserve">
</t>
    </r>
    <r>
      <rPr>
        <sz val="11"/>
        <color rgb="FF000000"/>
        <rFont val="Calibri"/>
      </rPr>
      <t xml:space="preserve">     $ sudo cat /etc/pam.d/password-auth | grep pam_pwquality</t>
    </r>
    <r>
      <rPr>
        <sz val="11"/>
        <color rgb="FF000000"/>
        <rFont val="Calibri"/>
      </rPr>
      <t xml:space="preserve">
</t>
    </r>
    <r>
      <rPr>
        <sz val="11"/>
        <color rgb="FF000000"/>
        <rFont val="Calibri"/>
      </rPr>
      <t xml:space="preserve">     password requisite pam_pwquality.so retry=3</t>
    </r>
    <r>
      <rPr>
        <sz val="11"/>
        <color rgb="FF000000"/>
        <rFont val="Calibri"/>
      </rPr>
      <t xml:space="preserve">
</t>
    </r>
    <r>
      <rPr>
        <sz val="11"/>
        <color rgb="FF000000"/>
        <rFont val="Calibri"/>
      </rPr>
      <t>If the value of "retry" is set to "0" or greater than "3", this is a finding.</t>
    </r>
  </si>
  <si>
    <t>V-252660</t>
  </si>
  <si>
    <r>
      <rPr>
        <sz val="11"/>
        <rFont val="Calibri"/>
      </rPr>
      <t>OL 8 systems, version 8.4 and above, must ensure the password complexity module is configured for three retries or less.</t>
    </r>
  </si>
  <si>
    <r>
      <rPr>
        <sz val="11"/>
        <color rgb="FF000000"/>
        <rFont val="Calibri"/>
      </rPr>
      <t>Configure the operating system to limit the "pwquality" retry option to 3.</t>
    </r>
    <r>
      <rPr>
        <sz val="11"/>
        <color rgb="FF000000"/>
        <rFont val="Calibri"/>
      </rPr>
      <t xml:space="preserve">
</t>
    </r>
    <r>
      <rPr>
        <sz val="11"/>
        <color rgb="FF000000"/>
        <rFont val="Calibri"/>
      </rPr>
      <t>Add the following line to the "/etc/security/pwquality.conf" file(or modify the line to have the required value):</t>
    </r>
    <r>
      <rPr>
        <sz val="11"/>
        <color rgb="FF000000"/>
        <rFont val="Calibri"/>
      </rPr>
      <t xml:space="preserve">
</t>
    </r>
    <r>
      <rPr>
        <sz val="11"/>
        <color rgb="FF000000"/>
        <rFont val="Calibri"/>
      </rPr>
      <t>retry = 3</t>
    </r>
    <r>
      <rPr>
        <sz val="11"/>
        <color rgb="FF000000"/>
        <rFont val="Calibri"/>
      </rPr>
      <t xml:space="preserve">
</t>
    </r>
    <r>
      <rPr>
        <sz val="11"/>
        <color rgb="FF000000"/>
        <rFont val="Calibri"/>
      </rPr>
      <t>Remove any configurations that conflict with the above value.</t>
    </r>
  </si>
  <si>
    <r>
      <rPr>
        <sz val="11"/>
        <color rgb="FF000000"/>
        <rFont val="Calibri"/>
      </rPr>
      <t>Note: This requirement applies to OL versions 8.4 or newer. If the system is OL below version 8.4, this requirement is not applicable.</t>
    </r>
    <r>
      <rPr>
        <sz val="11"/>
        <color rgb="FF000000"/>
        <rFont val="Calibri"/>
      </rPr>
      <t xml:space="preserve">
</t>
    </r>
    <r>
      <rPr>
        <sz val="11"/>
        <color rgb="FF000000"/>
        <rFont val="Calibri"/>
      </rPr>
      <t xml:space="preserve">Verify the operating system is configured to limit the "pwquality" retry option to 3. </t>
    </r>
    <r>
      <rPr>
        <sz val="11"/>
        <color rgb="FF000000"/>
        <rFont val="Calibri"/>
      </rPr>
      <t xml:space="preserve">
</t>
    </r>
    <r>
      <rPr>
        <sz val="11"/>
        <color rgb="FF000000"/>
        <rFont val="Calibri"/>
      </rPr>
      <t>Check for the use of the "pwquality" retry option with the following command:</t>
    </r>
    <r>
      <rPr>
        <sz val="11"/>
        <color rgb="FF000000"/>
        <rFont val="Calibri"/>
      </rPr>
      <t xml:space="preserve">
</t>
    </r>
    <r>
      <rPr>
        <sz val="11"/>
        <color rgb="FF000000"/>
        <rFont val="Calibri"/>
      </rPr>
      <t>$ sudo grep -r retry /etc/security/pwquality.conf*</t>
    </r>
    <r>
      <rPr>
        <sz val="11"/>
        <color rgb="FF000000"/>
        <rFont val="Calibri"/>
      </rPr>
      <t xml:space="preserve">
</t>
    </r>
    <r>
      <rPr>
        <sz val="11"/>
        <color rgb="FF000000"/>
        <rFont val="Calibri"/>
      </rPr>
      <t>/etc/security/pwquality.conf:retry = 3</t>
    </r>
    <r>
      <rPr>
        <sz val="11"/>
        <color rgb="FF000000"/>
        <rFont val="Calibri"/>
      </rPr>
      <t xml:space="preserve">
</t>
    </r>
    <r>
      <rPr>
        <sz val="11"/>
        <color rgb="FF000000"/>
        <rFont val="Calibri"/>
      </rPr>
      <t>If the value of "retry" is set to "0" or greater than "3", is commented out or missing, this is a finding.</t>
    </r>
    <r>
      <rPr>
        <sz val="11"/>
        <color rgb="FF000000"/>
        <rFont val="Calibri"/>
      </rPr>
      <t xml:space="preserve">
</t>
    </r>
    <r>
      <rPr>
        <sz val="11"/>
        <color rgb="FF000000"/>
        <rFont val="Calibri"/>
      </rPr>
      <t>If conflicting results are returned, this is a finding.</t>
    </r>
    <r>
      <rPr>
        <sz val="11"/>
        <color rgb="FF000000"/>
        <rFont val="Calibri"/>
      </rPr>
      <t xml:space="preserve">
</t>
    </r>
    <r>
      <rPr>
        <sz val="11"/>
        <color rgb="FF000000"/>
        <rFont val="Calibri"/>
      </rPr>
      <t>Check for the use of the "pwquality" retry option in the system-auth and password-auth files with the following command:</t>
    </r>
    <r>
      <rPr>
        <sz val="11"/>
        <color rgb="FF000000"/>
        <rFont val="Calibri"/>
      </rPr>
      <t xml:space="preserve">
</t>
    </r>
    <r>
      <rPr>
        <sz val="11"/>
        <color rgb="FF000000"/>
        <rFont val="Calibri"/>
      </rPr>
      <t>$ sudo grep pwquality /etc/pam.d/system-auth /etc/pam.d/password-auth | grep retry</t>
    </r>
    <r>
      <rPr>
        <sz val="11"/>
        <color rgb="FF000000"/>
        <rFont val="Calibri"/>
      </rPr>
      <t xml:space="preserve">
</t>
    </r>
    <r>
      <rPr>
        <sz val="11"/>
        <color rgb="FF000000"/>
        <rFont val="Calibri"/>
      </rPr>
      <t>If the command returns any results, this is a finding.</t>
    </r>
  </si>
  <si>
    <t>V-252662</t>
  </si>
  <si>
    <r>
      <rPr>
        <sz val="11"/>
        <rFont val="Calibri"/>
      </rPr>
      <t>OL 8 must not enable IPv4 packet forwarding unless the system is a router.</t>
    </r>
  </si>
  <si>
    <r>
      <rPr>
        <sz val="11"/>
        <color rgb="FF000000"/>
        <rFont val="Calibri"/>
      </rPr>
      <t>Configure OL 8 to not allow IPv4 packet forwarding unless the system is a router.</t>
    </r>
    <r>
      <rPr>
        <sz val="11"/>
        <color rgb="FF000000"/>
        <rFont val="Calibri"/>
      </rPr>
      <t xml:space="preserve">
</t>
    </r>
    <r>
      <rPr>
        <sz val="11"/>
        <color rgb="FF000000"/>
        <rFont val="Calibri"/>
      </rPr>
      <t>Add or edit the following line in a single system configuration file in the "/etc/sysctl.d/" directory:</t>
    </r>
    <r>
      <rPr>
        <sz val="11"/>
        <color rgb="FF000000"/>
        <rFont val="Calibri"/>
      </rPr>
      <t xml:space="preserve">
</t>
    </r>
    <r>
      <rPr>
        <sz val="11"/>
        <color rgb="FF000000"/>
        <rFont val="Calibri"/>
      </rPr>
      <t>net.ipv4.conf.all.forwarding = 0</t>
    </r>
    <r>
      <rPr>
        <sz val="11"/>
        <color rgb="FF000000"/>
        <rFont val="Calibri"/>
      </rPr>
      <t xml:space="preserve">
</t>
    </r>
    <r>
      <rPr>
        <sz val="11"/>
        <color rgb="FF000000"/>
        <rFont val="Calibri"/>
      </rPr>
      <t>Load settings from all system configuration files with the following command:</t>
    </r>
    <r>
      <rPr>
        <sz val="11"/>
        <color rgb="FF000000"/>
        <rFont val="Calibri"/>
      </rPr>
      <t xml:space="preserve">
</t>
    </r>
    <r>
      <rPr>
        <sz val="11"/>
        <color rgb="FF000000"/>
        <rFont val="Calibri"/>
      </rPr>
      <t>$ sudo sysctl --system</t>
    </r>
  </si>
  <si>
    <r>
      <rPr>
        <sz val="11"/>
        <color rgb="FF000000"/>
        <rFont val="Calibri"/>
      </rPr>
      <t>Routing protocol daemons are typically used on routers to exchange network topology information with other routers. If this software is used when not required, system network information may be unnecessarily transmitted across the network.</t>
    </r>
    <r>
      <rPr>
        <sz val="11"/>
        <color rgb="FF000000"/>
        <rFont val="Calibri"/>
      </rPr>
      <t xml:space="preserve">
</t>
    </r>
    <r>
      <rPr>
        <sz val="11"/>
        <color rgb="FF000000"/>
        <rFont val="Calibri"/>
      </rPr>
      <t>The sysctl --system command will load settings from all system configuration files.  All configuration files are sorted by their filename in lexicographical order, regardless of the directories in which they reside. If multiple files specify the same option, the entry in the file with the lexicographically latest name will take precedence. Files are read from directories in the following list from top to bottom. Once a file of a given filename is loaded, any file of the same name in subsequent directories is ignored.</t>
    </r>
    <r>
      <rPr>
        <sz val="11"/>
        <color rgb="FF000000"/>
        <rFont val="Calibri"/>
      </rPr>
      <t xml:space="preserve">
</t>
    </r>
    <r>
      <rPr>
        <sz val="11"/>
        <color rgb="FF000000"/>
        <rFont val="Calibri"/>
      </rPr>
      <t>/etc/sysctl.d/*.conf</t>
    </r>
    <r>
      <rPr>
        <sz val="11"/>
        <color rgb="FF000000"/>
        <rFont val="Calibri"/>
      </rPr>
      <t xml:space="preserve">
</t>
    </r>
    <r>
      <rPr>
        <sz val="11"/>
        <color rgb="FF000000"/>
        <rFont val="Calibri"/>
      </rPr>
      <t>/run/sysctl.d/*.conf</t>
    </r>
    <r>
      <rPr>
        <sz val="11"/>
        <color rgb="FF000000"/>
        <rFont val="Calibri"/>
      </rPr>
      <t xml:space="preserve">
</t>
    </r>
    <r>
      <rPr>
        <sz val="11"/>
        <color rgb="FF000000"/>
        <rFont val="Calibri"/>
      </rPr>
      <t>/usr/local/lib/sysctl.d/*.conf</t>
    </r>
    <r>
      <rPr>
        <sz val="11"/>
        <color rgb="FF000000"/>
        <rFont val="Calibri"/>
      </rPr>
      <t xml:space="preserve">
</t>
    </r>
    <r>
      <rPr>
        <sz val="11"/>
        <color rgb="FF000000"/>
        <rFont val="Calibri"/>
      </rPr>
      <t>/usr/lib/sysctl.d/*.conf</t>
    </r>
    <r>
      <rPr>
        <sz val="11"/>
        <color rgb="FF000000"/>
        <rFont val="Calibri"/>
      </rPr>
      <t xml:space="preserve">
</t>
    </r>
    <r>
      <rPr>
        <sz val="11"/>
        <color rgb="FF000000"/>
        <rFont val="Calibri"/>
      </rPr>
      <t>/lib/sysctl.d/*.conf</t>
    </r>
    <r>
      <rPr>
        <sz val="11"/>
        <color rgb="FF000000"/>
        <rFont val="Calibri"/>
      </rPr>
      <t xml:space="preserve">
</t>
    </r>
    <r>
      <rPr>
        <sz val="11"/>
        <color rgb="FF000000"/>
        <rFont val="Calibri"/>
      </rPr>
      <t>/etc/sysctl.conf</t>
    </r>
  </si>
  <si>
    <r>
      <rPr>
        <sz val="11"/>
        <color rgb="FF000000"/>
        <rFont val="Calibri"/>
      </rPr>
      <t>Verify OL 8 is not performing IPv4 packet forwarding, unless the system is a router.</t>
    </r>
    <r>
      <rPr>
        <sz val="11"/>
        <color rgb="FF000000"/>
        <rFont val="Calibri"/>
      </rPr>
      <t xml:space="preserve">
</t>
    </r>
    <r>
      <rPr>
        <sz val="11"/>
        <color rgb="FF000000"/>
        <rFont val="Calibri"/>
      </rPr>
      <t>Check that IPv4 forwarding is disabled using the following command:</t>
    </r>
    <r>
      <rPr>
        <sz val="11"/>
        <color rgb="FF000000"/>
        <rFont val="Calibri"/>
      </rPr>
      <t xml:space="preserve">
</t>
    </r>
    <r>
      <rPr>
        <sz val="11"/>
        <color rgb="FF000000"/>
        <rFont val="Calibri"/>
      </rPr>
      <t>$ sysctl net.ipv4.conf.all.forwarding</t>
    </r>
    <r>
      <rPr>
        <sz val="11"/>
        <color rgb="FF000000"/>
        <rFont val="Calibri"/>
      </rPr>
      <t xml:space="preserve">
</t>
    </r>
    <r>
      <rPr>
        <sz val="11"/>
        <color rgb="FF000000"/>
        <rFont val="Calibri"/>
      </rPr>
      <t>net.ipv4.conf.all.forwarding = 0</t>
    </r>
    <r>
      <rPr>
        <sz val="11"/>
        <color rgb="FF000000"/>
        <rFont val="Calibri"/>
      </rPr>
      <t xml:space="preserve">
</t>
    </r>
    <r>
      <rPr>
        <sz val="11"/>
        <color rgb="FF000000"/>
        <rFont val="Calibri"/>
      </rPr>
      <t>If the IPv4 forwarding value is not "0" and is not documented with the information system security officer (ISSO) as an operational requirement, this is a finding.</t>
    </r>
  </si>
  <si>
    <t>V-252663</t>
  </si>
  <si>
    <r>
      <rPr>
        <sz val="11"/>
        <rFont val="Calibri"/>
      </rPr>
      <t>The graphical display manager must not be the default target on OL 8 unless approved.</t>
    </r>
  </si>
  <si>
    <r>
      <rPr>
        <sz val="11"/>
        <color rgb="FF000000"/>
        <rFont val="Calibri"/>
      </rPr>
      <t>Document the requirement for a graphical user interface with the ISSO or reinstall the operating system without the graphical user interface. If reinstallation is not feasible, then continue with the following procedure:</t>
    </r>
    <r>
      <rPr>
        <sz val="11"/>
        <color rgb="FF000000"/>
        <rFont val="Calibri"/>
      </rPr>
      <t xml:space="preserve">
</t>
    </r>
    <r>
      <rPr>
        <sz val="11"/>
        <color rgb="FF000000"/>
        <rFont val="Calibri"/>
      </rPr>
      <t>Open an SSH session and enter the following commands:</t>
    </r>
    <r>
      <rPr>
        <sz val="11"/>
        <color rgb="FF000000"/>
        <rFont val="Calibri"/>
      </rPr>
      <t xml:space="preserve">
</t>
    </r>
    <r>
      <rPr>
        <sz val="11"/>
        <color rgb="FF000000"/>
        <rFont val="Calibri"/>
      </rPr>
      <t>$ sudo systemctl set-default multi-user.target</t>
    </r>
    <r>
      <rPr>
        <sz val="11"/>
        <color rgb="FF000000"/>
        <rFont val="Calibri"/>
      </rPr>
      <t xml:space="preserve">
</t>
    </r>
    <r>
      <rPr>
        <sz val="11"/>
        <color rgb="FF000000"/>
        <rFont val="Calibri"/>
      </rPr>
      <t>A reboot is required for the changes to take effect.</t>
    </r>
  </si>
  <si>
    <r>
      <rPr>
        <sz val="11"/>
        <color rgb="FF000000"/>
        <rFont val="Calibri"/>
      </rPr>
      <t>Internet services that are not required for system or application processes must not be active to decrease the attack surface of the system. Graphical display managers have a long history of security vulnerabilities and must not be used, unless approved and documented.</t>
    </r>
  </si>
  <si>
    <r>
      <rPr>
        <sz val="11"/>
        <color rgb="FF000000"/>
        <rFont val="Calibri"/>
      </rPr>
      <t>Verify that the system is configured to boot to the command line:</t>
    </r>
    <r>
      <rPr>
        <sz val="11"/>
        <color rgb="FF000000"/>
        <rFont val="Calibri"/>
      </rPr>
      <t xml:space="preserve">
</t>
    </r>
    <r>
      <rPr>
        <sz val="11"/>
        <color rgb="FF000000"/>
        <rFont val="Calibri"/>
      </rPr>
      <t>$ systemctl get-default</t>
    </r>
    <r>
      <rPr>
        <sz val="11"/>
        <color rgb="FF000000"/>
        <rFont val="Calibri"/>
      </rPr>
      <t xml:space="preserve">
</t>
    </r>
    <r>
      <rPr>
        <sz val="11"/>
        <color rgb="FF000000"/>
        <rFont val="Calibri"/>
      </rPr>
      <t>multi-user.target</t>
    </r>
    <r>
      <rPr>
        <sz val="11"/>
        <color rgb="FF000000"/>
        <rFont val="Calibri"/>
      </rPr>
      <t xml:space="preserve">
</t>
    </r>
    <r>
      <rPr>
        <sz val="11"/>
        <color rgb="FF000000"/>
        <rFont val="Calibri"/>
      </rPr>
      <t>If the system default target is not set to "multi-user.target" and the Information System Security Officer (ISSO) lacks a documented requirement for a graphical user interface, this is a finding.</t>
    </r>
  </si>
  <si>
    <t>V-256978</t>
  </si>
  <si>
    <r>
      <rPr>
        <sz val="11"/>
        <rFont val="Calibri"/>
      </rPr>
      <t>OL 8 must ensure cryptographic verification of vendor software packages.</t>
    </r>
  </si>
  <si>
    <r>
      <rPr>
        <sz val="11"/>
        <color rgb="FF000000"/>
        <rFont val="Calibri"/>
      </rPr>
      <t>Install Oracle package-signing key on the system and verify its fingerprint matches vendor value.</t>
    </r>
    <r>
      <rPr>
        <sz val="11"/>
        <color rgb="FF000000"/>
        <rFont val="Calibri"/>
      </rPr>
      <t xml:space="preserve">
</t>
    </r>
    <r>
      <rPr>
        <sz val="11"/>
        <color rgb="FF000000"/>
        <rFont val="Calibri"/>
      </rPr>
      <t>Insert OL 8 installation disc or attach OL 8 installation image to the system. Mount the disc or image to make the contents accessible inside the system.</t>
    </r>
    <r>
      <rPr>
        <sz val="11"/>
        <color rgb="FF000000"/>
        <rFont val="Calibri"/>
      </rPr>
      <t xml:space="preserve">
</t>
    </r>
    <r>
      <rPr>
        <sz val="11"/>
        <color rgb="FF000000"/>
        <rFont val="Calibri"/>
      </rPr>
      <t>Assuming the mounted location is "/media/cdrom", use the following command to copy Oracle GPG key file onto the system:</t>
    </r>
    <r>
      <rPr>
        <sz val="11"/>
        <color rgb="FF000000"/>
        <rFont val="Calibri"/>
      </rPr>
      <t xml:space="preserve">
</t>
    </r>
    <r>
      <rPr>
        <sz val="11"/>
        <color rgb="FF000000"/>
        <rFont val="Calibri"/>
      </rPr>
      <t xml:space="preserve">     $ sudo cp /media/cdrom/RPM-GPG-KEY-oracle /etc/pki/rpm-gpg/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Import Oracle GPG keys from key file into system keyring:</t>
    </r>
    <r>
      <rPr>
        <sz val="11"/>
        <color rgb="FF000000"/>
        <rFont val="Calibri"/>
      </rPr>
      <t xml:space="preserve">
</t>
    </r>
    <r>
      <rPr>
        <sz val="11"/>
        <color rgb="FF000000"/>
        <rFont val="Calibri"/>
      </rPr>
      <t xml:space="preserve">     $ sudo rpm --import /etc/pki/rpm-gpg/RPM-GPG-KEY-oracle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Using the steps listed in the Check Text, confirm the newly imported key shows as installed on the system and verify its fingerprint matches vendor value.</t>
    </r>
  </si>
  <si>
    <r>
      <rPr>
        <sz val="11"/>
        <color rgb="FF000000"/>
        <rFont val="Calibri"/>
      </rPr>
      <t>Cryptographic verification of vendor software packages ensures that all software packages are obtained from a valid source and protects against spoofing that could lead to installation of malware on the system. Oracle cryptographically signs all software packages, which includes updates, with a GPG key to verify that they are valid.</t>
    </r>
  </si>
  <si>
    <r>
      <rPr>
        <sz val="11"/>
        <color rgb="FF000000"/>
        <rFont val="Calibri"/>
      </rPr>
      <t>Confirm Oracle package-signing key is installed on the system and verify its fingerprint matches vendor value.</t>
    </r>
    <r>
      <rPr>
        <sz val="11"/>
        <color rgb="FF000000"/>
        <rFont val="Calibri"/>
      </rPr>
      <t xml:space="preserve">
</t>
    </r>
    <r>
      <rPr>
        <sz val="11"/>
        <color rgb="FF000000"/>
        <rFont val="Calibri"/>
      </rPr>
      <t>Note: The GPG key is defined in key file "/etc/pki/rpm-gpg/RPM-GPG-KEY-oracle" by default.</t>
    </r>
    <r>
      <rPr>
        <sz val="11"/>
        <color rgb="FF000000"/>
        <rFont val="Calibri"/>
      </rPr>
      <t xml:space="preserve">
</t>
    </r>
    <r>
      <rPr>
        <sz val="11"/>
        <color rgb="FF000000"/>
        <rFont val="Calibri"/>
      </rPr>
      <t>List Oracle GPG keys installed on the system:</t>
    </r>
    <r>
      <rPr>
        <sz val="11"/>
        <color rgb="FF000000"/>
        <rFont val="Calibri"/>
      </rPr>
      <t xml:space="preserve">
</t>
    </r>
    <r>
      <rPr>
        <sz val="11"/>
        <color rgb="FF000000"/>
        <rFont val="Calibri"/>
      </rPr>
      <t xml:space="preserve">     $ sudo rpm -q --queryformat "%{SUMMARY}\n" gpg-pubkey | grep -i "oracle"</t>
    </r>
    <r>
      <rPr>
        <sz val="11"/>
        <color rgb="FF000000"/>
        <rFont val="Calibri"/>
      </rPr>
      <t xml:space="preserve">
</t>
    </r>
    <r>
      <rPr>
        <sz val="11"/>
        <color rgb="FF000000"/>
        <rFont val="Calibri"/>
      </rPr>
      <t xml:space="preserve">     gpg(Oracle OSS group (Open Source Software group) &lt;build@oss.oracle.com&gt;)</t>
    </r>
    <r>
      <rPr>
        <sz val="11"/>
        <color rgb="FF000000"/>
        <rFont val="Calibri"/>
      </rPr>
      <t xml:space="preserve">
</t>
    </r>
    <r>
      <rPr>
        <sz val="11"/>
        <color rgb="FF000000"/>
        <rFont val="Calibri"/>
      </rPr>
      <t>If Oracle GPG key is not installed, this is a finding.</t>
    </r>
    <r>
      <rPr>
        <sz val="11"/>
        <color rgb="FF000000"/>
        <rFont val="Calibri"/>
      </rPr>
      <t xml:space="preserve">
</t>
    </r>
    <r>
      <rPr>
        <sz val="11"/>
        <color rgb="FF000000"/>
        <rFont val="Calibri"/>
      </rPr>
      <t>List key fingerprint of installed Oracle GPG key:</t>
    </r>
    <r>
      <rPr>
        <sz val="11"/>
        <color rgb="FF000000"/>
        <rFont val="Calibri"/>
      </rPr>
      <t xml:space="preserve">
</t>
    </r>
    <r>
      <rPr>
        <sz val="11"/>
        <color rgb="FF000000"/>
        <rFont val="Calibri"/>
      </rPr>
      <t xml:space="preserve">     $ sudo gpg -q --keyid-format short --with-fingerprint /etc/pki/rpm-gpg/RPM-GPG-KEY-oracle</t>
    </r>
    <r>
      <rPr>
        <sz val="11"/>
        <color rgb="FF000000"/>
        <rFont val="Calibri"/>
      </rPr>
      <t xml:space="preserve">
</t>
    </r>
    <r>
      <rPr>
        <sz val="11"/>
        <color rgb="FF000000"/>
        <rFont val="Calibri"/>
      </rPr>
      <t>If key file "/etc/pki/rpm-gpg/RPM-GPG-KEY-oracle" is missing, this is a finding.</t>
    </r>
    <r>
      <rPr>
        <sz val="11"/>
        <color rgb="FF000000"/>
        <rFont val="Calibri"/>
      </rPr>
      <t xml:space="preserve">
</t>
    </r>
    <r>
      <rPr>
        <sz val="11"/>
        <color rgb="FF000000"/>
        <rFont val="Calibri"/>
      </rPr>
      <t>Example output:</t>
    </r>
    <r>
      <rPr>
        <sz val="11"/>
        <color rgb="FF000000"/>
        <rFont val="Calibri"/>
      </rPr>
      <t xml:space="preserve">
</t>
    </r>
    <r>
      <rPr>
        <sz val="11"/>
        <color rgb="FF000000"/>
        <rFont val="Calibri"/>
      </rPr>
      <t xml:space="preserve">     pub   rsa4096/AD986DA3 2019-04-09 [SC] [expires: 2039-04-04]</t>
    </r>
    <r>
      <rPr>
        <sz val="11"/>
        <color rgb="FF000000"/>
        <rFont val="Calibri"/>
      </rPr>
      <t xml:space="preserve">
</t>
    </r>
    <r>
      <rPr>
        <sz val="11"/>
        <color rgb="FF000000"/>
        <rFont val="Calibri"/>
      </rPr>
      <t xml:space="preserve">           Key fingerprint = 76FD 3DB1 3AB6 7410 B89D  B10E 8256 2EA9 AD98 6DA3</t>
    </r>
    <r>
      <rPr>
        <sz val="11"/>
        <color rgb="FF000000"/>
        <rFont val="Calibri"/>
      </rPr>
      <t xml:space="preserve">
</t>
    </r>
    <r>
      <rPr>
        <sz val="11"/>
        <color rgb="FF000000"/>
        <rFont val="Calibri"/>
      </rPr>
      <t xml:space="preserve">     uid                   Oracle OSS group (Open Source Software group) &lt;build@oss.oracle.com&gt;</t>
    </r>
    <r>
      <rPr>
        <sz val="11"/>
        <color rgb="FF000000"/>
        <rFont val="Calibri"/>
      </rPr>
      <t xml:space="preserve">
</t>
    </r>
    <r>
      <rPr>
        <sz val="11"/>
        <color rgb="FF000000"/>
        <rFont val="Calibri"/>
      </rPr>
      <t xml:space="preserve">     sub   rsa4096/D95DC12B 2019-04-09 [E] [expires: 2039-04-04]</t>
    </r>
    <r>
      <rPr>
        <sz val="11"/>
        <color rgb="FF000000"/>
        <rFont val="Calibri"/>
      </rPr>
      <t xml:space="preserve">
</t>
    </r>
    <r>
      <rPr>
        <sz val="11"/>
        <color rgb="FF000000"/>
        <rFont val="Calibri"/>
      </rPr>
      <t>Compare key fingerprint of installed Oracle GPG key with fingerprint listed for OL 8 on Oracle verification webpage at https://linux.oracle.com/security/gpg/#gpg.</t>
    </r>
    <r>
      <rPr>
        <sz val="11"/>
        <color rgb="FF000000"/>
        <rFont val="Calibri"/>
      </rPr>
      <t xml:space="preserve">
</t>
    </r>
    <r>
      <rPr>
        <sz val="11"/>
        <color rgb="FF000000"/>
        <rFont val="Calibri"/>
      </rPr>
      <t>If key fingerprint does not match, this is a finding.</t>
    </r>
  </si>
  <si>
    <t>V-256979</t>
  </si>
  <si>
    <r>
      <rPr>
        <sz val="11"/>
        <rFont val="Calibri"/>
      </rPr>
      <t>OL 8 must be configured to allow sending email notifications of unauthorized configuration changes to designated personnel.</t>
    </r>
  </si>
  <si>
    <r>
      <rPr>
        <sz val="11"/>
        <color rgb="FF000000"/>
        <rFont val="Calibri"/>
      </rPr>
      <t>Install the "mailx" package on the system:</t>
    </r>
    <r>
      <rPr>
        <sz val="11"/>
        <color rgb="FF000000"/>
        <rFont val="Calibri"/>
      </rPr>
      <t xml:space="preserve">
</t>
    </r>
    <r>
      <rPr>
        <sz val="11"/>
        <color rgb="FF000000"/>
        <rFont val="Calibri"/>
      </rPr>
      <t xml:space="preserve">     $ sudo yum install mailx</t>
    </r>
  </si>
  <si>
    <r>
      <rPr>
        <sz val="11"/>
        <color rgb="FF000000"/>
        <rFont val="Calibri"/>
      </rPr>
      <t>Unauthorized changes to the baseline configuration could make the system vulnerable to various attacks or allow unauthorized access to the operating system. Changes to operating system configurations can have unintended side effects, some of which may be relevant to security.</t>
    </r>
    <r>
      <rPr>
        <sz val="11"/>
        <color rgb="FF000000"/>
        <rFont val="Calibri"/>
      </rPr>
      <t xml:space="preserve">
</t>
    </r>
    <r>
      <rPr>
        <sz val="11"/>
        <color rgb="FF000000"/>
        <rFont val="Calibri"/>
      </rPr>
      <t>Detecting such changes and providing an automated response can help avoid unintended, negative consequences that could ultimately affect the security state of the operating system. The operating system's IMO/ISSO and SAs must be notified via email and/or monitoring system trap when there is an unauthorized modification of a configuration item.</t>
    </r>
  </si>
  <si>
    <r>
      <rPr>
        <sz val="11"/>
        <color rgb="FF000000"/>
        <rFont val="Calibri"/>
      </rPr>
      <t>Verify that the operating system is configured to allow sending email notifications.</t>
    </r>
    <r>
      <rPr>
        <sz val="11"/>
        <color rgb="FF000000"/>
        <rFont val="Calibri"/>
      </rPr>
      <t xml:space="preserve">
</t>
    </r>
    <r>
      <rPr>
        <sz val="11"/>
        <color rgb="FF000000"/>
        <rFont val="Calibri"/>
      </rPr>
      <t>Note: The "mailx" package provides the "mail" command that is used to send email messages.</t>
    </r>
    <r>
      <rPr>
        <sz val="11"/>
        <color rgb="FF000000"/>
        <rFont val="Calibri"/>
      </rPr>
      <t xml:space="preserve">
</t>
    </r>
    <r>
      <rPr>
        <sz val="11"/>
        <color rgb="FF000000"/>
        <rFont val="Calibri"/>
      </rPr>
      <t>Verify that the "mailx" package is installed on the system:</t>
    </r>
    <r>
      <rPr>
        <sz val="11"/>
        <color rgb="FF000000"/>
        <rFont val="Calibri"/>
      </rPr>
      <t xml:space="preserve">
</t>
    </r>
    <r>
      <rPr>
        <sz val="11"/>
        <color rgb="FF000000"/>
        <rFont val="Calibri"/>
      </rPr>
      <t xml:space="preserve">     $ sudo yum list installed mailx</t>
    </r>
    <r>
      <rPr>
        <sz val="11"/>
        <color rgb="FF000000"/>
        <rFont val="Calibri"/>
      </rPr>
      <t xml:space="preserve">
</t>
    </r>
    <r>
      <rPr>
        <sz val="11"/>
        <color rgb="FF000000"/>
        <rFont val="Calibri"/>
      </rPr>
      <t xml:space="preserve">     mailx.x86_64     12.5-29.el8     @ol8_baseos_latest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"mailx" package is not installed, this is a finding.</t>
    </r>
  </si>
  <si>
    <t>V-257259</t>
  </si>
  <si>
    <r>
      <rPr>
        <sz val="11"/>
        <rFont val="Calibri"/>
      </rPr>
      <t>OL 8 must terminate idle user sessions.</t>
    </r>
  </si>
  <si>
    <r>
      <rPr>
        <sz val="11"/>
        <color rgb="FF000000"/>
        <rFont val="Calibri"/>
      </rPr>
      <t>Configure OL 8 to log out idle sessions.</t>
    </r>
    <r>
      <rPr>
        <sz val="11"/>
        <color rgb="FF000000"/>
        <rFont val="Calibri"/>
      </rPr>
      <t xml:space="preserve">
</t>
    </r>
    <r>
      <rPr>
        <sz val="11"/>
        <color rgb="FF000000"/>
        <rFont val="Calibri"/>
      </rPr>
      <t>Create the directory if necessary:</t>
    </r>
    <r>
      <rPr>
        <sz val="11"/>
        <color rgb="FF000000"/>
        <rFont val="Calibri"/>
      </rPr>
      <t xml:space="preserve">
</t>
    </r>
    <r>
      <rPr>
        <sz val="11"/>
        <color rgb="FF000000"/>
        <rFont val="Calibri"/>
      </rPr>
      <t>$ mkdir -p /etc/systemd/logind.conf.d/</t>
    </r>
    <r>
      <rPr>
        <sz val="11"/>
        <color rgb="FF000000"/>
        <rFont val="Calibri"/>
      </rPr>
      <t xml:space="preserve">
</t>
    </r>
    <r>
      <rPr>
        <sz val="11"/>
        <color rgb="FF000000"/>
        <rFont val="Calibri"/>
      </rPr>
      <t>Create a *.conf file in /etc/systemd/logind.conf.d/ with the following content:</t>
    </r>
    <r>
      <rPr>
        <sz val="11"/>
        <color rgb="FF000000"/>
        <rFont val="Calibri"/>
      </rPr>
      <t xml:space="preserve">
</t>
    </r>
    <r>
      <rPr>
        <sz val="11"/>
        <color rgb="FF000000"/>
        <rFont val="Calibri"/>
      </rPr>
      <t>[Login]</t>
    </r>
    <r>
      <rPr>
        <sz val="11"/>
        <color rgb="FF000000"/>
        <rFont val="Calibri"/>
      </rPr>
      <t xml:space="preserve">
</t>
    </r>
    <r>
      <rPr>
        <sz val="11"/>
        <color rgb="FF000000"/>
        <rFont val="Calibri"/>
      </rPr>
      <t>StopIdleSessionSec=600</t>
    </r>
    <r>
      <rPr>
        <sz val="11"/>
        <color rgb="FF000000"/>
        <rFont val="Calibri"/>
      </rPr>
      <t xml:space="preserve">
</t>
    </r>
    <r>
      <rPr>
        <sz val="11"/>
        <color rgb="FF000000"/>
        <rFont val="Calibri"/>
      </rPr>
      <t>KillUserProcesses=no</t>
    </r>
    <r>
      <rPr>
        <sz val="11"/>
        <color rgb="FF000000"/>
        <rFont val="Calibri"/>
      </rPr>
      <t xml:space="preserve">
</t>
    </r>
    <r>
      <rPr>
        <sz val="11"/>
        <color rgb="FF000000"/>
        <rFont val="Calibri"/>
      </rPr>
      <t>Restart systemd-logind:</t>
    </r>
    <r>
      <rPr>
        <sz val="11"/>
        <color rgb="FF000000"/>
        <rFont val="Calibri"/>
      </rPr>
      <t xml:space="preserve">
</t>
    </r>
    <r>
      <rPr>
        <sz val="11"/>
        <color rgb="FF000000"/>
        <rFont val="Calibri"/>
      </rPr>
      <t>$ systemctl restart systemd-logind</t>
    </r>
  </si>
  <si>
    <r>
      <rPr>
        <sz val="11"/>
        <color rgb="FF000000"/>
        <rFont val="Calibri"/>
      </rPr>
      <t>Terminating an idle session within a short time period reduces the window of opportunity for unauthorized personnel to take control of a management session enabled on the console or console port that has been left unattended.</t>
    </r>
  </si>
  <si>
    <r>
      <rPr>
        <sz val="11"/>
        <color rgb="FF000000"/>
        <rFont val="Calibri"/>
      </rPr>
      <t>Verify OL 8 logs out sessions that are idle for 10 minutes with the following command:</t>
    </r>
    <r>
      <rPr>
        <sz val="11"/>
        <color rgb="FF000000"/>
        <rFont val="Calibri"/>
      </rPr>
      <t xml:space="preserve">
</t>
    </r>
    <r>
      <rPr>
        <sz val="11"/>
        <color rgb="FF000000"/>
        <rFont val="Calibri"/>
      </rPr>
      <t>$ systemd-analyze cat-config systemd/logind.conf | grep StopIdleSessionSec</t>
    </r>
    <r>
      <rPr>
        <sz val="11"/>
        <color rgb="FF000000"/>
        <rFont val="Calibri"/>
      </rPr>
      <t xml:space="preserve">
</t>
    </r>
    <r>
      <rPr>
        <sz val="11"/>
        <color rgb="FF000000"/>
        <rFont val="Calibri"/>
      </rPr>
      <t>#StopIdleSessionSec=infinity</t>
    </r>
    <r>
      <rPr>
        <sz val="11"/>
        <color rgb="FF000000"/>
        <rFont val="Calibri"/>
      </rPr>
      <t xml:space="preserve">
</t>
    </r>
    <r>
      <rPr>
        <sz val="11"/>
        <color rgb="FF000000"/>
        <rFont val="Calibri"/>
      </rPr>
      <t>StopIdleSessionSec=600</t>
    </r>
    <r>
      <rPr>
        <sz val="11"/>
        <color rgb="FF000000"/>
        <rFont val="Calibri"/>
      </rPr>
      <t xml:space="preserve">
</t>
    </r>
    <r>
      <rPr>
        <sz val="11"/>
        <color rgb="FF000000"/>
        <rFont val="Calibri"/>
      </rPr>
      <t>If "StopIdleSessionSec" is not configured to "600" seconds, this is a finding.</t>
    </r>
  </si>
  <si>
    <t>V-274876</t>
  </si>
  <si>
    <r>
      <rPr>
        <sz val="11"/>
        <rFont val="Calibri"/>
      </rPr>
      <t>OL 8 must audit any script or executable called by cron as root or by any privileged user.</t>
    </r>
  </si>
  <si>
    <r>
      <rPr>
        <sz val="11"/>
        <color rgb="FF000000"/>
        <rFont val="Calibri"/>
      </rPr>
      <t>Configure OL 8 to audit the execution of any system call made by cron as root or as any privileged user.</t>
    </r>
    <r>
      <rPr>
        <sz val="11"/>
        <color rgb="FF000000"/>
        <rFont val="Calibri"/>
      </rPr>
      <t xml:space="preserve">
</t>
    </r>
    <r>
      <rPr>
        <sz val="11"/>
        <color rgb="FF000000"/>
        <rFont val="Calibri"/>
      </rPr>
      <t>Add or update the following file system rules to "/etc/audit/rules.d/audit.rules":</t>
    </r>
    <r>
      <rPr>
        <sz val="11"/>
        <color rgb="FF000000"/>
        <rFont val="Calibri"/>
      </rPr>
      <t xml:space="preserve">
</t>
    </r>
    <r>
      <rPr>
        <sz val="11"/>
        <color rgb="FF000000"/>
        <rFont val="Calibri"/>
      </rPr>
      <t>-w /etc/cron.d/ -p wa -k cronjobs</t>
    </r>
    <r>
      <rPr>
        <sz val="11"/>
        <color rgb="FF000000"/>
        <rFont val="Calibri"/>
      </rPr>
      <t xml:space="preserve">
</t>
    </r>
    <r>
      <rPr>
        <sz val="11"/>
        <color rgb="FF000000"/>
        <rFont val="Calibri"/>
      </rPr>
      <t>-w /var/spool/cron/ -p wa -k cronjobs</t>
    </r>
    <r>
      <rPr>
        <sz val="11"/>
        <color rgb="FF000000"/>
        <rFont val="Calibri"/>
      </rPr>
      <t xml:space="preserve">
</t>
    </r>
    <r>
      <rPr>
        <sz val="11"/>
        <color rgb="FF000000"/>
        <rFont val="Calibri"/>
      </rPr>
      <t>To load the rules to the kernel immediately, use the following command:</t>
    </r>
    <r>
      <rPr>
        <sz val="11"/>
        <color rgb="FF000000"/>
        <rFont val="Calibri"/>
      </rPr>
      <t xml:space="preserve">
</t>
    </r>
    <r>
      <rPr>
        <sz val="11"/>
        <color rgb="FF000000"/>
        <rFont val="Calibri"/>
      </rPr>
      <t>$ sudo augenrules --load</t>
    </r>
  </si>
  <si>
    <r>
      <rPr>
        <sz val="11"/>
        <color rgb="FF000000"/>
        <rFont val="Calibri"/>
      </rPr>
      <t>Any script or executable called by cron as root or by any privileged user must be owned by that user and must have the permissions 755 or more restrictive and should have no extended rights that allow any nonprivileged user to modify the script or executable.</t>
    </r>
  </si>
  <si>
    <r>
      <rPr>
        <sz val="11"/>
        <color rgb="FF000000"/>
        <rFont val="Calibri"/>
      </rPr>
      <t>Verify OL 8 is configured to audit the execution of any system call made by cron as root or as any privileged user.</t>
    </r>
    <r>
      <rPr>
        <sz val="11"/>
        <color rgb="FF000000"/>
        <rFont val="Calibri"/>
      </rPr>
      <t xml:space="preserve">
</t>
    </r>
    <r>
      <rPr>
        <sz val="11"/>
        <color rgb="FF000000"/>
        <rFont val="Calibri"/>
      </rPr>
      <t>$ sudo auditctl -l | grep /etc/cron.d</t>
    </r>
    <r>
      <rPr>
        <sz val="11"/>
        <color rgb="FF000000"/>
        <rFont val="Calibri"/>
      </rPr>
      <t xml:space="preserve">
</t>
    </r>
    <r>
      <rPr>
        <sz val="11"/>
        <color rgb="FF000000"/>
        <rFont val="Calibri"/>
      </rPr>
      <t>-w /etc/cron.d -p wa -k cronjobs</t>
    </r>
    <r>
      <rPr>
        <sz val="11"/>
        <color rgb="FF000000"/>
        <rFont val="Calibri"/>
      </rPr>
      <t xml:space="preserve">
</t>
    </r>
    <r>
      <rPr>
        <sz val="11"/>
        <color rgb="FF000000"/>
        <rFont val="Calibri"/>
      </rPr>
      <t>$ sudo auditctl -l | grep /var/spool/cron</t>
    </r>
    <r>
      <rPr>
        <sz val="11"/>
        <color rgb="FF000000"/>
        <rFont val="Calibri"/>
      </rPr>
      <t xml:space="preserve">
</t>
    </r>
    <r>
      <rPr>
        <sz val="11"/>
        <color rgb="FF000000"/>
        <rFont val="Calibri"/>
      </rPr>
      <t>-w /var/spool/cron -p wa -k cronjobs</t>
    </r>
    <r>
      <rPr>
        <sz val="11"/>
        <color rgb="FF000000"/>
        <rFont val="Calibri"/>
      </rPr>
      <t xml:space="preserve">
</t>
    </r>
    <r>
      <rPr>
        <sz val="11"/>
        <color rgb="FF000000"/>
        <rFont val="Calibri"/>
      </rPr>
      <t>If either of these commands do not return the expected output, or the lines are commented out, this is a finding.</t>
    </r>
  </si>
  <si>
    <t>V-279934</t>
  </si>
  <si>
    <r>
      <rPr>
        <sz val="11"/>
        <rFont val="Calibri"/>
      </rPr>
      <t>OL 8 must automatically exit interactive command shell user sessions after 10 minutes of inactivity.</t>
    </r>
  </si>
  <si>
    <r>
      <rPr>
        <sz val="11"/>
        <color rgb="FF000000"/>
        <rFont val="Calibri"/>
      </rPr>
      <t>Configure OL 8 to exit interactive command shell user sessions after 10 minutes of inactivity.</t>
    </r>
    <r>
      <rPr>
        <sz val="11"/>
        <color rgb="FF000000"/>
        <rFont val="Calibri"/>
      </rPr>
      <t xml:space="preserve">
</t>
    </r>
    <r>
      <rPr>
        <sz val="11"/>
        <color rgb="FF000000"/>
        <rFont val="Calibri"/>
      </rPr>
      <t>Add or edit the following line in "/etc/profile.d/tmout.sh":</t>
    </r>
    <r>
      <rPr>
        <sz val="11"/>
        <color rgb="FF000000"/>
        <rFont val="Calibri"/>
      </rPr>
      <t xml:space="preserve">
</t>
    </r>
    <r>
      <rPr>
        <sz val="11"/>
        <color rgb="FF000000"/>
        <rFont val="Calibri"/>
      </rPr>
      <t>#!/bin/bash</t>
    </r>
    <r>
      <rPr>
        <sz val="11"/>
        <color rgb="FF000000"/>
        <rFont val="Calibri"/>
      </rPr>
      <t xml:space="preserve">
</t>
    </r>
    <r>
      <rPr>
        <sz val="11"/>
        <color rgb="FF000000"/>
        <rFont val="Calibri"/>
      </rPr>
      <t>declare -xr TMOUT=600</t>
    </r>
  </si>
  <si>
    <r>
      <rPr>
        <sz val="11"/>
        <color rgb="FF000000"/>
        <rFont val="Calibri"/>
      </rPr>
      <t>Terminating an idle interactive command shell user session within a short time period reduces the window of opportunity for unauthorized personnel to take control of it when left unattended in a virtual terminal or physical console.</t>
    </r>
    <r>
      <rPr>
        <sz val="11"/>
        <color rgb="FF000000"/>
        <rFont val="Calibri"/>
      </rPr>
      <t xml:space="preserve">
</t>
    </r>
    <r>
      <rPr>
        <sz val="11"/>
        <color rgb="FF000000"/>
        <rFont val="Calibri"/>
      </rPr>
      <t>Satisfies: SRG-OS-000163-GPOS-00072, SRG-OS-000029-GPOS-00010</t>
    </r>
  </si>
  <si>
    <r>
      <rPr>
        <sz val="11"/>
        <color rgb="FF000000"/>
        <rFont val="Calibri"/>
      </rPr>
      <t>Verify OL 8 is configured to exit interactive command shell user sessions after 10 minutes of inactivity or less with the following command:</t>
    </r>
    <r>
      <rPr>
        <sz val="11"/>
        <color rgb="FF000000"/>
        <rFont val="Calibri"/>
      </rPr>
      <t xml:space="preserve">
</t>
    </r>
    <r>
      <rPr>
        <sz val="11"/>
        <color rgb="FF000000"/>
        <rFont val="Calibri"/>
      </rPr>
      <t>$ sudo grep -i tmout /etc/profile /etc/profile.d/*.sh</t>
    </r>
    <r>
      <rPr>
        <sz val="11"/>
        <color rgb="FF000000"/>
        <rFont val="Calibri"/>
      </rPr>
      <t xml:space="preserve">
</t>
    </r>
    <r>
      <rPr>
        <sz val="11"/>
        <color rgb="FF000000"/>
        <rFont val="Calibri"/>
      </rPr>
      <t>/etc/profile.d/tmout.sh:declare -xr TMOUT=600</t>
    </r>
    <r>
      <rPr>
        <sz val="11"/>
        <color rgb="FF000000"/>
        <rFont val="Calibri"/>
      </rPr>
      <t xml:space="preserve">
</t>
    </r>
    <r>
      <rPr>
        <sz val="11"/>
        <color rgb="FF000000"/>
        <rFont val="Calibri"/>
      </rPr>
      <t>If "TMOUT" is not set to "600" or less in a script located in the "/etc/'profile.d/ directory, is missing or is commented out, this is a finding.</t>
    </r>
  </si>
  <si>
    <t>V-283444</t>
  </si>
  <si>
    <r>
      <rPr>
        <sz val="11"/>
        <rFont val="Calibri"/>
      </rPr>
      <t>OL 8 must have the crypto-policies package installed.</t>
    </r>
  </si>
  <si>
    <r>
      <rPr>
        <sz val="11"/>
        <color rgb="FF000000"/>
        <rFont val="Calibri"/>
      </rPr>
      <t>Install the crypto-policies package with the following command:</t>
    </r>
    <r>
      <rPr>
        <sz val="11"/>
        <color rgb="FF000000"/>
        <rFont val="Calibri"/>
      </rPr>
      <t xml:space="preserve">
</t>
    </r>
    <r>
      <rPr>
        <sz val="11"/>
        <color rgb="FF000000"/>
        <rFont val="Calibri"/>
      </rPr>
      <t>$ sudo dnf -y install crypto-policies</t>
    </r>
  </si>
  <si>
    <r>
      <rPr>
        <sz val="11"/>
        <color rgb="FF000000"/>
        <rFont val="Calibri"/>
      </rPr>
      <t>Centralized cryptographic policies simplify applying secure ciphers across an operating system and the applications that run on that operating system. Using weak or untested encryption algorithms undermines the purposes of using encryption to protect data.</t>
    </r>
    <r>
      <rPr>
        <sz val="11"/>
        <color rgb="FF000000"/>
        <rFont val="Calibri"/>
      </rPr>
      <t xml:space="preserve">
</t>
    </r>
    <r>
      <rPr>
        <sz val="11"/>
        <color rgb="FF000000"/>
        <rFont val="Calibri"/>
      </rPr>
      <t>Satisfies: SRG-OS-000396-GPOS-00176, SRG-OS-000393-GPOS-00173, SRG-OS-000394-GPOS-00174</t>
    </r>
  </si>
  <si>
    <r>
      <rPr>
        <sz val="11"/>
        <color rgb="FF000000"/>
        <rFont val="Calibri"/>
      </rPr>
      <t>Verify the OL 8 crypto-policies package is installed with the following command:</t>
    </r>
    <r>
      <rPr>
        <sz val="11"/>
        <color rgb="FF000000"/>
        <rFont val="Calibri"/>
      </rPr>
      <t xml:space="preserve">
</t>
    </r>
    <r>
      <rPr>
        <sz val="11"/>
        <color rgb="FF000000"/>
        <rFont val="Calibri"/>
      </rPr>
      <t>$ dnf list --installed crypto-policies</t>
    </r>
    <r>
      <rPr>
        <sz val="11"/>
        <color rgb="FF000000"/>
        <rFont val="Calibri"/>
      </rPr>
      <t xml:space="preserve">
</t>
    </r>
    <r>
      <rPr>
        <sz val="11"/>
        <color rgb="FF000000"/>
        <rFont val="Calibri"/>
      </rPr>
      <t>Installed Packages</t>
    </r>
    <r>
      <rPr>
        <sz val="11"/>
        <color rgb="FF000000"/>
        <rFont val="Calibri"/>
      </rPr>
      <t xml:space="preserve">
</t>
    </r>
    <r>
      <rPr>
        <sz val="11"/>
        <color rgb="FF000000"/>
        <rFont val="Calibri"/>
      </rPr>
      <t>crypto-policies.noarch                           20230731-1.git3177e06.el8                            @ol8_baseos_latest</t>
    </r>
    <r>
      <rPr>
        <sz val="11"/>
        <color rgb="FF000000"/>
        <rFont val="Calibri"/>
      </rPr>
      <t xml:space="preserve">
</t>
    </r>
    <r>
      <rPr>
        <sz val="11"/>
        <color rgb="FF000000"/>
        <rFont val="Calibri"/>
      </rPr>
      <t>If the crypto-policies package is not installed, this is a finding.</t>
    </r>
  </si>
  <si>
    <t>V-283445</t>
  </si>
  <si>
    <r>
      <rPr>
        <sz val="11"/>
        <rFont val="Calibri"/>
      </rPr>
      <t>OL 8 must implement a FIPS 140-3-compliant systemwide cryptographic policy.</t>
    </r>
  </si>
  <si>
    <r>
      <rPr>
        <sz val="11"/>
        <color rgb="FF000000"/>
        <rFont val="Calibri"/>
      </rPr>
      <t>Configure OL 8 to use a FIPS 140-3-compliant systemwide cryptographic policy.</t>
    </r>
    <r>
      <rPr>
        <sz val="11"/>
        <color rgb="FF000000"/>
        <rFont val="Calibri"/>
      </rPr>
      <t xml:space="preserve">
</t>
    </r>
    <r>
      <rPr>
        <sz val="11"/>
        <color rgb="FF000000"/>
        <rFont val="Calibri"/>
      </rPr>
      <t>Create a subpolicy for enhancements to the base systemwide crypto-policy by creating the file /etc/crypto-policies/policies/modules/STIG.pmod with the following content:</t>
    </r>
    <r>
      <rPr>
        <sz val="11"/>
        <color rgb="FF000000"/>
        <rFont val="Calibri"/>
      </rPr>
      <t xml:space="preserve">
</t>
    </r>
    <r>
      <rPr>
        <sz val="11"/>
        <color rgb="FF000000"/>
        <rFont val="Calibri"/>
      </rPr>
      <t># Define ciphers and MACs for OpenSSH and libssh</t>
    </r>
    <r>
      <rPr>
        <sz val="11"/>
        <color rgb="FF000000"/>
        <rFont val="Calibri"/>
      </rPr>
      <t xml:space="preserve">
</t>
    </r>
    <r>
      <rPr>
        <sz val="11"/>
        <color rgb="FF000000"/>
        <rFont val="Calibri"/>
      </rPr>
      <t>cipher@SSH=AES-256-GCM AES-256-CTR AES-128-GCM AES-128-CTR</t>
    </r>
    <r>
      <rPr>
        <sz val="11"/>
        <color rgb="FF000000"/>
        <rFont val="Calibri"/>
      </rPr>
      <t xml:space="preserve">
</t>
    </r>
    <r>
      <rPr>
        <sz val="11"/>
        <color rgb="FF000000"/>
        <rFont val="Calibri"/>
      </rPr>
      <t>mac@SSH=HMAC-SHA2-512 HMAC-SHA2-256</t>
    </r>
    <r>
      <rPr>
        <sz val="11"/>
        <color rgb="FF000000"/>
        <rFont val="Calibri"/>
      </rPr>
      <t xml:space="preserve">
</t>
    </r>
    <r>
      <rPr>
        <sz val="11"/>
        <color rgb="FF000000"/>
        <rFont val="Calibri"/>
      </rPr>
      <t>Apply the policy enhancements to the FIPS systemwide cryptographic policy level with the following command:</t>
    </r>
    <r>
      <rPr>
        <sz val="11"/>
        <color rgb="FF000000"/>
        <rFont val="Calibri"/>
      </rPr>
      <t xml:space="preserve">
</t>
    </r>
    <r>
      <rPr>
        <sz val="11"/>
        <color rgb="FF000000"/>
        <rFont val="Calibri"/>
      </rPr>
      <t>$ sudo update-crypto-policies --set FIPS:STIG</t>
    </r>
    <r>
      <rPr>
        <sz val="11"/>
        <color rgb="FF000000"/>
        <rFont val="Calibri"/>
      </rPr>
      <t xml:space="preserve">
</t>
    </r>
    <r>
      <rPr>
        <sz val="11"/>
        <color rgb="FF000000"/>
        <rFont val="Calibri"/>
      </rPr>
      <t>Note: If additional subpolicies are being employed, they must be added to the update-crypto-policies command.</t>
    </r>
    <r>
      <rPr>
        <sz val="11"/>
        <color rgb="FF000000"/>
        <rFont val="Calibri"/>
      </rPr>
      <t xml:space="preserve">
</t>
    </r>
    <r>
      <rPr>
        <sz val="11"/>
        <color rgb="FF000000"/>
        <rFont val="Calibri"/>
      </rPr>
      <t>To make the cryptographic settings effective for already running services and applications, restart the system:</t>
    </r>
    <r>
      <rPr>
        <sz val="11"/>
        <color rgb="FF000000"/>
        <rFont val="Calibri"/>
      </rPr>
      <t xml:space="preserve">
</t>
    </r>
    <r>
      <rPr>
        <sz val="11"/>
        <color rgb="FF000000"/>
        <rFont val="Calibri"/>
      </rPr>
      <t>$ sudo reboot</t>
    </r>
  </si>
  <si>
    <r>
      <rPr>
        <sz val="11"/>
        <color rgb="FF000000"/>
        <rFont val="Calibri"/>
      </rPr>
      <t>Verify OL 8 is set to use a FIPS 140-3-compliant systemwide cryptographic policy with the following command:</t>
    </r>
    <r>
      <rPr>
        <sz val="11"/>
        <color rgb="FF000000"/>
        <rFont val="Calibri"/>
      </rPr>
      <t xml:space="preserve">
</t>
    </r>
    <r>
      <rPr>
        <sz val="11"/>
        <color rgb="FF000000"/>
        <rFont val="Calibri"/>
      </rPr>
      <t>$ update-crypto-policies --show</t>
    </r>
    <r>
      <rPr>
        <sz val="11"/>
        <color rgb="FF000000"/>
        <rFont val="Calibri"/>
      </rPr>
      <t xml:space="preserve">
</t>
    </r>
    <r>
      <rPr>
        <sz val="11"/>
        <color rgb="FF000000"/>
        <rFont val="Calibri"/>
      </rPr>
      <t>FIPS</t>
    </r>
    <r>
      <rPr>
        <sz val="11"/>
        <color rgb="FF000000"/>
        <rFont val="Calibri"/>
      </rPr>
      <t xml:space="preserve">
</t>
    </r>
    <r>
      <rPr>
        <sz val="11"/>
        <color rgb="FF000000"/>
        <rFont val="Calibri"/>
      </rPr>
      <t>If the systemwide crypto policy is not set to "FIPS", this is a finding.</t>
    </r>
    <r>
      <rPr>
        <sz val="11"/>
        <color rgb="FF000000"/>
        <rFont val="Calibri"/>
      </rPr>
      <t xml:space="preserve">
</t>
    </r>
    <r>
      <rPr>
        <sz val="11"/>
        <color rgb="FF000000"/>
        <rFont val="Calibri"/>
      </rPr>
      <t>Note: If subpolicies have been configured, they could be listed in a colon-separated list starting with "FIPS" as follows FIPS:&lt;SUBPOLICY-NAME&gt;. This is not a finding.</t>
    </r>
    <r>
      <rPr>
        <sz val="11"/>
        <color rgb="FF000000"/>
        <rFont val="Calibri"/>
      </rPr>
      <t xml:space="preserve">
</t>
    </r>
    <r>
      <rPr>
        <sz val="11"/>
        <color rgb="FF000000"/>
        <rFont val="Calibri"/>
      </rPr>
      <t>Note: Subpolicies like AD-SUPPORT must be configured according to the latest guidance from the operating system vendor.</t>
    </r>
    <r>
      <rPr>
        <sz val="11"/>
        <color rgb="FF000000"/>
        <rFont val="Calibri"/>
      </rPr>
      <t xml:space="preserve">
</t>
    </r>
    <r>
      <rPr>
        <sz val="11"/>
        <color rgb="FF000000"/>
        <rFont val="Calibri"/>
      </rPr>
      <t>Verify the current minimum crypto-policy configuration with the following commands:</t>
    </r>
    <r>
      <rPr>
        <sz val="11"/>
        <color rgb="FF000000"/>
        <rFont val="Calibri"/>
      </rPr>
      <t xml:space="preserve">
</t>
    </r>
    <r>
      <rPr>
        <sz val="11"/>
        <color rgb="FF000000"/>
        <rFont val="Calibri"/>
      </rPr>
      <t>$ grep -E 'rsa_size|hash' /etc/crypto-policies/state/CURRENT.pol</t>
    </r>
    <r>
      <rPr>
        <sz val="11"/>
        <color rgb="FF000000"/>
        <rFont val="Calibri"/>
      </rPr>
      <t xml:space="preserve">
</t>
    </r>
    <r>
      <rPr>
        <sz val="11"/>
        <color rgb="FF000000"/>
        <rFont val="Calibri"/>
      </rPr>
      <t>hash = SHA2-256 SHA2-384 SHA2-512 SHA2-224 SHA3-256 SHA3-384 SHA3-512 SHAKE-256</t>
    </r>
    <r>
      <rPr>
        <sz val="11"/>
        <color rgb="FF000000"/>
        <rFont val="Calibri"/>
      </rPr>
      <t xml:space="preserve">
</t>
    </r>
    <r>
      <rPr>
        <sz val="11"/>
        <color rgb="FF000000"/>
        <rFont val="Calibri"/>
      </rPr>
      <t>min_rsa_size = 2048</t>
    </r>
    <r>
      <rPr>
        <sz val="11"/>
        <color rgb="FF000000"/>
        <rFont val="Calibri"/>
      </rPr>
      <t xml:space="preserve">
</t>
    </r>
    <r>
      <rPr>
        <sz val="11"/>
        <color rgb="FF000000"/>
        <rFont val="Calibri"/>
      </rPr>
      <t>If the "hash" values do not include at least the following FIPS 140-3-compliant algorithms "SHA2-256 SHA2-384 SHA2-512 SHA2-224 SHA3-256 SHA3-384 SHA3-512 SHAKE-256", this is a finding.</t>
    </r>
    <r>
      <rPr>
        <sz val="11"/>
        <color rgb="FF000000"/>
        <rFont val="Calibri"/>
      </rPr>
      <t xml:space="preserve">
</t>
    </r>
    <r>
      <rPr>
        <sz val="11"/>
        <color rgb="FF000000"/>
        <rFont val="Calibri"/>
      </rPr>
      <t>If there are algorithms that include "SHA1" or a hash value less than "224" this is a finding.</t>
    </r>
    <r>
      <rPr>
        <sz val="11"/>
        <color rgb="FF000000"/>
        <rFont val="Calibri"/>
      </rPr>
      <t xml:space="preserve">
</t>
    </r>
    <r>
      <rPr>
        <sz val="11"/>
        <color rgb="FF000000"/>
        <rFont val="Calibri"/>
      </rPr>
      <t>If the "min_rsa_size" is not set to a value of at least "2048", this is a finding.</t>
    </r>
    <r>
      <rPr>
        <sz val="11"/>
        <color rgb="FF000000"/>
        <rFont val="Calibri"/>
      </rPr>
      <t xml:space="preserve">
</t>
    </r>
    <r>
      <rPr>
        <sz val="11"/>
        <color rgb="FF000000"/>
        <rFont val="Calibri"/>
      </rPr>
      <t>If these commands do not return any output, this is a finding.</t>
    </r>
  </si>
  <si>
    <t>V-283446</t>
  </si>
  <si>
    <r>
      <rPr>
        <sz val="11"/>
        <color rgb="FF000000"/>
        <rFont val="Calibri"/>
      </rPr>
      <t>Configure OL 8 to implement DOD-approved encryption by following the steps below:</t>
    </r>
    <r>
      <rPr>
        <sz val="11"/>
        <color rgb="FF000000"/>
        <rFont val="Calibri"/>
      </rPr>
      <t xml:space="preserve">
</t>
    </r>
    <r>
      <rPr>
        <sz val="11"/>
        <color rgb="FF000000"/>
        <rFont val="Calibri"/>
      </rPr>
      <t>To enable strict FIPS compliance, the fips=1 kernel option must be added to the kernel boot parameters during system installation so that key generation is done with FIPS-approved algorithms and continuous monitoring tests in place.</t>
    </r>
    <r>
      <rPr>
        <sz val="11"/>
        <color rgb="FF000000"/>
        <rFont val="Calibri"/>
      </rPr>
      <t xml:space="preserve">
</t>
    </r>
    <r>
      <rPr>
        <sz val="11"/>
        <color rgb="FF000000"/>
        <rFont val="Calibri"/>
      </rPr>
      <t>Enable FIPS mode after installation (not strict FIPS-compliant) with the following command:</t>
    </r>
    <r>
      <rPr>
        <sz val="11"/>
        <color rgb="FF000000"/>
        <rFont val="Calibri"/>
      </rPr>
      <t xml:space="preserve">
</t>
    </r>
    <r>
      <rPr>
        <sz val="11"/>
        <color rgb="FF000000"/>
        <rFont val="Calibri"/>
      </rPr>
      <t>$ sudo fips-mode-setup --enable</t>
    </r>
    <r>
      <rPr>
        <sz val="11"/>
        <color rgb="FF000000"/>
        <rFont val="Calibri"/>
      </rPr>
      <t xml:space="preserve">
</t>
    </r>
    <r>
      <rPr>
        <sz val="11"/>
        <color rgb="FF000000"/>
        <rFont val="Calibri"/>
      </rPr>
      <t>Reboot the system for the changes to take effect.</t>
    </r>
  </si>
  <si>
    <r>
      <rPr>
        <sz val="11"/>
        <color rgb="FF000000"/>
        <rFont val="Calibri"/>
      </rPr>
      <t>Using weak or untested encryption algorithms undermines the purposes of using encryption to protect data. The operating system must implement cryptographic modules adhering to the higher standards approved by the federal government since this provides assurance they have been tested and validated.</t>
    </r>
    <r>
      <rPr>
        <sz val="11"/>
        <color rgb="FF000000"/>
        <rFont val="Calibri"/>
      </rPr>
      <t xml:space="preserve">
</t>
    </r>
    <r>
      <rPr>
        <sz val="11"/>
        <color rgb="FF000000"/>
        <rFont val="Calibri"/>
      </rPr>
      <t xml:space="preserve">OL 8 utilizes GRUB 2 as the default bootloader. Note that GRUB 2 command-line parameters are defined in the "kernelopts" variable of the /boot/grub2/grubenv file for all kernel boot entries. The command "fips-mode-setup" modifies the "kernelopts" variable, which in turn updates all kernel boot entries. </t>
    </r>
    <r>
      <rPr>
        <sz val="11"/>
        <color rgb="FF000000"/>
        <rFont val="Calibri"/>
      </rPr>
      <t xml:space="preserve">
</t>
    </r>
    <r>
      <rPr>
        <sz val="11"/>
        <color rgb="FF000000"/>
        <rFont val="Calibri"/>
      </rPr>
      <t>The fips=1 kernel option must be added to the kernel command line during system installation so that key generation is done with FIPS-approved algorithms and continuous monitoring tests in place. Users must also ensure the system has plenty of entropy during the installation process by moving the mouse around, or if no mouse is available, ensuring that many keystrokes are typed. The recommended amount of keystrokes is 256 and more. Less than 256 keystrokes may generate a nonunique key.</t>
    </r>
    <r>
      <rPr>
        <sz val="11"/>
        <color rgb="FF000000"/>
        <rFont val="Calibri"/>
      </rPr>
      <t xml:space="preserve">
</t>
    </r>
    <r>
      <rPr>
        <sz val="11"/>
        <color rgb="FF000000"/>
        <rFont val="Calibri"/>
      </rPr>
      <t>Satisfies: SRG-OS-000033-GPOS-00014, SRG-OS-000125-GPOS-00065, SRG-OS-000396-GPOS-00176, SRG-OS-000423-GPOS-00187, SRG-OS-000478-GPOS-00223</t>
    </r>
  </si>
  <si>
    <r>
      <rPr>
        <sz val="11"/>
        <color rgb="FF000000"/>
        <rFont val="Calibri"/>
      </rPr>
      <t>Verify OL 8 implements DOD-approved encryption to protect the confidentiality of remote access sessions.</t>
    </r>
    <r>
      <rPr>
        <sz val="11"/>
        <color rgb="FF000000"/>
        <rFont val="Calibri"/>
      </rPr>
      <t xml:space="preserve">
</t>
    </r>
    <r>
      <rPr>
        <sz val="11"/>
        <color rgb="FF000000"/>
        <rFont val="Calibri"/>
      </rPr>
      <t>Show the configured systemwide cryptographic policy by running the following command:</t>
    </r>
    <r>
      <rPr>
        <sz val="11"/>
        <color rgb="FF000000"/>
        <rFont val="Calibri"/>
      </rPr>
      <t xml:space="preserve">
</t>
    </r>
    <r>
      <rPr>
        <sz val="11"/>
        <color rgb="FF000000"/>
        <rFont val="Calibri"/>
      </rPr>
      <t>$ sudo update-crypto-policies --show</t>
    </r>
    <r>
      <rPr>
        <sz val="11"/>
        <color rgb="FF000000"/>
        <rFont val="Calibri"/>
      </rPr>
      <t xml:space="preserve">
</t>
    </r>
    <r>
      <rPr>
        <sz val="11"/>
        <color rgb="FF000000"/>
        <rFont val="Calibri"/>
      </rPr>
      <t>FIPS</t>
    </r>
    <r>
      <rPr>
        <sz val="11"/>
        <color rgb="FF000000"/>
        <rFont val="Calibri"/>
      </rPr>
      <t xml:space="preserve">
</t>
    </r>
    <r>
      <rPr>
        <sz val="11"/>
        <color rgb="FF000000"/>
        <rFont val="Calibri"/>
      </rPr>
      <t>If the main policy name is not "FIPS", this is a finding.</t>
    </r>
    <r>
      <rPr>
        <sz val="11"/>
        <color rgb="FF000000"/>
        <rFont val="Calibri"/>
      </rPr>
      <t xml:space="preserve">
</t>
    </r>
    <r>
      <rPr>
        <sz val="11"/>
        <color rgb="FF000000"/>
        <rFont val="Calibri"/>
      </rPr>
      <t>If the AD-SUPPORT subpolicy module is included (e.g., "FIPS:AD-SUPPORT"), and Active Directory support is not documented as an operational requirement with the information system security officer (ISSO), this is a finding.</t>
    </r>
    <r>
      <rPr>
        <sz val="11"/>
        <color rgb="FF000000"/>
        <rFont val="Calibri"/>
      </rPr>
      <t xml:space="preserve">
</t>
    </r>
    <r>
      <rPr>
        <sz val="11"/>
        <color rgb="FF000000"/>
        <rFont val="Calibri"/>
      </rPr>
      <t>If the NO-ENFORCE-EMS subpolicy module is included (e.g., "FIPS:NO-ENFORCE-EMS"), and not enforcing EMS is not documented as an operational requirement with the ISSO, this is a finding.</t>
    </r>
    <r>
      <rPr>
        <sz val="11"/>
        <color rgb="FF000000"/>
        <rFont val="Calibri"/>
      </rPr>
      <t xml:space="preserve">
</t>
    </r>
    <r>
      <rPr>
        <sz val="11"/>
        <color rgb="FF000000"/>
        <rFont val="Calibri"/>
      </rPr>
      <t>If any other subpolicy module is included, this is a finding.</t>
    </r>
  </si>
  <si>
    <t>V-283447</t>
  </si>
  <si>
    <r>
      <rPr>
        <sz val="11"/>
        <rFont val="Calibri"/>
      </rPr>
      <t>OL 8 cryptographic policy must not be overridden.</t>
    </r>
  </si>
  <si>
    <r>
      <rPr>
        <sz val="11"/>
        <color rgb="FF000000"/>
        <rFont val="Calibri"/>
      </rPr>
      <t>Configure OL 8 to correctly implement the systemwide cryptographic policies by reinstalling the crypto-policies package contents.</t>
    </r>
    <r>
      <rPr>
        <sz val="11"/>
        <color rgb="FF000000"/>
        <rFont val="Calibri"/>
      </rPr>
      <t xml:space="preserve">
</t>
    </r>
    <r>
      <rPr>
        <sz val="11"/>
        <color rgb="FF000000"/>
        <rFont val="Calibri"/>
      </rPr>
      <t>Reinstall crypto-policies with the following command:</t>
    </r>
    <r>
      <rPr>
        <sz val="11"/>
        <color rgb="FF000000"/>
        <rFont val="Calibri"/>
      </rPr>
      <t xml:space="preserve">
</t>
    </r>
    <r>
      <rPr>
        <sz val="11"/>
        <color rgb="FF000000"/>
        <rFont val="Calibri"/>
      </rPr>
      <t>$ sudo dnf -y reinstall crypto-policies</t>
    </r>
    <r>
      <rPr>
        <sz val="11"/>
        <color rgb="FF000000"/>
        <rFont val="Calibri"/>
      </rPr>
      <t xml:space="preserve">
</t>
    </r>
    <r>
      <rPr>
        <sz val="11"/>
        <color rgb="FF000000"/>
        <rFont val="Calibri"/>
      </rPr>
      <t>Set the crypto-policy to FIPS with the following command:</t>
    </r>
    <r>
      <rPr>
        <sz val="11"/>
        <color rgb="FF000000"/>
        <rFont val="Calibri"/>
      </rPr>
      <t xml:space="preserve">
</t>
    </r>
    <r>
      <rPr>
        <sz val="11"/>
        <color rgb="FF000000"/>
        <rFont val="Calibri"/>
      </rPr>
      <t>$ sudo update-crypto-policies --set FIPS</t>
    </r>
    <r>
      <rPr>
        <sz val="11"/>
        <color rgb="FF000000"/>
        <rFont val="Calibri"/>
      </rPr>
      <t xml:space="preserve">
</t>
    </r>
    <r>
      <rPr>
        <sz val="11"/>
        <color rgb="FF000000"/>
        <rFont val="Calibri"/>
      </rPr>
      <t>Setting system policy to FIPS</t>
    </r>
    <r>
      <rPr>
        <sz val="11"/>
        <color rgb="FF000000"/>
        <rFont val="Calibri"/>
      </rPr>
      <t xml:space="preserve">
</t>
    </r>
    <r>
      <rPr>
        <sz val="11"/>
        <color rgb="FF000000"/>
        <rFont val="Calibri"/>
      </rPr>
      <t>Note: Systemwide crypto policies are applied on application startup. Restart the system for the changs to take place.</t>
    </r>
  </si>
  <si>
    <r>
      <rPr>
        <sz val="11"/>
        <color rgb="FF000000"/>
        <rFont val="Calibri"/>
      </rPr>
      <t>Verify OL 8 cryptographic policies are not overridden.</t>
    </r>
    <r>
      <rPr>
        <sz val="11"/>
        <color rgb="FF000000"/>
        <rFont val="Calibri"/>
      </rPr>
      <t xml:space="preserve">
</t>
    </r>
    <r>
      <rPr>
        <sz val="11"/>
        <color rgb="FF000000"/>
        <rFont val="Calibri"/>
      </rPr>
      <t>Verify the configured policy matches the generated policy with the following command:</t>
    </r>
    <r>
      <rPr>
        <sz val="11"/>
        <color rgb="FF000000"/>
        <rFont val="Calibri"/>
      </rPr>
      <t xml:space="preserve">
</t>
    </r>
    <r>
      <rPr>
        <sz val="11"/>
        <color rgb="FF000000"/>
        <rFont val="Calibri"/>
      </rPr>
      <t>$ sudo update-crypto-policies --is-applied</t>
    </r>
    <r>
      <rPr>
        <sz val="11"/>
        <color rgb="FF000000"/>
        <rFont val="Calibri"/>
      </rPr>
      <t xml:space="preserve">
</t>
    </r>
    <r>
      <rPr>
        <sz val="11"/>
        <color rgb="FF000000"/>
        <rFont val="Calibri"/>
      </rPr>
      <t>The configured policy is applied</t>
    </r>
    <r>
      <rPr>
        <sz val="11"/>
        <color rgb="FF000000"/>
        <rFont val="Calibri"/>
      </rPr>
      <t xml:space="preserve">
</t>
    </r>
    <r>
      <rPr>
        <sz val="11"/>
        <color rgb="FF000000"/>
        <rFont val="Calibri"/>
      </rPr>
      <t>If the returned message does not match the above, this is a finding.</t>
    </r>
  </si>
  <si>
    <t>V-283448</t>
  </si>
  <si>
    <r>
      <rPr>
        <sz val="11"/>
        <rFont val="Calibri"/>
      </rPr>
      <t>The OL 8 SSH client must be configured to use only DOD-approved encryption ciphers employing FIPS 140-3-validated cryptographic hash algorithms to protect the confidentiality of SSH client connections.</t>
    </r>
  </si>
  <si>
    <r>
      <rPr>
        <sz val="11"/>
        <color rgb="FF000000"/>
        <rFont val="Calibri"/>
      </rPr>
      <t>Configure the SSH client to use only ciphers employing FIPS 140-3-approved algorithms.</t>
    </r>
    <r>
      <rPr>
        <sz val="11"/>
        <color rgb="FF000000"/>
        <rFont val="Calibri"/>
      </rPr>
      <t xml:space="preserve">
</t>
    </r>
    <r>
      <rPr>
        <sz val="11"/>
        <color rgb="FF000000"/>
        <rFont val="Calibri"/>
      </rPr>
      <t>Reinstall crypto-policies with the following command:</t>
    </r>
    <r>
      <rPr>
        <sz val="11"/>
        <color rgb="FF000000"/>
        <rFont val="Calibri"/>
      </rPr>
      <t xml:space="preserve">
</t>
    </r>
    <r>
      <rPr>
        <sz val="11"/>
        <color rgb="FF000000"/>
        <rFont val="Calibri"/>
      </rPr>
      <t>$ sudo dnf -y reinstall crypto-policies</t>
    </r>
    <r>
      <rPr>
        <sz val="11"/>
        <color rgb="FF000000"/>
        <rFont val="Calibri"/>
      </rPr>
      <t xml:space="preserve">
</t>
    </r>
    <r>
      <rPr>
        <sz val="11"/>
        <color rgb="FF000000"/>
        <rFont val="Calibri"/>
      </rPr>
      <t>Set the crypto-policy to FIPS with the following command:</t>
    </r>
    <r>
      <rPr>
        <sz val="11"/>
        <color rgb="FF000000"/>
        <rFont val="Calibri"/>
      </rPr>
      <t xml:space="preserve">
</t>
    </r>
    <r>
      <rPr>
        <sz val="11"/>
        <color rgb="FF000000"/>
        <rFont val="Calibri"/>
      </rPr>
      <t>$ sudo update-crypto-policies --set FIPS</t>
    </r>
    <r>
      <rPr>
        <sz val="11"/>
        <color rgb="FF000000"/>
        <rFont val="Calibri"/>
      </rPr>
      <t xml:space="preserve">
</t>
    </r>
    <r>
      <rPr>
        <sz val="11"/>
        <color rgb="FF000000"/>
        <rFont val="Calibri"/>
      </rPr>
      <t>Setting system policy to FIPS</t>
    </r>
    <r>
      <rPr>
        <sz val="11"/>
        <color rgb="FF000000"/>
        <rFont val="Calibri"/>
      </rPr>
      <t xml:space="preserve">
</t>
    </r>
    <r>
      <rPr>
        <sz val="11"/>
        <color rgb="FF000000"/>
        <rFont val="Calibri"/>
      </rPr>
      <t>Note: Systemwide crypto policies are applied on application startup. Restart the system for the changes to take place.</t>
    </r>
  </si>
  <si>
    <r>
      <rPr>
        <sz val="11"/>
        <color rgb="FF000000"/>
        <rFont val="Calibri"/>
      </rPr>
      <t xml:space="preserve">Without cryptographic integrity protections, information can be altered by unauthorized users without detection. </t>
    </r>
    <r>
      <rPr>
        <sz val="11"/>
        <color rgb="FF000000"/>
        <rFont val="Calibri"/>
      </rPr>
      <t xml:space="preserve">
</t>
    </r>
    <r>
      <rPr>
        <sz val="11"/>
        <color rgb="FF000000"/>
        <rFont val="Calibri"/>
      </rPr>
      <t xml:space="preserve">Remote access (e.g., RDP) is access to DOD nonpublic information systems by an authorized user (or an information system) communicating through an external, nonorganization-controlled network. Remote access methods include, for example, dial-up, broadband, and wireless. </t>
    </r>
    <r>
      <rPr>
        <sz val="11"/>
        <color rgb="FF000000"/>
        <rFont val="Calibri"/>
      </rPr>
      <t xml:space="preserve">
</t>
    </r>
    <r>
      <rPr>
        <sz val="11"/>
        <color rgb="FF000000"/>
        <rFont val="Calibri"/>
      </rPr>
      <t xml:space="preserve">Cryptographic mechanisms used for protecting the integrity of information include, for example, signed hash functions using asymmetric cryptography, enabling distribution of the public key to verify the hash information while maintaining the confidentiality of the secret key used to generate the hash. </t>
    </r>
    <r>
      <rPr>
        <sz val="11"/>
        <color rgb="FF000000"/>
        <rFont val="Calibri"/>
      </rPr>
      <t xml:space="preserve">
</t>
    </r>
    <r>
      <rPr>
        <sz val="11"/>
        <color rgb="FF000000"/>
        <rFont val="Calibri"/>
      </rPr>
      <t>OL 8 incorporates systemwide crypto policies by default. The SSH configuration file has no effect on the ciphers, MACs, or algorithms unless specifically defined in the /etc/sysconfig/sshd file. The employed algorithms can be viewed in the /etc/crypto-policies/back-ends/openssh.config file.</t>
    </r>
  </si>
  <si>
    <r>
      <rPr>
        <sz val="11"/>
        <color rgb="FF000000"/>
        <rFont val="Calibri"/>
      </rPr>
      <t>Verify the SSH client is configured to use only ciphers employing FIPS 140-3-approved algorithms.</t>
    </r>
    <r>
      <rPr>
        <sz val="11"/>
        <color rgb="FF000000"/>
        <rFont val="Calibri"/>
      </rPr>
      <t xml:space="preserve">
</t>
    </r>
    <r>
      <rPr>
        <sz val="11"/>
        <color rgb="FF000000"/>
        <rFont val="Calibri"/>
      </rPr>
      <t>Verify the ciphers in the systemwide SSH configuration file using the following command:</t>
    </r>
    <r>
      <rPr>
        <sz val="11"/>
        <color rgb="FF000000"/>
        <rFont val="Calibri"/>
      </rPr>
      <t xml:space="preserve">
</t>
    </r>
    <r>
      <rPr>
        <sz val="11"/>
        <color rgb="FF000000"/>
        <rFont val="Calibri"/>
      </rPr>
      <t xml:space="preserve">$ grep -i Ciphers /etc/crypto-policies/back-ends/openssh.config </t>
    </r>
    <r>
      <rPr>
        <sz val="11"/>
        <color rgb="FF000000"/>
        <rFont val="Calibri"/>
      </rPr>
      <t xml:space="preserve">
</t>
    </r>
    <r>
      <rPr>
        <sz val="11"/>
        <color rgb="FF000000"/>
        <rFont val="Calibri"/>
      </rPr>
      <t>Ciphers aes256-gcm@openssh.com,aes256-ctr,aes128-gcm@openssh.com,aes128-ctr</t>
    </r>
    <r>
      <rPr>
        <sz val="11"/>
        <color rgb="FF000000"/>
        <rFont val="Calibri"/>
      </rPr>
      <t xml:space="preserve">
</t>
    </r>
    <r>
      <rPr>
        <sz val="11"/>
        <color rgb="FF000000"/>
        <rFont val="Calibri"/>
      </rPr>
      <t>If the cipher entries in the "openssh.config" file have any ciphers other than "aes256-gcm@openssh.com,aes256-ctr,aes128-gcm@openssh.com,aes128-ctr", or they are missing or commented out, this is a finding.</t>
    </r>
  </si>
  <si>
    <t>V-283449</t>
  </si>
  <si>
    <r>
      <rPr>
        <sz val="11"/>
        <rFont val="Calibri"/>
      </rPr>
      <t>The OL 8 SSH client must be configured to use only DOD-approved Message Authentication Codes (MACs) employing FIPS 140-3-validated cryptographic hash algorithms to protect the confidentiality of SSH client connections.</t>
    </r>
  </si>
  <si>
    <r>
      <rPr>
        <sz val="11"/>
        <color rgb="FF000000"/>
        <rFont val="Calibri"/>
      </rPr>
      <t>Configure the SSH client to use only MACs employing FIPS 140-3-approved algorithms.</t>
    </r>
    <r>
      <rPr>
        <sz val="11"/>
        <color rgb="FF000000"/>
        <rFont val="Calibri"/>
      </rPr>
      <t xml:space="preserve">
</t>
    </r>
    <r>
      <rPr>
        <sz val="11"/>
        <color rgb="FF000000"/>
        <rFont val="Calibri"/>
      </rPr>
      <t>Reinstall crypto-policies with the following command:</t>
    </r>
    <r>
      <rPr>
        <sz val="11"/>
        <color rgb="FF000000"/>
        <rFont val="Calibri"/>
      </rPr>
      <t xml:space="preserve">
</t>
    </r>
    <r>
      <rPr>
        <sz val="11"/>
        <color rgb="FF000000"/>
        <rFont val="Calibri"/>
      </rPr>
      <t>$ sudo dnf -y reinstall crypto-policies</t>
    </r>
    <r>
      <rPr>
        <sz val="11"/>
        <color rgb="FF000000"/>
        <rFont val="Calibri"/>
      </rPr>
      <t xml:space="preserve">
</t>
    </r>
    <r>
      <rPr>
        <sz val="11"/>
        <color rgb="FF000000"/>
        <rFont val="Calibri"/>
      </rPr>
      <t>Set the crypto-policy to FIPS with the following command:</t>
    </r>
    <r>
      <rPr>
        <sz val="11"/>
        <color rgb="FF000000"/>
        <rFont val="Calibri"/>
      </rPr>
      <t xml:space="preserve">
</t>
    </r>
    <r>
      <rPr>
        <sz val="11"/>
        <color rgb="FF000000"/>
        <rFont val="Calibri"/>
      </rPr>
      <t>$ sudo update-crypto-policies --set FIPS</t>
    </r>
    <r>
      <rPr>
        <sz val="11"/>
        <color rgb="FF000000"/>
        <rFont val="Calibri"/>
      </rPr>
      <t xml:space="preserve">
</t>
    </r>
    <r>
      <rPr>
        <sz val="11"/>
        <color rgb="FF000000"/>
        <rFont val="Calibri"/>
      </rPr>
      <t>Setting system policy to FIPS</t>
    </r>
    <r>
      <rPr>
        <sz val="11"/>
        <color rgb="FF000000"/>
        <rFont val="Calibri"/>
      </rPr>
      <t xml:space="preserve">
</t>
    </r>
    <r>
      <rPr>
        <sz val="11"/>
        <color rgb="FF000000"/>
        <rFont val="Calibri"/>
      </rPr>
      <t>Note: Systemwide crypto policies are applied on application startup. Restart the system for the changes to take place.</t>
    </r>
  </si>
  <si>
    <r>
      <rPr>
        <sz val="11"/>
        <color rgb="FF000000"/>
        <rFont val="Calibri"/>
      </rPr>
      <t>Verify the SSH client is configured to use only MACs employing FIPS 140-3-approved algorithms.</t>
    </r>
    <r>
      <rPr>
        <sz val="11"/>
        <color rgb="FF000000"/>
        <rFont val="Calibri"/>
      </rPr>
      <t xml:space="preserve">
</t>
    </r>
    <r>
      <rPr>
        <sz val="11"/>
        <color rgb="FF000000"/>
        <rFont val="Calibri"/>
      </rPr>
      <t>To verify the MACs in the systemwide SSH configuration file, use the following command:</t>
    </r>
    <r>
      <rPr>
        <sz val="11"/>
        <color rgb="FF000000"/>
        <rFont val="Calibri"/>
      </rPr>
      <t xml:space="preserve">
</t>
    </r>
    <r>
      <rPr>
        <sz val="11"/>
        <color rgb="FF000000"/>
        <rFont val="Calibri"/>
      </rPr>
      <t>$ grep -i MACs /etc/crypto-policies/back-ends/openssh.config</t>
    </r>
    <r>
      <rPr>
        <sz val="11"/>
        <color rgb="FF000000"/>
        <rFont val="Calibri"/>
      </rPr>
      <t xml:space="preserve">
</t>
    </r>
    <r>
      <rPr>
        <sz val="11"/>
        <color rgb="FF000000"/>
        <rFont val="Calibri"/>
      </rPr>
      <t>MACs hmac-sha2-256-etm@openssh.com,hmac-sha2-512-etm@openssh.com,hmac-sha2-256,hmac-sha2-512</t>
    </r>
    <r>
      <rPr>
        <sz val="11"/>
        <color rgb="FF000000"/>
        <rFont val="Calibri"/>
      </rPr>
      <t xml:space="preserve">
</t>
    </r>
    <r>
      <rPr>
        <sz val="11"/>
        <color rgb="FF000000"/>
        <rFont val="Calibri"/>
      </rPr>
      <t>If the MACs entries in the "openssh.config" file have any hashes other than "hmac-sha2-256-etm@openssh.com,hmac-sha2-512-etm@openssh.com,hmac-sha2-256,hmac-sha2-512", or they are missing or commented out, this is a finding.</t>
    </r>
  </si>
  <si>
    <t>V-283450</t>
  </si>
  <si>
    <r>
      <rPr>
        <sz val="11"/>
        <rFont val="Calibri"/>
      </rPr>
      <t>OL 8 IP tunnels must use FIPS 140-3-approved cryptographic algorithms.</t>
    </r>
  </si>
  <si>
    <r>
      <rPr>
        <sz val="11"/>
        <color rgb="FF000000"/>
        <rFont val="Calibri"/>
      </rPr>
      <t>Configure Libreswan to use the system cryptographic policy.</t>
    </r>
    <r>
      <rPr>
        <sz val="11"/>
        <color rgb="FF000000"/>
        <rFont val="Calibri"/>
      </rPr>
      <t xml:space="preserve">
</t>
    </r>
    <r>
      <rPr>
        <sz val="11"/>
        <color rgb="FF000000"/>
        <rFont val="Calibri"/>
      </rPr>
      <t>Add the following line to "/etc/ipsec.conf":</t>
    </r>
    <r>
      <rPr>
        <sz val="11"/>
        <color rgb="FF000000"/>
        <rFont val="Calibri"/>
      </rPr>
      <t xml:space="preserve">
</t>
    </r>
    <r>
      <rPr>
        <sz val="11"/>
        <color rgb="FF000000"/>
        <rFont val="Calibri"/>
      </rPr>
      <t>include /etc/crypto-policies/back-ends/libreswan.config</t>
    </r>
  </si>
  <si>
    <r>
      <rPr>
        <sz val="11"/>
        <color rgb="FF000000"/>
        <rFont val="Calibri"/>
      </rPr>
      <t>Overriding the system crypto policy makes the behavior of the Libreswan service violate expectations, and makes system configuration more fragmented.</t>
    </r>
  </si>
  <si>
    <r>
      <rPr>
        <sz val="11"/>
        <color rgb="FF000000"/>
        <rFont val="Calibri"/>
      </rPr>
      <t>Verify the IPsec service uses the system crypto policy with the following command:</t>
    </r>
    <r>
      <rPr>
        <sz val="11"/>
        <color rgb="FF000000"/>
        <rFont val="Calibri"/>
      </rPr>
      <t xml:space="preserve">
</t>
    </r>
    <r>
      <rPr>
        <sz val="11"/>
        <color rgb="FF000000"/>
        <rFont val="Calibri"/>
      </rPr>
      <t>Note: If the IPsec service is not installed, this is not applicable.</t>
    </r>
    <r>
      <rPr>
        <sz val="11"/>
        <color rgb="FF000000"/>
        <rFont val="Calibri"/>
      </rPr>
      <t xml:space="preserve">
</t>
    </r>
    <r>
      <rPr>
        <sz val="11"/>
        <color rgb="FF000000"/>
        <rFont val="Calibri"/>
      </rPr>
      <t>$ sudo grep include /etc/ipsec.conf /etc/ipsec.d/*.conf</t>
    </r>
    <r>
      <rPr>
        <sz val="11"/>
        <color rgb="FF000000"/>
        <rFont val="Calibri"/>
      </rPr>
      <t xml:space="preserve">
</t>
    </r>
    <r>
      <rPr>
        <sz val="11"/>
        <color rgb="FF000000"/>
        <rFont val="Calibri"/>
      </rPr>
      <t>/etc/ipsec.conf:include /etc/crypto-policies/back-ends/libreswan.config</t>
    </r>
    <r>
      <rPr>
        <sz val="11"/>
        <color rgb="FF000000"/>
        <rFont val="Calibri"/>
      </rPr>
      <t xml:space="preserve">
</t>
    </r>
    <r>
      <rPr>
        <sz val="11"/>
        <color rgb="FF000000"/>
        <rFont val="Calibri"/>
      </rPr>
      <t>If the IPsec configuration file does not contain "include /etc/crypto-policies/back-ends/libreswan.config", this is a finding.</t>
    </r>
  </si>
  <si>
    <t>V-283451</t>
  </si>
  <si>
    <r>
      <rPr>
        <sz val="11"/>
        <rFont val="Calibri"/>
      </rPr>
      <t>OL 8 must implement DOD-approved encryption in the bind package.</t>
    </r>
  </si>
  <si>
    <r>
      <rPr>
        <sz val="11"/>
        <color rgb="FF000000"/>
        <rFont val="Calibri"/>
      </rPr>
      <t>Configure BIND to use the system crypto policy.</t>
    </r>
    <r>
      <rPr>
        <sz val="11"/>
        <color rgb="FF000000"/>
        <rFont val="Calibri"/>
      </rPr>
      <t xml:space="preserve">
</t>
    </r>
    <r>
      <rPr>
        <sz val="11"/>
        <color rgb="FF000000"/>
        <rFont val="Calibri"/>
      </rPr>
      <t>Add the following line to the "options" section in "/etc/named.conf":</t>
    </r>
    <r>
      <rPr>
        <sz val="11"/>
        <color rgb="FF000000"/>
        <rFont val="Calibri"/>
      </rPr>
      <t xml:space="preserve">
</t>
    </r>
    <r>
      <rPr>
        <sz val="11"/>
        <color rgb="FF000000"/>
        <rFont val="Calibri"/>
      </rPr>
      <t>include "/etc/crypto-policies/back-ends/bind.config";</t>
    </r>
  </si>
  <si>
    <r>
      <rPr>
        <sz val="11"/>
        <color rgb="FF000000"/>
        <rFont val="Calibri"/>
      </rPr>
      <t>Without cryptographic integrity protections, information can be altered by unauthorized users without detection.</t>
    </r>
    <r>
      <rPr>
        <sz val="11"/>
        <color rgb="FF000000"/>
        <rFont val="Calibri"/>
      </rPr>
      <t xml:space="preserve">
</t>
    </r>
    <r>
      <rPr>
        <sz val="11"/>
        <color rgb="FF000000"/>
        <rFont val="Calibri"/>
      </rPr>
      <t>Cryptographic mechanisms used for protecting the integrity of information include, for example, signed hash functions using asymmetric cryptography enabling distribution of the public key to verify the hash information while maintaining the confidentiality of the secret key used to generate the hash.</t>
    </r>
    <r>
      <rPr>
        <sz val="11"/>
        <color rgb="FF000000"/>
        <rFont val="Calibri"/>
      </rPr>
      <t xml:space="preserve">
</t>
    </r>
    <r>
      <rPr>
        <sz val="11"/>
        <color rgb="FF000000"/>
        <rFont val="Calibri"/>
      </rPr>
      <t>OL 8 incorporates systemwide crypto policies by default. The employed algorithms can be viewed in the /etc/crypto-policies/back-ends/ directory.</t>
    </r>
    <r>
      <rPr>
        <sz val="11"/>
        <color rgb="FF000000"/>
        <rFont val="Calibri"/>
      </rPr>
      <t xml:space="preserve">
</t>
    </r>
    <r>
      <rPr>
        <sz val="11"/>
        <color rgb="FF000000"/>
        <rFont val="Calibri"/>
      </rPr>
      <t>Satisfies: SRG-OS-000423-GPOS-00187, SRG-OS-000426-GPOS-00190</t>
    </r>
  </si>
  <si>
    <r>
      <rPr>
        <sz val="11"/>
        <color rgb="FF000000"/>
        <rFont val="Calibri"/>
      </rPr>
      <t>Verify BIND uses the system crypto policy with the following command:</t>
    </r>
    <r>
      <rPr>
        <sz val="11"/>
        <color rgb="FF000000"/>
        <rFont val="Calibri"/>
      </rPr>
      <t xml:space="preserve">
</t>
    </r>
    <r>
      <rPr>
        <sz val="11"/>
        <color rgb="FF000000"/>
        <rFont val="Calibri"/>
      </rPr>
      <t>Note: If the "bind" package is not installed, this is not applicable.</t>
    </r>
    <r>
      <rPr>
        <sz val="11"/>
        <color rgb="FF000000"/>
        <rFont val="Calibri"/>
      </rPr>
      <t xml:space="preserve">
</t>
    </r>
    <r>
      <rPr>
        <sz val="11"/>
        <color rgb="FF000000"/>
        <rFont val="Calibri"/>
      </rPr>
      <t xml:space="preserve">$ sudo grep include /etc/named.conf </t>
    </r>
    <r>
      <rPr>
        <sz val="11"/>
        <color rgb="FF000000"/>
        <rFont val="Calibri"/>
      </rPr>
      <t xml:space="preserve">
</t>
    </r>
    <r>
      <rPr>
        <sz val="11"/>
        <color rgb="FF000000"/>
        <rFont val="Calibri"/>
      </rPr>
      <t xml:space="preserve">include "/etc/crypto-policies/back-ends/bind.config";' </t>
    </r>
    <r>
      <rPr>
        <sz val="11"/>
        <color rgb="FF000000"/>
        <rFont val="Calibri"/>
      </rPr>
      <t xml:space="preserve">
</t>
    </r>
    <r>
      <rPr>
        <sz val="11"/>
        <color rgb="FF000000"/>
        <rFont val="Calibri"/>
      </rPr>
      <t>If BIND is installed and the BIND config file does not include "/etc/crypto-policies/back-ends/bind.config" directive or the line is commented out, this is a finding.</t>
    </r>
  </si>
  <si>
    <t>V-283457</t>
  </si>
  <si>
    <r>
      <rPr>
        <sz val="11"/>
        <rFont val="Calibri"/>
      </rPr>
      <t>The OL 8 SSH server must be configured to use only Message Authentication Codes (MACs) employing FIPS 140-3 validated cryptographic hash algorithms to protect the confidentiality of SSH server connections.</t>
    </r>
  </si>
  <si>
    <r>
      <rPr>
        <sz val="11"/>
        <color rgb="FF000000"/>
        <rFont val="Calibri"/>
      </rPr>
      <t>Configure the OL 8 SSH server to use only MACs employing FIPS 140-3-approved algorithms.</t>
    </r>
    <r>
      <rPr>
        <sz val="11"/>
        <color rgb="FF000000"/>
        <rFont val="Calibri"/>
      </rPr>
      <t xml:space="preserve">
</t>
    </r>
    <r>
      <rPr>
        <sz val="11"/>
        <color rgb="FF000000"/>
        <rFont val="Calibri"/>
      </rPr>
      <t>Reinstall crypto-policies with the following command:</t>
    </r>
    <r>
      <rPr>
        <sz val="11"/>
        <color rgb="FF000000"/>
        <rFont val="Calibri"/>
      </rPr>
      <t xml:space="preserve">
</t>
    </r>
    <r>
      <rPr>
        <sz val="11"/>
        <color rgb="FF000000"/>
        <rFont val="Calibri"/>
      </rPr>
      <t>$ sudo dnf -y reinstall crypto-policies</t>
    </r>
    <r>
      <rPr>
        <sz val="11"/>
        <color rgb="FF000000"/>
        <rFont val="Calibri"/>
      </rPr>
      <t xml:space="preserve">
</t>
    </r>
    <r>
      <rPr>
        <sz val="11"/>
        <color rgb="FF000000"/>
        <rFont val="Calibri"/>
      </rPr>
      <t>Set the crypto-policy to FIPS with the following command:</t>
    </r>
    <r>
      <rPr>
        <sz val="11"/>
        <color rgb="FF000000"/>
        <rFont val="Calibri"/>
      </rPr>
      <t xml:space="preserve">
</t>
    </r>
    <r>
      <rPr>
        <sz val="11"/>
        <color rgb="FF000000"/>
        <rFont val="Calibri"/>
      </rPr>
      <t>$ sudo update-crypto-policies --set FIPS</t>
    </r>
    <r>
      <rPr>
        <sz val="11"/>
        <color rgb="FF000000"/>
        <rFont val="Calibri"/>
      </rPr>
      <t xml:space="preserve">
</t>
    </r>
    <r>
      <rPr>
        <sz val="11"/>
        <color rgb="FF000000"/>
        <rFont val="Calibri"/>
      </rPr>
      <t>Setting system policy to FIPS</t>
    </r>
    <r>
      <rPr>
        <sz val="11"/>
        <color rgb="FF000000"/>
        <rFont val="Calibri"/>
      </rPr>
      <t xml:space="preserve">
</t>
    </r>
    <r>
      <rPr>
        <sz val="11"/>
        <color rgb="FF000000"/>
        <rFont val="Calibri"/>
      </rPr>
      <t>Note: Systemwide crypto policies are applied on application startup. It is recommended to restart the system for the change of policies to fully take place.</t>
    </r>
  </si>
  <si>
    <r>
      <rPr>
        <sz val="11"/>
        <color rgb="FF000000"/>
        <rFont val="Calibri"/>
      </rPr>
      <t>Without cryptographic integrity protections, information can be altered by unauthorized users without detection.</t>
    </r>
    <r>
      <rPr>
        <sz val="11"/>
        <color rgb="FF000000"/>
        <rFont val="Calibri"/>
      </rPr>
      <t xml:space="preserve">
</t>
    </r>
    <r>
      <rPr>
        <sz val="11"/>
        <color rgb="FF000000"/>
        <rFont val="Calibri"/>
      </rPr>
      <t>Remote access (e.g., RDP) is access to DOD nonpublic information systems by an authorized user (or an information system) communicating through an external, nonorganization-controlled network. Remote access methods include, for example, dial-up, broadband, and wireless.</t>
    </r>
    <r>
      <rPr>
        <sz val="11"/>
        <color rgb="FF000000"/>
        <rFont val="Calibri"/>
      </rPr>
      <t xml:space="preserve">
</t>
    </r>
    <r>
      <rPr>
        <sz val="11"/>
        <color rgb="FF000000"/>
        <rFont val="Calibri"/>
      </rPr>
      <t>Cryptographic mechanisms used for protecting the integrity of information include, for example, signed hash functions using asymmetric cryptography enabling distribution of the public key to verify the hash information while maintaining the confidentiality of the secret key used to generate the hash.</t>
    </r>
    <r>
      <rPr>
        <sz val="11"/>
        <color rgb="FF000000"/>
        <rFont val="Calibri"/>
      </rPr>
      <t xml:space="preserve">
</t>
    </r>
    <r>
      <rPr>
        <sz val="11"/>
        <color rgb="FF000000"/>
        <rFont val="Calibri"/>
      </rPr>
      <t>OL 8 incorporates systemwide crypto policies by default. The SSH configuration file has no effect on the ciphers, MACs, or algorithms unless specifically defined in the /etc/sysconfig/sshd file. The employed algorithms can be viewed in the /etc/crypto-policies/back-ends/opensshserver.config file.</t>
    </r>
  </si>
  <si>
    <r>
      <rPr>
        <sz val="11"/>
        <color rgb="FF000000"/>
        <rFont val="Calibri"/>
      </rPr>
      <t>Verify the OL 8 SSH server is configured to use only MACs employing FIPS 140-3-approved algorithms.</t>
    </r>
    <r>
      <rPr>
        <sz val="11"/>
        <color rgb="FF000000"/>
        <rFont val="Calibri"/>
      </rPr>
      <t xml:space="preserve">
</t>
    </r>
    <r>
      <rPr>
        <sz val="11"/>
        <color rgb="FF000000"/>
        <rFont val="Calibri"/>
      </rPr>
      <t>To verify the MACs in the systemwide SSH configuration file, use the following command:</t>
    </r>
    <r>
      <rPr>
        <sz val="11"/>
        <color rgb="FF000000"/>
        <rFont val="Calibri"/>
      </rPr>
      <t xml:space="preserve">
</t>
    </r>
    <r>
      <rPr>
        <sz val="11"/>
        <color rgb="FF000000"/>
        <rFont val="Calibri"/>
      </rPr>
      <t>$ sudo grep -i MACs /etc/crypto-policies/back-ends/opensshserver.config</t>
    </r>
    <r>
      <rPr>
        <sz val="11"/>
        <color rgb="FF000000"/>
        <rFont val="Calibri"/>
      </rPr>
      <t xml:space="preserve">
</t>
    </r>
    <r>
      <rPr>
        <sz val="11"/>
        <color rgb="FF000000"/>
        <rFont val="Calibri"/>
      </rPr>
      <t>-oMACs=hmac-sha2-512-etm@openssh.com,hmac-sha2-256-etm@openssh.com,hmac-sha2-512,hmac-sha2-256</t>
    </r>
    <r>
      <rPr>
        <sz val="11"/>
        <color rgb="FF000000"/>
        <rFont val="Calibri"/>
      </rPr>
      <t xml:space="preserve">
</t>
    </r>
    <r>
      <rPr>
        <sz val="11"/>
        <color rgb="FF000000"/>
        <rFont val="Calibri"/>
      </rPr>
      <t>If the MACs entries in the "opensshserver.config" file have any hashes other than "hmac-sha2-512-etm@openssh.com,hmac-sha2-256-etm@openssh.com,hmac-sha2-512,hmac-sha2-256", or they are missing or commented out, this is a finding.</t>
    </r>
  </si>
  <si>
    <t>V-283458</t>
  </si>
  <si>
    <r>
      <rPr>
        <sz val="11"/>
        <rFont val="Calibri"/>
      </rPr>
      <t>The OL 8 SSH server must be configured to use only DOD-approved encryption ciphers employing FIPS 140-3 validated cryptographic hash algorithms to protect the confidentiality of SSH server connections.</t>
    </r>
  </si>
  <si>
    <r>
      <rPr>
        <sz val="11"/>
        <color rgb="FF000000"/>
        <rFont val="Calibri"/>
      </rPr>
      <t>Configure the OL 8 SSH server to use only ciphers employing FIPS 140-3-approved algorithms.</t>
    </r>
    <r>
      <rPr>
        <sz val="11"/>
        <color rgb="FF000000"/>
        <rFont val="Calibri"/>
      </rPr>
      <t xml:space="preserve">
</t>
    </r>
    <r>
      <rPr>
        <sz val="11"/>
        <color rgb="FF000000"/>
        <rFont val="Calibri"/>
      </rPr>
      <t>Reinstall crypto-policies with the following command:</t>
    </r>
    <r>
      <rPr>
        <sz val="11"/>
        <color rgb="FF000000"/>
        <rFont val="Calibri"/>
      </rPr>
      <t xml:space="preserve">
</t>
    </r>
    <r>
      <rPr>
        <sz val="11"/>
        <color rgb="FF000000"/>
        <rFont val="Calibri"/>
      </rPr>
      <t>$ sudo dnf -y reinstall crypto-policies</t>
    </r>
    <r>
      <rPr>
        <sz val="11"/>
        <color rgb="FF000000"/>
        <rFont val="Calibri"/>
      </rPr>
      <t xml:space="preserve">
</t>
    </r>
    <r>
      <rPr>
        <sz val="11"/>
        <color rgb="FF000000"/>
        <rFont val="Calibri"/>
      </rPr>
      <t>Set the crypto-policy to FIPS with the following command:</t>
    </r>
    <r>
      <rPr>
        <sz val="11"/>
        <color rgb="FF000000"/>
        <rFont val="Calibri"/>
      </rPr>
      <t xml:space="preserve">
</t>
    </r>
    <r>
      <rPr>
        <sz val="11"/>
        <color rgb="FF000000"/>
        <rFont val="Calibri"/>
      </rPr>
      <t>$ sudo update-crypto-policies --set FIPS</t>
    </r>
    <r>
      <rPr>
        <sz val="11"/>
        <color rgb="FF000000"/>
        <rFont val="Calibri"/>
      </rPr>
      <t xml:space="preserve">
</t>
    </r>
    <r>
      <rPr>
        <sz val="11"/>
        <color rgb="FF000000"/>
        <rFont val="Calibri"/>
      </rPr>
      <t>Setting system policy to FIPS</t>
    </r>
    <r>
      <rPr>
        <sz val="11"/>
        <color rgb="FF000000"/>
        <rFont val="Calibri"/>
      </rPr>
      <t xml:space="preserve">
</t>
    </r>
    <r>
      <rPr>
        <sz val="11"/>
        <color rgb="FF000000"/>
        <rFont val="Calibri"/>
      </rPr>
      <t>Note: Systemwide crypto policies are applied on application startup. It is recommended to restart the system for the change of policies to fully take place.</t>
    </r>
  </si>
  <si>
    <r>
      <rPr>
        <sz val="11"/>
        <color rgb="FF000000"/>
        <rFont val="Calibri"/>
      </rPr>
      <t>Verify the OL 8 SSH server is configured to use only ciphers employing FIPS 140-3-approved algorithms.</t>
    </r>
    <r>
      <rPr>
        <sz val="11"/>
        <color rgb="FF000000"/>
        <rFont val="Calibri"/>
      </rPr>
      <t xml:space="preserve">
</t>
    </r>
    <r>
      <rPr>
        <sz val="11"/>
        <color rgb="FF000000"/>
        <rFont val="Calibri"/>
      </rPr>
      <t>To verify the ciphers in the systemwide SSH configuration file, use the following command:</t>
    </r>
    <r>
      <rPr>
        <sz val="11"/>
        <color rgb="FF000000"/>
        <rFont val="Calibri"/>
      </rPr>
      <t xml:space="preserve">
</t>
    </r>
    <r>
      <rPr>
        <sz val="11"/>
        <color rgb="FF000000"/>
        <rFont val="Calibri"/>
      </rPr>
      <t xml:space="preserve">$ sudo grep -i Ciphers /etc/crypto-policies/back-ends/opensshserver.config </t>
    </r>
    <r>
      <rPr>
        <sz val="11"/>
        <color rgb="FF000000"/>
        <rFont val="Calibri"/>
      </rPr>
      <t xml:space="preserve">
</t>
    </r>
    <r>
      <rPr>
        <sz val="11"/>
        <color rgb="FF000000"/>
        <rFont val="Calibri"/>
      </rPr>
      <t>CRYPTO_POLICY='-oCiphers=aes256-gcm@openssh.com,aes256-ctr,aes128-gcm@openssh.com,aes128-ctr</t>
    </r>
    <r>
      <rPr>
        <sz val="11"/>
        <color rgb="FF000000"/>
        <rFont val="Calibri"/>
      </rPr>
      <t xml:space="preserve">
</t>
    </r>
    <r>
      <rPr>
        <sz val="11"/>
        <color rgb="FF000000"/>
        <rFont val="Calibri"/>
      </rPr>
      <t>If the cipher entries in the "opensshserver.config" file have any ciphers other than "aes256-gcm@openssh.com,aes256-ctr,aes128-gcm@openssh.com,aes128-ctr", or they are missing or commented out, this is a finding.</t>
    </r>
  </si>
  <si>
    <t>V-283459</t>
  </si>
  <si>
    <r>
      <rPr>
        <sz val="11"/>
        <rFont val="Calibri"/>
      </rPr>
      <t xml:space="preserve">The OL 8 lastlog command must have a mode of </t>
    </r>
    <r>
      <rPr>
        <sz val="11"/>
        <color rgb="FF000000"/>
        <rFont val="Calibri"/>
      </rPr>
      <t>"</t>
    </r>
    <r>
      <rPr>
        <b/>
        <sz val="11"/>
        <color rgb="FF000000"/>
        <rFont val="Calibri"/>
      </rPr>
      <t>0750</t>
    </r>
    <r>
      <rPr>
        <sz val="11"/>
        <color rgb="FF000000"/>
        <rFont val="Calibri"/>
      </rPr>
      <t>"</t>
    </r>
    <r>
      <rPr>
        <sz val="11"/>
        <color rgb="FF000000"/>
        <rFont val="Calibri"/>
      </rPr>
      <t xml:space="preserve"> or less permissive.</t>
    </r>
  </si>
  <si>
    <r>
      <rPr>
        <sz val="11"/>
        <color rgb="FF000000"/>
        <rFont val="Calibri"/>
      </rPr>
      <t xml:space="preserve">Configure the mode of the "lastlog" command for OL 8 to "0750" with the following command:  </t>
    </r>
    <r>
      <rPr>
        <sz val="11"/>
        <color rgb="FF000000"/>
        <rFont val="Calibri"/>
      </rPr>
      <t xml:space="preserve">
</t>
    </r>
    <r>
      <rPr>
        <sz val="11"/>
        <color rgb="FF000000"/>
        <rFont val="Calibri"/>
      </rPr>
      <t>$ sudo chmod 0750 /usr/bin/lastlog</t>
    </r>
  </si>
  <si>
    <r>
      <rPr>
        <sz val="11"/>
        <color rgb="FF000000"/>
        <rFont val="Calibri"/>
      </rPr>
      <t xml:space="preserve">Verify the "lastlog" command has a mode of "0750" or less permissive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stat -c "%a %n" /usr/bin/lastlog</t>
    </r>
    <r>
      <rPr>
        <sz val="11"/>
        <color rgb="FF000000"/>
        <rFont val="Calibri"/>
      </rPr>
      <t xml:space="preserve">
</t>
    </r>
    <r>
      <rPr>
        <sz val="11"/>
        <color rgb="FF000000"/>
        <rFont val="Calibri"/>
      </rPr>
      <t>750  /usr/bin/lastlog</t>
    </r>
    <r>
      <rPr>
        <sz val="11"/>
        <color rgb="FF000000"/>
        <rFont val="Calibri"/>
      </rPr>
      <t xml:space="preserve">
</t>
    </r>
    <r>
      <rPr>
        <sz val="11"/>
        <color rgb="FF000000"/>
        <rFont val="Calibri"/>
      </rPr>
      <t>If the "lastlog" command has a mode more permissive than "0750",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</si>
  <si>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</si>
  <si>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</si>
  <si>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</si>
  <si>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</si>
  <si>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</si>
  <si>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</si>
  <si>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</si>
  <si>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</si>
  <si>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</si>
  <si>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</si>
  <si>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</si>
  <si>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</si>
  <si>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</si>
  <si>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</si>
  <si>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</si>
  <si>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</si>
  <si>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</si>
  <si>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</si>
  <si>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</si>
  <si>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</si>
  <si>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</si>
  <si>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</si>
  <si>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</si>
  <si>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</si>
  <si>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</si>
  <si>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</si>
  <si>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</si>
  <si>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</si>
  <si>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</si>
  <si>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Oracle Linux 8 Security Technical Implementation Guide V2R8</t>
  </si>
  <si>
    <t>Developed By:</t>
  </si>
  <si>
    <t>Oracle and Defense Information Systems Agency (DISA) for the US DoD</t>
  </si>
  <si>
    <t>Release Information:</t>
  </si>
  <si>
    <r>
      <rPr>
        <b/>
        <sz val="11"/>
        <color rgb="FF000000"/>
        <rFont val="Calibri"/>
      </rPr>
      <t>Version:</t>
    </r>
    <r>
      <rPr>
        <sz val="11"/>
        <color rgb="FF000000"/>
        <rFont val="Calibri"/>
      </rPr>
      <t xml:space="preserve"> V2R8    </t>
    </r>
    <r>
      <rPr>
        <b/>
        <sz val="11"/>
        <color rgb="FF000000"/>
        <rFont val="Calibri"/>
      </rPr>
      <t>Date:</t>
    </r>
    <r>
      <rPr>
        <sz val="11"/>
        <color rgb="FF000000"/>
        <rFont val="Calibri"/>
      </rPr>
      <t xml:space="preserve"> 01 April 2026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375</t>
    </r>
  </si>
  <si>
    <t>Download Url:</t>
  </si>
  <si>
    <t>https://www.cyber.mil/stigs</t>
  </si>
  <si>
    <t>Guide Overview:</t>
  </si>
  <si>
    <r>
      <rPr>
        <sz val="11"/>
        <color rgb="FF000000"/>
        <rFont val="Calibri"/>
      </rPr>
      <t>The Oracle Linux 8 (OL 8) Security Technical Implementation Guide (STIG) is published as a tool to improve the security of the Department of Defense (DOD) information systems. The requirements were developed from the General Purpose Operating System Security Requirements Guide (GPOS SRG).</t>
    </r>
    <r>
      <rPr>
        <sz val="11"/>
        <color rgb="FF000000"/>
        <rFont val="Calibri"/>
      </rPr>
      <t xml:space="preserve">
</t>
    </r>
    <r>
      <rPr>
        <sz val="11"/>
        <color rgb="FF000000"/>
        <rFont val="Calibri"/>
      </rPr>
      <t>The vulnerabilities discussed in this document are applicable to OL 8 installations. This document is meant for use in conjunction with the Enclave, Network Infrastructure, Secure Remote Computing, and appropriate application STIGs.</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</si>
  <si>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</si>
  <si>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</si>
  <si>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</si>
  <si>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</si>
  <si>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</si>
  <si>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</si>
  <si>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</si>
  <si>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</si>
  <si>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</si>
  <si>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</si>
  <si>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</si>
  <si>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</si>
  <si>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</si>
  <si>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</si>
  <si>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</si>
  <si>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</si>
  <si>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</si>
  <si>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</si>
  <si>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</si>
  <si>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</si>
  <si>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</si>
  <si>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</si>
  <si>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</si>
  <si>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</si>
  <si>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</si>
  <si>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</si>
  <si>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</si>
  <si>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</si>
  <si>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</si>
  <si>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</si>
  <si>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</si>
  <si>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</si>
  <si>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</si>
  <si>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</si>
  <si>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</si>
  <si>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</si>
  <si>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</si>
  <si>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</si>
  <si>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</si>
  <si>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</si>
  <si>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</si>
  <si>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</si>
  <si>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</si>
  <si>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</si>
  <si>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</si>
  <si>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</si>
  <si>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</si>
  <si>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Oracle Linux 8 Security Technical Implementation Guide V2R8</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</si>
  <si>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</si>
  <si>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</si>
  <si>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</si>
  <si>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</si>
  <si>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</si>
  <si>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</si>
  <si>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</si>
  <si>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</si>
  <si>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</si>
  <si>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</si>
  <si>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</si>
  <si>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</si>
  <si>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</si>
  <si>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</si>
  <si>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</si>
  <si>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</si>
  <si>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</si>
  <si>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</si>
  <si>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</si>
  <si>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</si>
  <si>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</si>
  <si>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</si>
  <si>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</si>
  <si>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</si>
  <si>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</si>
  <si>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</si>
  <si>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</si>
  <si>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</si>
  <si>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</si>
  <si>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</si>
  <si>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</si>
  <si>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</si>
  <si>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</si>
  <si>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</si>
  <si>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</si>
  <si>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</si>
  <si>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</si>
  <si>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</si>
  <si>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</si>
  <si>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</si>
  <si>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</si>
  <si>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</si>
  <si>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</si>
  <si>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</si>
  <si>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</si>
  <si>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</si>
  <si>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(C69)</t>
  </si>
  <si>
    <t>% Must</t>
  </si>
  <si>
    <t>Should Count (C70)</t>
  </si>
  <si>
    <t>% Should</t>
  </si>
  <si>
    <t>Could Count (C71)</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</si>
  <si>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</si>
  <si>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</si>
  <si>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</si>
  <si>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</si>
  <si>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</si>
  <si>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</si>
  <si>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</si>
  <si>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</si>
  <si>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</si>
  <si>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</si>
  <si>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</si>
  <si>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</si>
  <si>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</si>
  <si>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</si>
  <si>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</si>
  <si>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</si>
  <si>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</si>
  <si>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</si>
  <si>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</si>
  <si>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</si>
  <si>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</si>
  <si>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</si>
  <si>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</si>
  <si>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</si>
  <si>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</si>
  <si>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</si>
  <si>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</si>
  <si>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</si>
  <si>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</si>
  <si>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</si>
  <si>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</si>
  <si>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</si>
  <si>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</si>
  <si>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</si>
  <si>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</si>
  <si>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</si>
  <si>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</si>
  <si>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</si>
  <si>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</si>
  <si>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</si>
  <si>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</si>
  <si>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</si>
  <si>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</si>
  <si>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</si>
  <si>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</si>
  <si>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</si>
  <si>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</si>
  <si>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</si>
  <si>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</si>
  <si>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</si>
  <si>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</si>
  <si>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</si>
  <si>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</si>
  <si>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</si>
  <si>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</si>
  <si>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</si>
  <si>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</si>
  <si>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</si>
  <si>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</si>
  <si>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</si>
  <si>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</si>
  <si>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</si>
  <si>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</si>
  <si>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</si>
  <si>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</si>
  <si>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</si>
  <si>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</si>
  <si>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</si>
  <si>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</si>
  <si>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</si>
  <si>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</si>
  <si>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</si>
  <si>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</si>
  <si>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</si>
  <si>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</si>
  <si>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</si>
  <si>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</si>
  <si>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</si>
  <si>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</si>
  <si>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</si>
  <si>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</si>
  <si>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</si>
  <si>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</si>
  <si>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</si>
  <si>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</si>
  <si>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</si>
  <si>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</si>
  <si>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</si>
  <si>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</si>
  <si>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</si>
  <si>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</si>
  <si>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</si>
  <si>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</si>
  <si>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</si>
  <si>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</si>
  <si>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</si>
  <si>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</si>
  <si>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</si>
  <si>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</si>
  <si>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</si>
  <si>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</si>
  <si>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</si>
  <si>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</si>
  <si>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</si>
  <si>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</si>
  <si>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</si>
  <si>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</si>
  <si>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</si>
  <si>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</si>
  <si>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</si>
  <si>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</si>
  <si>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</si>
  <si>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</si>
  <si>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</si>
  <si>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</si>
  <si>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</si>
  <si>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</si>
  <si>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</si>
  <si>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</si>
  <si>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</si>
  <si>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</si>
  <si>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</si>
  <si>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</si>
  <si>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</si>
  <si>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</si>
  <si>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</si>
  <si>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</si>
  <si>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</si>
  <si>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</si>
  <si>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</si>
  <si>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</si>
  <si>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</si>
  <si>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</si>
  <si>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</si>
  <si>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</si>
  <si>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</si>
  <si>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</si>
  <si>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</si>
  <si>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</si>
  <si>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</si>
  <si>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</si>
  <si>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</si>
  <si>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</si>
  <si>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</si>
  <si>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</si>
  <si>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</si>
  <si>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</si>
  <si>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</si>
  <si>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</si>
  <si>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</si>
  <si>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</si>
  <si>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</si>
  <si>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</si>
  <si>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</si>
  <si>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</si>
  <si>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</si>
  <si>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</si>
  <si>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</si>
  <si>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</si>
  <si>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</si>
  <si>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</si>
  <si>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</si>
  <si>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</si>
  <si>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</si>
  <si>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</si>
  <si>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</si>
  <si>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</si>
  <si>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</si>
  <si>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</si>
  <si>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</si>
  <si>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</si>
  <si>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</si>
  <si>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</si>
  <si>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</si>
  <si>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</si>
  <si>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</si>
  <si>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</si>
  <si>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</si>
  <si>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</si>
  <si>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</si>
  <si>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</si>
  <si>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</si>
  <si>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</si>
  <si>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</si>
  <si>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</si>
  <si>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</si>
  <si>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</si>
  <si>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</si>
  <si>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</si>
  <si>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</si>
  <si>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</si>
  <si>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</si>
  <si>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</si>
  <si>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</si>
  <si>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</si>
  <si>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</si>
  <si>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</si>
  <si>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</si>
  <si>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</si>
  <si>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</si>
  <si>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</si>
  <si>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</si>
  <si>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</si>
  <si>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</si>
  <si>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</si>
  <si>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</si>
  <si>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</si>
  <si>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</si>
  <si>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</si>
  <si>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</si>
  <si>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</si>
  <si>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</si>
  <si>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</si>
  <si>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</si>
  <si>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</si>
  <si>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</si>
  <si>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</si>
  <si>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</si>
  <si>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</si>
  <si>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</si>
  <si>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</si>
  <si>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</si>
  <si>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</si>
  <si>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</si>
  <si>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</si>
  <si>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</si>
  <si>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</si>
  <si>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</si>
  <si>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</si>
  <si>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</si>
  <si>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</si>
  <si>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</si>
  <si>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</si>
  <si>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</si>
  <si>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</si>
  <si>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</si>
  <si>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</si>
  <si>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</si>
  <si>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</si>
  <si>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</si>
  <si>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</si>
  <si>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</si>
  <si>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</si>
  <si>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</si>
  <si>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</si>
  <si>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</si>
  <si>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</si>
  <si>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</si>
  <si>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</si>
  <si>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</si>
  <si>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</si>
  <si>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</si>
  <si>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</si>
  <si>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</si>
  <si>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</si>
  <si>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</si>
  <si>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</si>
  <si>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</si>
  <si>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</si>
  <si>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</si>
  <si>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</si>
  <si>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</si>
  <si>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</si>
  <si>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</si>
  <si>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</si>
  <si>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</si>
  <si>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</si>
  <si>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</si>
  <si>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</si>
  <si>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</si>
  <si>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</si>
  <si>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</si>
  <si>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</si>
  <si>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</si>
  <si>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</si>
  <si>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</si>
  <si>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</si>
  <si>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</si>
  <si>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</si>
  <si>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</si>
  <si>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</si>
  <si>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</si>
  <si>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</si>
  <si>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</si>
  <si>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</si>
  <si>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</si>
  <si>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</si>
  <si>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</si>
  <si>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</si>
  <si>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</si>
  <si>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</si>
  <si>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</si>
  <si>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</si>
  <si>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</si>
  <si>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</si>
  <si>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</si>
  <si>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</si>
  <si>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</si>
  <si>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</si>
  <si>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</si>
  <si>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</si>
  <si>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</si>
  <si>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</si>
  <si>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</si>
  <si>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</si>
  <si>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</si>
  <si>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</si>
  <si>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</si>
  <si>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</si>
  <si>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</si>
  <si>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</si>
  <si>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</si>
  <si>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</si>
  <si>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</si>
  <si>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</si>
  <si>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</si>
  <si>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</si>
  <si>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</si>
  <si>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</si>
  <si>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</si>
  <si>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</si>
  <si>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</si>
  <si>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</si>
  <si>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</si>
  <si>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</si>
  <si>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</si>
  <si>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</si>
  <si>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</si>
  <si>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</si>
  <si>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</si>
  <si>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</si>
  <si>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</si>
  <si>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</si>
  <si>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</si>
  <si>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</si>
  <si>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</si>
  <si>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</si>
  <si>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</si>
  <si>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</si>
  <si>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</si>
  <si>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</si>
  <si>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</si>
  <si>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</si>
  <si>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</si>
  <si>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</si>
  <si>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</si>
  <si>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</si>
  <si>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</si>
  <si>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</si>
  <si>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</si>
  <si>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</si>
  <si>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</si>
  <si>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</si>
  <si>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</si>
  <si>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</si>
  <si>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</si>
  <si>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</si>
  <si>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</si>
  <si>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</si>
  <si>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</si>
  <si>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</si>
  <si>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</si>
  <si>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</si>
  <si>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</si>
  <si>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</si>
  <si>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</si>
  <si>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</si>
  <si>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</si>
  <si>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</si>
  <si>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</si>
  <si>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</si>
  <si>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</si>
  <si>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</si>
  <si>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</si>
  <si>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</si>
  <si>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</si>
  <si>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</si>
  <si>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</si>
  <si>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</si>
  <si>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</si>
  <si>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</si>
  <si>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</si>
  <si>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</si>
  <si>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</si>
  <si>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</si>
  <si>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</si>
  <si>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</si>
  <si>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</si>
  <si>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</si>
  <si>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</si>
  <si>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</si>
  <si>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</si>
  <si>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</si>
  <si>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</si>
  <si>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</si>
  <si>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</si>
  <si>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</si>
  <si>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</si>
  <si>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</si>
  <si>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</si>
  <si>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</si>
  <si>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</si>
  <si>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</si>
  <si>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</si>
  <si>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</si>
  <si>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</si>
  <si>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</si>
  <si>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</si>
  <si>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</si>
  <si>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</si>
  <si>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</si>
  <si>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</si>
  <si>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</si>
  <si>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</si>
  <si>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</si>
  <si>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</si>
  <si>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</si>
  <si>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</si>
  <si>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</si>
  <si>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</si>
  <si>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</si>
  <si>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</si>
  <si>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</si>
  <si>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</si>
  <si>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</si>
  <si>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</si>
  <si>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</si>
  <si>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</si>
  <si>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</si>
  <si>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</si>
  <si>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</si>
  <si>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</si>
  <si>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</si>
  <si>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</si>
  <si>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</si>
  <si>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</si>
  <si>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</si>
  <si>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</si>
  <si>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</si>
  <si>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</si>
  <si>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</si>
  <si>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</si>
  <si>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</si>
  <si>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</si>
  <si>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</si>
  <si>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</si>
  <si>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</si>
  <si>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</si>
  <si>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</si>
  <si>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</si>
  <si>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</si>
  <si>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</si>
  <si>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</si>
  <si>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</si>
  <si>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</si>
  <si>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</si>
  <si>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</si>
  <si>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</si>
  <si>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</si>
  <si>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</si>
  <si>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</si>
  <si>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</si>
  <si>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</si>
  <si>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</si>
  <si>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</si>
  <si>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</si>
  <si>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</si>
  <si>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</si>
  <si>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</si>
  <si>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</si>
  <si>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</si>
  <si>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</si>
  <si>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</si>
  <si>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</si>
  <si>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</si>
  <si>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</si>
  <si>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</si>
  <si>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</si>
  <si>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</si>
  <si>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</si>
  <si>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</si>
  <si>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</si>
  <si>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</si>
  <si>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</si>
  <si>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</si>
  <si>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</si>
  <si>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</si>
  <si>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</si>
  <si>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</si>
  <si>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</si>
  <si>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</si>
  <si>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</si>
  <si>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</si>
  <si>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</si>
  <si>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</si>
  <si>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</si>
  <si>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</si>
  <si>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</si>
  <si>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</si>
  <si>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</si>
  <si>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</si>
  <si>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</si>
  <si>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</si>
  <si>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</si>
  <si>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</si>
  <si>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</si>
  <si>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</si>
  <si>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</si>
  <si>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</si>
  <si>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</si>
  <si>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</si>
  <si>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</si>
  <si>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</si>
  <si>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</si>
  <si>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</si>
  <si>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</si>
  <si>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</si>
  <si>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</si>
  <si>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</si>
  <si>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</si>
  <si>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</si>
  <si>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</si>
  <si>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</si>
  <si>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</si>
  <si>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</si>
  <si>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</si>
  <si>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</si>
  <si>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</si>
  <si>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</si>
  <si>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</si>
  <si>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</si>
  <si>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</si>
  <si>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</si>
  <si>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</si>
  <si>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</si>
  <si>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</si>
  <si>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</si>
  <si>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</si>
  <si>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</si>
  <si>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</si>
  <si>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</si>
  <si>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</si>
  <si>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</si>
  <si>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</si>
  <si>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</si>
  <si>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</si>
  <si>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</si>
  <si>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</si>
  <si>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</si>
  <si>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</si>
  <si>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</si>
  <si>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</si>
  <si>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</si>
  <si>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</si>
  <si>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</si>
  <si>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</si>
  <si>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</si>
  <si>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</si>
  <si>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</si>
  <si>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</si>
  <si>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</si>
  <si>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</si>
  <si>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</si>
  <si>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</si>
  <si>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</si>
  <si>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</si>
  <si>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</si>
  <si>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</si>
  <si>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</si>
  <si>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</si>
  <si>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</si>
  <si>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</si>
  <si>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</si>
  <si>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</si>
  <si>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</si>
  <si>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</si>
  <si>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</si>
  <si>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</si>
  <si>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</si>
  <si>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</si>
  <si>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</si>
  <si>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</si>
  <si>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</si>
  <si>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</si>
  <si>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</si>
  <si>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</si>
  <si>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</si>
  <si>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</si>
  <si>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</si>
  <si>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</si>
  <si>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</si>
  <si>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</si>
  <si>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</si>
  <si>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</si>
  <si>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</si>
  <si>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</si>
  <si>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</si>
  <si>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</si>
  <si>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</si>
  <si>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</si>
  <si>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</si>
  <si>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</si>
  <si>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</si>
  <si>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</si>
  <si>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</si>
  <si>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</si>
  <si>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</si>
  <si>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</si>
  <si>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</si>
  <si>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</si>
  <si>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</si>
  <si>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</si>
  <si>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</si>
  <si>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</si>
  <si>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</si>
  <si>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</si>
  <si>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</si>
  <si>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</si>
  <si>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</si>
  <si>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</si>
  <si>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</si>
  <si>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</si>
  <si>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</si>
  <si>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</si>
  <si>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</si>
  <si>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</si>
  <si>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</si>
  <si>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</si>
  <si>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</si>
  <si>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</si>
  <si>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</si>
  <si>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</si>
  <si>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</si>
  <si>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</si>
  <si>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</si>
  <si>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</si>
  <si>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</si>
  <si>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</si>
  <si>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</si>
  <si>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</si>
  <si>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</si>
  <si>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</si>
  <si>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</si>
  <si>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</si>
  <si>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</si>
  <si>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</si>
  <si>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</si>
  <si>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</si>
  <si>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</si>
  <si>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</si>
  <si>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</si>
  <si>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</si>
  <si>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</si>
  <si>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</si>
  <si>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</si>
  <si>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</si>
  <si>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</si>
  <si>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</si>
  <si>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</si>
  <si>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</si>
  <si>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</si>
  <si>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</si>
  <si>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</si>
  <si>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</si>
  <si>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</si>
  <si>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</si>
  <si>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</si>
  <si>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</si>
  <si>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</si>
  <si>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</si>
  <si>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</si>
  <si>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</si>
  <si>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</si>
  <si>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</si>
  <si>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</si>
  <si>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</si>
  <si>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</si>
  <si>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</si>
  <si>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</si>
  <si>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</si>
  <si>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</si>
  <si>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</si>
  <si>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</si>
  <si>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</si>
  <si>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</si>
  <si>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</si>
  <si>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</si>
  <si>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</si>
  <si>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</si>
  <si>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</si>
  <si>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</si>
  <si>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</si>
  <si>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</si>
  <si>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</si>
  <si>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</si>
  <si>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</si>
  <si>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</si>
  <si>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</si>
  <si>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</si>
  <si>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</si>
  <si>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</si>
  <si>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</si>
  <si>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</si>
  <si>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</si>
  <si>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</si>
  <si>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</si>
  <si>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</si>
  <si>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</si>
  <si>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</si>
  <si>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</si>
  <si>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</si>
  <si>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</si>
  <si>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</si>
  <si>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</si>
  <si>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</si>
  <si>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</si>
  <si>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</si>
  <si>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</si>
  <si>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</si>
  <si>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</si>
  <si>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</si>
  <si>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</si>
  <si>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</si>
  <si>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</si>
  <si>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</si>
  <si>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</si>
  <si>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</si>
  <si>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</si>
  <si>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</si>
  <si>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</si>
  <si>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</si>
  <si>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</si>
  <si>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</si>
  <si>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</si>
  <si>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</si>
  <si>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</si>
  <si>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</si>
  <si>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</si>
  <si>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</si>
  <si>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</si>
  <si>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</si>
  <si>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</si>
  <si>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</si>
  <si>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</si>
  <si>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</si>
  <si>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</si>
  <si>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</si>
  <si>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</si>
  <si>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</si>
  <si>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</si>
  <si>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</si>
  <si>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</si>
  <si>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</si>
  <si>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</si>
  <si>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</si>
  <si>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</si>
  <si>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</si>
  <si>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</si>
  <si>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</si>
  <si>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</si>
  <si>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</si>
  <si>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</si>
  <si>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</si>
  <si>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</si>
  <si>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</si>
  <si>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</si>
  <si>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</si>
  <si>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</si>
  <si>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</si>
  <si>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</si>
  <si>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</si>
  <si>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</si>
  <si>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</si>
  <si>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</si>
  <si>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</si>
  <si>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</si>
  <si>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</si>
  <si>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</si>
  <si>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</si>
  <si>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</si>
  <si>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</si>
  <si>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</si>
  <si>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</si>
  <si>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</si>
  <si>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</si>
  <si>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</si>
  <si>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</si>
  <si>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</si>
  <si>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</si>
  <si>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</si>
  <si>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</si>
  <si>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</si>
  <si>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</si>
  <si>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</si>
  <si>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</si>
  <si>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</si>
  <si>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</si>
  <si>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</si>
  <si>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</si>
  <si>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</si>
  <si>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</si>
  <si>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</si>
  <si>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</si>
  <si>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</si>
  <si>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</si>
  <si>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</si>
  <si>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</si>
  <si>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</si>
  <si>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</si>
  <si>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</si>
  <si>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</si>
  <si>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</si>
  <si>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</si>
  <si>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</si>
  <si>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</si>
  <si>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</si>
  <si>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</si>
  <si>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</si>
  <si>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</si>
  <si>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</si>
  <si>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</si>
  <si>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</si>
  <si>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</si>
  <si>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</si>
  <si>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</si>
  <si>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</si>
  <si>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</si>
  <si>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</si>
  <si>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</si>
  <si>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</si>
  <si>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</si>
  <si>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</si>
  <si>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</si>
  <si>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</si>
  <si>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</si>
  <si>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</si>
  <si>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</si>
  <si>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</si>
  <si>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</si>
  <si>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</si>
  <si>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</si>
  <si>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</si>
  <si>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</si>
  <si>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</si>
  <si>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</si>
  <si>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</si>
  <si>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</si>
  <si>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</si>
  <si>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</si>
  <si>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</si>
  <si>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</si>
  <si>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</si>
  <si>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</si>
  <si>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</si>
  <si>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</si>
  <si>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</si>
  <si>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</si>
  <si>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</si>
  <si>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</si>
  <si>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</si>
  <si>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</si>
  <si>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</si>
  <si>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</si>
  <si>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</si>
  <si>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</si>
  <si>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</si>
  <si>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</si>
  <si>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</si>
  <si>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</si>
  <si>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</si>
  <si>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</si>
  <si>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</si>
  <si>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</si>
  <si>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</si>
  <si>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</si>
  <si>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</si>
  <si>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</si>
  <si>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</si>
  <si>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</si>
  <si>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</si>
  <si>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</si>
  <si>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</si>
  <si>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</si>
  <si>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</si>
  <si>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</si>
  <si>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</si>
  <si>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</si>
  <si>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</si>
  <si>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</si>
  <si>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</si>
  <si>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</si>
  <si>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</si>
  <si>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</si>
  <si>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</si>
  <si>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</si>
  <si>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</si>
  <si>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</si>
  <si>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</si>
  <si>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</si>
  <si>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</si>
  <si>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</si>
  <si>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</si>
  <si>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</si>
  <si>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</si>
  <si>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</si>
  <si>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</si>
  <si>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</si>
  <si>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</si>
  <si>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</si>
  <si>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</si>
  <si>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</si>
  <si>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</si>
  <si>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</si>
  <si>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</si>
  <si>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</si>
  <si>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</si>
  <si>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</si>
  <si>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</si>
  <si>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</si>
  <si>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</si>
  <si>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</si>
  <si>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</si>
  <si>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</si>
  <si>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</si>
  <si>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</si>
  <si>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</si>
  <si>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</si>
  <si>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</si>
  <si>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</si>
  <si>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</si>
  <si>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</si>
  <si>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</si>
  <si>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</si>
  <si>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</si>
  <si>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</si>
  <si>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</si>
  <si>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</si>
  <si>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</si>
  <si>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</si>
  <si>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</si>
  <si>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</si>
  <si>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</si>
  <si>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</si>
  <si>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</si>
  <si>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</si>
  <si>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</si>
  <si>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</si>
  <si>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</si>
  <si>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</si>
  <si>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</si>
  <si>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</si>
  <si>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</si>
  <si>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</si>
  <si>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</si>
  <si>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</si>
  <si>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</si>
  <si>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</si>
  <si>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</si>
  <si>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</si>
  <si>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</si>
  <si>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</si>
  <si>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</si>
  <si>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</si>
  <si>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</si>
  <si>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</si>
  <si>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</si>
  <si>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</si>
  <si>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</si>
  <si>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</si>
  <si>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</si>
  <si>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</si>
  <si>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</si>
  <si>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</si>
  <si>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</si>
  <si>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</si>
  <si>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</si>
  <si>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</si>
  <si>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</si>
  <si>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</si>
  <si>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</si>
  <si>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</si>
  <si>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</si>
  <si>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</si>
  <si>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</si>
  <si>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</si>
  <si>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</si>
  <si>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</si>
  <si>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</si>
  <si>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</si>
  <si>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</si>
  <si>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</si>
  <si>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</si>
  <si>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</si>
  <si>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</si>
  <si>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</si>
  <si>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</si>
  <si>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</si>
  <si>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</si>
  <si>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</si>
  <si>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</si>
  <si>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</si>
  <si>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</si>
  <si>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</si>
  <si>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</si>
  <si>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</si>
  <si>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</si>
  <si>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</si>
  <si>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</si>
  <si>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</si>
  <si>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</si>
  <si>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</si>
  <si>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</si>
  <si>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</si>
  <si>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</si>
  <si>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</si>
  <si>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</si>
  <si>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</si>
  <si>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</si>
  <si>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</si>
  <si>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</si>
  <si>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</si>
  <si>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</si>
  <si>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</si>
  <si>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</si>
  <si>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</si>
  <si>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</si>
  <si>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</si>
  <si>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</si>
  <si>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</si>
  <si>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</si>
  <si>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</si>
  <si>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</si>
  <si>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</si>
  <si>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</si>
  <si>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</si>
  <si>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</si>
  <si>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</si>
  <si>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</si>
  <si>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</si>
  <si>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</si>
  <si>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</si>
  <si>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</si>
  <si>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</si>
  <si>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</si>
  <si>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</si>
  <si>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</si>
  <si>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</si>
  <si>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</si>
  <si>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</si>
  <si>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</si>
  <si>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</si>
  <si>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</si>
  <si>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</si>
  <si>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</si>
  <si>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</si>
  <si>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</si>
  <si>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</si>
  <si>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</si>
  <si>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</si>
  <si>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</si>
  <si>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</si>
  <si>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</si>
  <si>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</si>
  <si>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</si>
  <si>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</si>
  <si>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</si>
  <si>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</si>
  <si>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</si>
  <si>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</si>
  <si>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</si>
  <si>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</si>
  <si>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</si>
  <si>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</si>
  <si>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</si>
  <si>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</si>
  <si>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</si>
  <si>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</si>
  <si>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</si>
  <si>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</si>
  <si>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</si>
  <si>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</si>
  <si>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</si>
  <si>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</si>
  <si>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</si>
  <si>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</si>
  <si>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</si>
  <si>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</si>
  <si>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</si>
  <si>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</si>
  <si>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</si>
  <si>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</si>
  <si>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</si>
  <si>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</si>
  <si>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</si>
  <si>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</si>
  <si>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</si>
  <si>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</si>
  <si>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</si>
  <si>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</si>
  <si>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</si>
  <si>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</si>
  <si>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</si>
  <si>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</si>
  <si>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</si>
  <si>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</si>
  <si>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</si>
  <si>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</si>
  <si>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</si>
  <si>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</si>
  <si>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</si>
  <si>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</si>
  <si>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</si>
  <si>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</si>
  <si>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</si>
  <si>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</si>
  <si>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</si>
  <si>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</si>
  <si>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</si>
  <si>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</si>
  <si>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</si>
  <si>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</si>
  <si>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</si>
  <si>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</si>
  <si>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</si>
  <si>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</si>
  <si>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</si>
  <si>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</si>
  <si>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</si>
  <si>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</si>
  <si>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</si>
  <si>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</si>
  <si>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</si>
  <si>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</si>
  <si>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</si>
  <si>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</si>
  <si>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</si>
  <si>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</si>
  <si>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</si>
  <si>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</si>
  <si>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</si>
  <si>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</si>
  <si>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</si>
  <si>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</si>
  <si>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</si>
  <si>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</si>
  <si>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</si>
  <si>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</si>
  <si>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</si>
  <si>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</si>
  <si>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</si>
  <si>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</si>
  <si>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</si>
  <si>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</si>
  <si>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</si>
  <si>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</si>
  <si>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</si>
  <si>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</si>
  <si>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</si>
  <si>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</si>
  <si>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</si>
  <si>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</si>
  <si>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</si>
  <si>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</si>
  <si>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</si>
  <si>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</si>
  <si>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</si>
  <si>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</si>
  <si>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</si>
  <si>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</si>
  <si>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</si>
  <si>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</si>
  <si>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</si>
  <si>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</si>
  <si>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</si>
  <si>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</si>
  <si>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</si>
  <si>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</si>
  <si>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</si>
  <si>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</si>
  <si>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</si>
  <si>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</si>
  <si>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</si>
  <si>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</si>
  <si>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</si>
  <si>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</si>
  <si>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</si>
  <si>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</si>
  <si>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</si>
  <si>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</si>
  <si>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</si>
  <si>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</si>
  <si>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</si>
  <si>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</si>
  <si>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</si>
  <si>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</si>
  <si>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</si>
  <si>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</si>
  <si>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</si>
  <si>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</si>
  <si>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</si>
  <si>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</si>
  <si>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</si>
  <si>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</si>
  <si>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</si>
  <si>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</si>
  <si>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</si>
  <si>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</si>
  <si>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</si>
  <si>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</si>
  <si>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</si>
  <si>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</si>
  <si>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</si>
  <si>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</si>
  <si>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</si>
  <si>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</si>
  <si>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</si>
  <si>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</si>
  <si>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</si>
  <si>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</si>
  <si>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</si>
  <si>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</si>
  <si>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</si>
  <si>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</si>
  <si>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</si>
  <si>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</si>
  <si>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</si>
  <si>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</si>
  <si>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</si>
  <si>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</si>
  <si>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</si>
  <si>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</si>
  <si>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</si>
  <si>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</si>
  <si>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</si>
  <si>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</si>
  <si>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</si>
  <si>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</si>
  <si>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</si>
  <si>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</si>
  <si>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</si>
  <si>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</si>
  <si>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</si>
  <si>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</si>
  <si>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</si>
  <si>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</si>
  <si>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</si>
  <si>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</si>
  <si>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</si>
  <si>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</si>
  <si>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</si>
  <si>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</si>
  <si>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</si>
  <si>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</si>
  <si>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</si>
  <si>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</si>
  <si>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</si>
  <si>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</si>
  <si>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</si>
  <si>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</si>
  <si>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</si>
  <si>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</si>
  <si>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</si>
  <si>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</si>
  <si>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</si>
  <si>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</si>
  <si>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</si>
  <si>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</si>
  <si>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</si>
  <si>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</si>
  <si>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</si>
  <si>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</si>
  <si>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</si>
  <si>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</si>
  <si>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</si>
  <si>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</si>
  <si>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</si>
  <si>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</si>
  <si>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</si>
  <si>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</si>
  <si>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</si>
  <si>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</si>
  <si>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</si>
  <si>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</si>
  <si>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</si>
  <si>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</si>
  <si>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</si>
  <si>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</si>
  <si>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</si>
  <si>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</si>
  <si>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</si>
  <si>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</si>
  <si>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</si>
  <si>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</si>
  <si>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</si>
  <si>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</si>
  <si>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</si>
  <si>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</si>
  <si>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</si>
  <si>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</si>
  <si>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</si>
  <si>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</si>
  <si>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</si>
  <si>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</si>
  <si>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</si>
  <si>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</si>
  <si>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</si>
  <si>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</si>
  <si>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</si>
  <si>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</si>
  <si>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</si>
  <si>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</si>
  <si>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</si>
  <si>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</si>
  <si>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</si>
  <si>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</si>
  <si>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</si>
  <si>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</si>
  <si>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</si>
  <si>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</si>
  <si>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</si>
  <si>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</si>
  <si>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</si>
  <si>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</si>
  <si>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</si>
  <si>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</si>
  <si>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</si>
  <si>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</si>
  <si>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</si>
  <si>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</si>
  <si>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</si>
  <si>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</si>
  <si>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</si>
  <si>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</si>
  <si>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</si>
  <si>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</si>
  <si>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</si>
  <si>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</si>
  <si>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</si>
  <si>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</si>
  <si>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</si>
  <si>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</si>
  <si>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</si>
  <si>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</si>
  <si>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</si>
  <si>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</si>
  <si>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</si>
  <si>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</si>
  <si>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</si>
  <si>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</si>
  <si>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</si>
  <si>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</si>
  <si>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</si>
  <si>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</si>
  <si>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</si>
  <si>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</si>
  <si>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</si>
  <si>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</si>
  <si>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</si>
  <si>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</si>
  <si>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</si>
  <si>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</si>
  <si>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</si>
  <si>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</si>
  <si>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</si>
  <si>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</si>
  <si>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</si>
  <si>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</si>
  <si>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</si>
  <si>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</si>
  <si>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</si>
  <si>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</si>
  <si>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</si>
  <si>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</si>
  <si>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</si>
  <si>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</si>
  <si>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</si>
  <si>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</si>
  <si>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</si>
  <si>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</si>
  <si>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</si>
  <si>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</si>
  <si>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</si>
  <si>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</si>
  <si>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</si>
  <si>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</si>
  <si>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</si>
  <si>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</si>
  <si>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</si>
  <si>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</si>
  <si>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</si>
  <si>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</si>
  <si>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</si>
  <si>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</si>
  <si>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</si>
  <si>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</si>
  <si>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</si>
  <si>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</si>
  <si>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</si>
  <si>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</si>
  <si>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</si>
  <si>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</si>
  <si>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</si>
  <si>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</si>
  <si>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</si>
  <si>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</si>
  <si>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</si>
  <si>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</si>
  <si>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</si>
  <si>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</si>
  <si>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</si>
  <si>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</si>
  <si>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</si>
  <si>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</si>
  <si>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</si>
  <si>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</si>
  <si>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</si>
  <si>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</si>
  <si>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</si>
  <si>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</si>
  <si>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</si>
  <si>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</si>
  <si>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</si>
  <si>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</si>
  <si>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</si>
  <si>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</si>
  <si>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</si>
  <si>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</si>
  <si>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</si>
  <si>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</si>
  <si>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</si>
  <si>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</si>
  <si>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</si>
  <si>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</si>
  <si>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</si>
  <si>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</si>
  <si>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</si>
  <si>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</si>
  <si>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</si>
  <si>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</si>
  <si>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</si>
  <si>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</si>
  <si>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</si>
  <si>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</si>
  <si>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</si>
  <si>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</si>
  <si>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</si>
  <si>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</si>
  <si>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</si>
  <si>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</si>
  <si>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</si>
  <si>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</si>
  <si>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</si>
  <si>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</si>
  <si>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</si>
  <si>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</si>
  <si>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</si>
  <si>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</si>
  <si>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</si>
  <si>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</si>
  <si>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</si>
  <si>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</si>
  <si>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</si>
  <si>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</si>
  <si>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</si>
  <si>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</si>
  <si>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</si>
  <si>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</si>
  <si>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</si>
  <si>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</si>
  <si>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</si>
  <si>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</si>
  <si>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</si>
  <si>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</si>
  <si>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</si>
  <si>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</si>
  <si>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</si>
  <si>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</si>
  <si>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</si>
  <si>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</si>
  <si>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</si>
  <si>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</si>
  <si>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</si>
  <si>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</si>
  <si>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</si>
  <si>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</si>
  <si>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</si>
  <si>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</si>
  <si>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</si>
  <si>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</si>
  <si>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</si>
  <si>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</si>
  <si>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</si>
  <si>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</si>
  <si>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</si>
  <si>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</si>
  <si>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</si>
  <si>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</si>
  <si>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</si>
  <si>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</si>
  <si>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</si>
  <si>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</si>
  <si>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</si>
  <si>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</si>
  <si>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</si>
  <si>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</si>
  <si>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</si>
  <si>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</si>
  <si>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</si>
  <si>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</si>
  <si>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</si>
  <si>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</si>
  <si>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</si>
  <si>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</si>
  <si>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</si>
  <si>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</si>
  <si>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</si>
  <si>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</si>
  <si>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</si>
  <si>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</si>
  <si>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</si>
  <si>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</si>
  <si>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</si>
  <si>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</si>
  <si>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</si>
  <si>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</si>
  <si>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</si>
  <si>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</si>
  <si>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</si>
  <si>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</si>
  <si>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</si>
  <si>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</si>
  <si>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</si>
  <si>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</si>
  <si>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</si>
  <si>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</si>
  <si>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</si>
  <si>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</si>
  <si>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</si>
  <si>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</si>
  <si>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</si>
  <si>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</si>
  <si>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</si>
  <si>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</si>
  <si>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</si>
  <si>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</si>
  <si>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</si>
  <si>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</si>
  <si>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</si>
  <si>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</si>
  <si>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</si>
  <si>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</si>
  <si>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</si>
  <si>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</si>
  <si>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</si>
  <si>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</si>
  <si>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</si>
  <si>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</si>
  <si>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</si>
  <si>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</si>
  <si>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</si>
  <si>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</si>
  <si>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</si>
  <si>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</si>
  <si>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</si>
  <si>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</si>
  <si>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</si>
  <si>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</si>
  <si>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</si>
  <si>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</si>
  <si>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</si>
  <si>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</si>
  <si>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</si>
  <si>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</si>
  <si>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</si>
  <si>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</si>
  <si>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</si>
  <si>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</si>
  <si>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</si>
  <si>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</si>
  <si>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</si>
  <si>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</si>
  <si>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</si>
  <si>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</si>
  <si>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</si>
  <si>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</si>
  <si>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</si>
  <si>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</si>
  <si>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</si>
  <si>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</si>
  <si>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</si>
  <si>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</si>
  <si>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</si>
  <si>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</si>
  <si>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</si>
  <si>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</si>
  <si>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</si>
  <si>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</si>
  <si>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</si>
  <si>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</si>
  <si>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</si>
  <si>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</si>
  <si>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</si>
  <si>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</si>
  <si>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</si>
  <si>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</si>
  <si>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</si>
  <si>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</si>
  <si>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</si>
  <si>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</si>
  <si>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</si>
  <si>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</si>
  <si>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</si>
  <si>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</si>
  <si>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</si>
  <si>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</si>
  <si>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</si>
  <si>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</si>
  <si>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</si>
  <si>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</si>
  <si>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</si>
  <si>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</si>
  <si>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</si>
  <si>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</si>
  <si>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</si>
  <si>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</si>
  <si>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</si>
  <si>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</si>
  <si>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</si>
  <si>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</si>
  <si>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</si>
  <si>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</si>
  <si>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</si>
  <si>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</si>
  <si>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</si>
  <si>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</si>
  <si>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</si>
  <si>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</si>
  <si>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</si>
  <si>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</si>
  <si>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</si>
  <si>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</si>
  <si>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</si>
  <si>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</si>
  <si>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</si>
  <si>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</si>
  <si>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</si>
  <si>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</si>
  <si>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</si>
  <si>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</si>
  <si>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</si>
  <si>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</si>
  <si>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</si>
  <si>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</si>
  <si>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</si>
  <si>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</si>
  <si>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</si>
  <si>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</si>
  <si>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</si>
  <si>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</si>
  <si>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</si>
  <si>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</si>
  <si>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</si>
  <si>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</si>
  <si>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</si>
  <si>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</si>
  <si>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</si>
  <si>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</si>
  <si>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</si>
  <si>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</si>
  <si>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</si>
  <si>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</si>
  <si>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</si>
  <si>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</si>
  <si>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</si>
  <si>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</si>
  <si>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</si>
  <si>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</si>
  <si>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</si>
  <si>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</si>
  <si>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</si>
  <si>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</si>
  <si>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</si>
  <si>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</si>
  <si>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</si>
  <si>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</si>
  <si>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</si>
  <si>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</si>
  <si>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</si>
  <si>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</si>
  <si>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</si>
  <si>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</si>
  <si>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</si>
  <si>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</si>
  <si>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</si>
  <si>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</si>
  <si>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</si>
  <si>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</si>
  <si>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</si>
  <si>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</si>
  <si>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</si>
  <si>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</si>
  <si>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</si>
  <si>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</si>
  <si>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</si>
  <si>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</si>
  <si>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</si>
  <si>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</si>
  <si>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</si>
  <si>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</si>
  <si>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</si>
  <si>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</si>
  <si>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</si>
  <si>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</si>
  <si>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</si>
  <si>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</si>
  <si>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</si>
  <si>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</si>
  <si>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</si>
  <si>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</si>
  <si>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</si>
  <si>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</si>
  <si>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</si>
  <si>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</si>
  <si>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</si>
  <si>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</si>
  <si>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</si>
  <si>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</si>
  <si>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</si>
  <si>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</si>
  <si>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</si>
  <si>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</si>
  <si>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</si>
  <si>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</si>
  <si>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</si>
  <si>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</si>
  <si>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</si>
  <si>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</si>
  <si>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</si>
  <si>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</si>
  <si>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</si>
  <si>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</si>
  <si>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</si>
  <si>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</si>
  <si>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</si>
  <si>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</si>
  <si>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</si>
  <si>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</si>
  <si>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</si>
  <si>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</si>
  <si>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</si>
  <si>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</si>
  <si>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</si>
  <si>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</si>
  <si>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</si>
  <si>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</si>
  <si>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</si>
  <si>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</si>
  <si>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</si>
  <si>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</si>
  <si>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</si>
  <si>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</si>
  <si>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</si>
  <si>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</si>
  <si>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</si>
  <si>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</si>
  <si>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</si>
  <si>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</si>
  <si>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</si>
  <si>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</si>
  <si>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</si>
  <si>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</si>
  <si>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</si>
  <si>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</si>
  <si>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</si>
  <si>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</si>
  <si>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</si>
  <si>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</si>
  <si>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</si>
  <si>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</si>
  <si>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</si>
  <si>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</si>
  <si>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</si>
  <si>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</si>
  <si>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</si>
  <si>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</si>
  <si>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</si>
  <si>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</si>
  <si>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</si>
  <si>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</si>
  <si>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</si>
  <si>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</si>
  <si>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</si>
  <si>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</si>
  <si>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</si>
  <si>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</si>
  <si>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</si>
  <si>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</si>
  <si>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</si>
  <si>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</si>
  <si>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</si>
  <si>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</si>
  <si>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</si>
  <si>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</si>
  <si>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</si>
  <si>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</si>
  <si>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</si>
  <si>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</si>
  <si>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</si>
  <si>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</si>
  <si>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</si>
  <si>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</si>
  <si>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</si>
  <si>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</si>
  <si>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</si>
  <si>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</si>
  <si>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</si>
  <si>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</si>
  <si>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</si>
  <si>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</si>
  <si>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</si>
  <si>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</si>
  <si>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</si>
  <si>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</si>
  <si>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</si>
  <si>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</si>
  <si>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</si>
  <si>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</si>
  <si>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</si>
  <si>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</si>
  <si>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</si>
  <si>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</si>
  <si>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</si>
  <si>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</si>
  <si>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</si>
  <si>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</si>
  <si>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</si>
  <si>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</si>
  <si>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</si>
  <si>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</si>
  <si>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</si>
  <si>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</si>
  <si>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</si>
  <si>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</si>
  <si>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</si>
  <si>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</si>
  <si>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</si>
  <si>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</si>
  <si>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</si>
  <si>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</si>
  <si>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</si>
  <si>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</si>
  <si>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</si>
  <si>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</si>
  <si>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</si>
  <si>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</si>
  <si>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</si>
  <si>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</si>
  <si>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</si>
  <si>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</si>
  <si>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</si>
  <si>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</si>
  <si>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</si>
  <si>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</si>
  <si>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</si>
  <si>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</si>
  <si>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</si>
  <si>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</si>
  <si>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</si>
  <si>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</si>
  <si>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</si>
  <si>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</si>
  <si>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</si>
  <si>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</si>
  <si>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</si>
  <si>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</si>
  <si>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</si>
  <si>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</si>
  <si>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</si>
  <si>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</si>
  <si>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</si>
  <si>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</si>
  <si>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</si>
  <si>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</si>
  <si>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</si>
  <si>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</si>
  <si>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</si>
  <si>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</si>
  <si>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</si>
  <si>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</si>
  <si>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</si>
  <si>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</si>
  <si>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</si>
  <si>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</si>
  <si>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</si>
  <si>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</si>
  <si>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</si>
  <si>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</si>
  <si>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</si>
  <si>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</si>
  <si>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</si>
  <si>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</si>
  <si>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</si>
  <si>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</si>
  <si>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</si>
  <si>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</si>
  <si>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</si>
  <si>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</si>
  <si>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</si>
  <si>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</si>
  <si>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</si>
  <si>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</si>
  <si>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</si>
  <si>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</si>
  <si>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</si>
  <si>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</si>
  <si>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</si>
  <si>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</si>
  <si>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</si>
  <si>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</si>
  <si>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</si>
  <si>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</si>
  <si>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</si>
  <si>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</si>
  <si>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</si>
  <si>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</si>
  <si>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</si>
  <si>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</si>
  <si>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</si>
  <si>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</si>
  <si>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</si>
  <si>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</si>
  <si>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</si>
  <si>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</si>
  <si>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</si>
  <si>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</si>
  <si>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</si>
  <si>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</si>
  <si>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</si>
  <si>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</si>
  <si>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</si>
  <si>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</si>
  <si>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</si>
  <si>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</si>
  <si>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</si>
  <si>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</si>
  <si>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</si>
  <si>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</si>
  <si>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</si>
  <si>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</si>
  <si>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</si>
  <si>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</si>
  <si>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</si>
  <si>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</si>
  <si>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</si>
  <si>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</si>
  <si>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</si>
  <si>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</si>
  <si>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</si>
  <si>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</si>
  <si>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</si>
  <si>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</si>
  <si>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</si>
  <si>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</si>
  <si>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</si>
  <si>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</si>
  <si>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</si>
  <si>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</si>
  <si>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</si>
  <si>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</si>
  <si>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</si>
  <si>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</si>
  <si>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</si>
  <si>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</si>
  <si>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</si>
  <si>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</si>
  <si>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</si>
  <si>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</si>
  <si>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</si>
  <si>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</si>
  <si>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</si>
  <si>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</si>
  <si>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</si>
  <si>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</si>
  <si>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</si>
  <si>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</si>
  <si>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</si>
  <si>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</si>
  <si>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</si>
  <si>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</si>
  <si>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</si>
  <si>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</si>
  <si>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</si>
  <si>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</si>
  <si>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</si>
  <si>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</si>
  <si>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</si>
  <si>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</si>
  <si>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</si>
  <si>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</si>
  <si>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</si>
  <si>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</si>
  <si>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</si>
  <si>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</si>
  <si>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</si>
  <si>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</si>
  <si>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</si>
  <si>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</si>
  <si>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</si>
  <si>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</si>
  <si>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</si>
  <si>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</si>
  <si>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</si>
  <si>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</si>
  <si>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</si>
  <si>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</si>
  <si>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</si>
  <si>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</si>
  <si>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</si>
  <si>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</si>
  <si>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</si>
  <si>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</si>
  <si>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</si>
  <si>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</si>
  <si>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</si>
  <si>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</si>
  <si>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</si>
  <si>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</si>
  <si>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</si>
  <si>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</si>
  <si>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</si>
  <si>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</si>
  <si>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</si>
  <si>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</si>
  <si>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</si>
  <si>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</si>
  <si>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</si>
  <si>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</si>
  <si>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</si>
  <si>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</si>
  <si>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</si>
  <si>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</si>
  <si>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</si>
  <si>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</si>
  <si>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</si>
  <si>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</si>
  <si>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</si>
  <si>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</si>
  <si>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</si>
  <si>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</si>
  <si>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</si>
  <si>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</si>
  <si>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</si>
  <si>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</si>
  <si>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</si>
  <si>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</si>
  <si>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</si>
  <si>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</si>
  <si>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</si>
  <si>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</si>
  <si>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</si>
  <si>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</si>
  <si>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</si>
  <si>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</si>
  <si>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</si>
  <si>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</si>
  <si>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</si>
  <si>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</si>
  <si>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</si>
  <si>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</si>
  <si>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</si>
  <si>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</si>
  <si>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</si>
  <si>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</si>
  <si>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</si>
  <si>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</si>
  <si>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</si>
  <si>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</si>
  <si>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</si>
  <si>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</si>
  <si>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</si>
  <si>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</si>
  <si>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</si>
  <si>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</si>
  <si>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</si>
  <si>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</si>
  <si>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</si>
  <si>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</si>
  <si>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</si>
  <si>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</si>
  <si>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</si>
  <si>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</si>
  <si>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</si>
  <si>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</si>
  <si>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</si>
  <si>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</si>
  <si>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</si>
  <si>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</si>
  <si>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</si>
  <si>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</si>
  <si>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</si>
  <si>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</si>
  <si>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</si>
  <si>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</si>
  <si>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</si>
  <si>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</si>
  <si>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</si>
  <si>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</si>
  <si>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</si>
  <si>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</si>
  <si>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</si>
  <si>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</si>
  <si>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</si>
  <si>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</si>
  <si>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</si>
  <si>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</si>
  <si>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</si>
  <si>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</si>
  <si>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</si>
  <si>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</si>
  <si>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</si>
  <si>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</si>
  <si>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</si>
  <si>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</si>
  <si>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</si>
  <si>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</si>
  <si>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</si>
  <si>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</si>
  <si>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</si>
  <si>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</si>
  <si>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</si>
  <si>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</si>
  <si>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</si>
  <si>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</si>
  <si>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</si>
  <si>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</si>
  <si>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</si>
  <si>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</si>
  <si>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</si>
  <si>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</si>
  <si>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</si>
  <si>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</si>
  <si>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</si>
  <si>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</si>
  <si>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</si>
  <si>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</si>
  <si>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</si>
  <si>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</si>
  <si>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</si>
  <si>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</si>
  <si>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</si>
  <si>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</si>
  <si>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</si>
  <si>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</si>
  <si>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</si>
  <si>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</si>
  <si>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</si>
  <si>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</si>
  <si>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</si>
  <si>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</si>
  <si>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</si>
  <si>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</si>
  <si>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</si>
  <si>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</si>
  <si>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</si>
  <si>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</si>
  <si>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</si>
  <si>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</si>
  <si>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</si>
  <si>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</si>
  <si>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</si>
  <si>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</si>
  <si>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</si>
  <si>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</si>
  <si>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</si>
  <si>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</si>
  <si>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</si>
  <si>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</si>
  <si>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</si>
  <si>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</si>
  <si>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</si>
  <si>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</si>
  <si>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</si>
  <si>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</si>
  <si>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</si>
  <si>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</si>
  <si>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</si>
  <si>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</si>
  <si>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</si>
  <si>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</si>
  <si>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</si>
  <si>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</si>
  <si>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</si>
  <si>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</si>
  <si>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</si>
  <si>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</si>
  <si>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</si>
  <si>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</si>
  <si>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</si>
  <si>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</si>
  <si>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</si>
  <si>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</si>
  <si>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</si>
  <si>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</si>
  <si>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</si>
  <si>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</si>
  <si>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</si>
  <si>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</si>
  <si>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</si>
  <si>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</si>
  <si>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</si>
  <si>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</si>
  <si>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</si>
  <si>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</si>
  <si>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</si>
  <si>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</si>
  <si>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</si>
  <si>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</si>
  <si>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</si>
  <si>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</si>
  <si>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</si>
  <si>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</si>
  <si>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</si>
  <si>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</si>
  <si>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</si>
  <si>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</si>
  <si>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</si>
  <si>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</si>
  <si>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</si>
  <si>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</si>
  <si>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</si>
  <si>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</si>
  <si>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</si>
  <si>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</si>
  <si>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</si>
  <si>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</si>
  <si>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</si>
  <si>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</si>
  <si>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</si>
  <si>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</si>
  <si>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</si>
  <si>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</si>
  <si>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</si>
  <si>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</si>
  <si>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</si>
  <si>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</si>
  <si>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</si>
  <si>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</si>
  <si>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</si>
  <si>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</si>
  <si>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</si>
  <si>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</si>
  <si>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</si>
  <si>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</si>
  <si>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</si>
  <si>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</si>
  <si>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</si>
  <si>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</si>
  <si>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</si>
  <si>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</si>
  <si>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</si>
  <si>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</si>
  <si>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</si>
  <si>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</si>
  <si>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</si>
  <si>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</si>
  <si>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</si>
  <si>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</si>
  <si>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</si>
  <si>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</si>
  <si>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</si>
  <si>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</si>
  <si>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</si>
  <si>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</si>
  <si>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</si>
  <si>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</si>
  <si>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</si>
  <si>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</si>
  <si>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</si>
  <si>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</si>
  <si>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</si>
  <si>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</si>
  <si>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</si>
  <si>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</si>
  <si>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</si>
  <si>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</si>
  <si>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</si>
  <si>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</si>
  <si>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</si>
  <si>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</si>
  <si>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</si>
  <si>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</si>
  <si>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</si>
  <si>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</si>
  <si>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</si>
  <si>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</si>
  <si>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</si>
  <si>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</si>
  <si>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</si>
  <si>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</si>
  <si>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</si>
  <si>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</si>
  <si>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</si>
  <si>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</si>
  <si>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</si>
  <si>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</si>
  <si>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</si>
  <si>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</si>
  <si>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</si>
  <si>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</si>
  <si>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</si>
  <si>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</si>
  <si>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</si>
  <si>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</si>
  <si>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</si>
  <si>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</si>
  <si>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</si>
  <si>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</si>
  <si>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</si>
  <si>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</si>
  <si>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</si>
  <si>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</si>
  <si>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</si>
  <si>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</si>
  <si>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</si>
  <si>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</si>
  <si>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</si>
  <si>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</si>
  <si>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</si>
  <si>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</si>
  <si>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</si>
  <si>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</si>
  <si>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</si>
  <si>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</si>
  <si>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</si>
  <si>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</si>
  <si>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</si>
  <si>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</si>
  <si>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</si>
  <si>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</si>
  <si>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</si>
  <si>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</si>
  <si>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</si>
  <si>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</si>
  <si>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</si>
  <si>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</si>
  <si>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</si>
  <si>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</si>
  <si>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</si>
  <si>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</si>
  <si>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</si>
  <si>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</si>
  <si>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</si>
  <si>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</si>
  <si>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</si>
  <si>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</si>
  <si>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</si>
  <si>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</si>
  <si>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</si>
  <si>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</si>
  <si>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</si>
  <si>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</si>
  <si>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</si>
  <si>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</si>
  <si>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</si>
  <si>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</si>
  <si>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</si>
  <si>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</si>
  <si>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</si>
  <si>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</si>
  <si>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</si>
  <si>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</si>
  <si>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</si>
  <si>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</si>
  <si>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</si>
  <si>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</si>
  <si>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</si>
  <si>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</si>
  <si>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</si>
  <si>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</si>
  <si>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</si>
  <si>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</si>
  <si>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</si>
  <si>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</si>
  <si>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</si>
  <si>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</si>
  <si>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</si>
  <si>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</si>
  <si>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</si>
  <si>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</si>
  <si>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</si>
  <si>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</si>
  <si>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</si>
  <si>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</si>
  <si>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</si>
  <si>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</si>
  <si>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</si>
  <si>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</si>
  <si>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</si>
  <si>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</si>
  <si>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</si>
  <si>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</si>
  <si>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</si>
  <si>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</si>
  <si>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</si>
  <si>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</si>
  <si>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</si>
  <si>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</si>
  <si>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</si>
  <si>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</si>
  <si>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</si>
  <si>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</si>
  <si>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</si>
  <si>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</si>
  <si>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</si>
  <si>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</si>
  <si>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</si>
  <si>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</si>
  <si>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</si>
  <si>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</si>
  <si>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</si>
  <si>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</si>
  <si>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</si>
  <si>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</si>
  <si>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</si>
  <si>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</si>
  <si>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</si>
  <si>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</si>
  <si>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</si>
  <si>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</si>
  <si>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</si>
  <si>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</si>
  <si>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</si>
  <si>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</si>
  <si>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</si>
  <si>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</si>
  <si>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</si>
  <si>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</si>
  <si>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</si>
  <si>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</si>
  <si>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</si>
  <si>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</si>
  <si>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</si>
  <si>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</si>
  <si>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</si>
  <si>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</si>
  <si>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</si>
  <si>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</si>
  <si>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</si>
  <si>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</si>
  <si>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</si>
  <si>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</si>
  <si>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</si>
  <si>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</si>
  <si>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</si>
  <si>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</si>
  <si>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</si>
  <si>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</si>
  <si>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</si>
  <si>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</si>
  <si>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</si>
  <si>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</si>
  <si>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</si>
  <si>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</si>
  <si>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</si>
  <si>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</si>
  <si>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</si>
  <si>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</si>
  <si>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</si>
  <si>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</si>
  <si>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</si>
  <si>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</si>
  <si>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</si>
  <si>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</si>
  <si>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</si>
  <si>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</si>
  <si>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</si>
  <si>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</si>
  <si>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</si>
  <si>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</si>
  <si>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</si>
  <si>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</si>
  <si>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</si>
  <si>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</si>
  <si>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</si>
  <si>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</si>
  <si>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</si>
  <si>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</si>
  <si>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</si>
  <si>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</si>
  <si>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</si>
  <si>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</si>
  <si>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</si>
  <si>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</si>
  <si>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</si>
  <si>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</si>
  <si>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</si>
  <si>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</si>
  <si>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</si>
  <si>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</si>
  <si>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</si>
  <si>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</si>
  <si>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</si>
  <si>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</si>
  <si>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</si>
  <si>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</si>
  <si>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</si>
  <si>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</si>
  <si>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</si>
  <si>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</si>
  <si>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</si>
  <si>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</si>
  <si>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</si>
  <si>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</si>
  <si>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</si>
  <si>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</si>
  <si>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</si>
  <si>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</si>
  <si>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</si>
  <si>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</si>
  <si>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</si>
  <si>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</si>
  <si>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</si>
  <si>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</si>
  <si>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</si>
  <si>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</si>
  <si>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</si>
  <si>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</si>
  <si>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</si>
  <si>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</si>
  <si>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</si>
  <si>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</si>
  <si>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</si>
  <si>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</si>
  <si>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</si>
  <si>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</si>
  <si>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</si>
  <si>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</si>
  <si>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</si>
  <si>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</si>
  <si>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</si>
  <si>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</si>
  <si>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</si>
  <si>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</si>
  <si>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</si>
  <si>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</si>
  <si>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</si>
  <si>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</si>
  <si>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</si>
  <si>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</si>
  <si>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</si>
  <si>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</si>
  <si>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</si>
  <si>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</si>
  <si>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</si>
  <si>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</si>
  <si>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</si>
  <si>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</si>
  <si>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</si>
  <si>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</si>
  <si>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</si>
  <si>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</si>
  <si>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</si>
  <si>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</si>
  <si>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</si>
  <si>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</si>
  <si>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</si>
  <si>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</si>
  <si>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</si>
  <si>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</si>
  <si>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</si>
  <si>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</si>
  <si>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</si>
  <si>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</si>
  <si>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</si>
  <si>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</si>
  <si>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</si>
  <si>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</si>
  <si>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</si>
  <si>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</si>
  <si>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</si>
  <si>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</si>
  <si>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</si>
  <si>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</si>
  <si>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</si>
  <si>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</si>
  <si>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</si>
  <si>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</si>
  <si>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</si>
  <si>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</si>
  <si>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</si>
  <si>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</si>
  <si>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</si>
  <si>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</si>
  <si>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</si>
  <si>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</si>
  <si>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</si>
  <si>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</si>
  <si>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</si>
  <si>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</si>
  <si>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</si>
  <si>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</si>
  <si>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</si>
  <si>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</si>
  <si>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</si>
  <si>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</si>
  <si>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</si>
  <si>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</si>
  <si>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</si>
  <si>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</si>
  <si>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</si>
  <si>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</si>
  <si>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</si>
  <si>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</si>
  <si>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</si>
  <si>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</si>
  <si>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</si>
  <si>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</si>
  <si>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</si>
  <si>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</si>
  <si>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</si>
  <si>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</si>
  <si>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</si>
  <si>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</si>
  <si>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</si>
  <si>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</si>
  <si>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</si>
  <si>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</si>
  <si>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</si>
  <si>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</si>
  <si>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</si>
  <si>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</si>
  <si>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</si>
  <si>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</si>
  <si>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</si>
  <si>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</si>
  <si>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</si>
  <si>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</si>
  <si>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</si>
  <si>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</si>
  <si>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</si>
  <si>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</si>
  <si>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</si>
  <si>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</si>
  <si>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</si>
  <si>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</si>
  <si>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</si>
  <si>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</si>
  <si>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</si>
  <si>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</si>
  <si>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</si>
  <si>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</si>
  <si>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</si>
  <si>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</si>
  <si>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</si>
  <si>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</si>
  <si>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</si>
  <si>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</si>
  <si>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</si>
  <si>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</si>
  <si>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</si>
  <si>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</si>
  <si>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</si>
  <si>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</si>
  <si>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</si>
  <si>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</si>
  <si>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</si>
  <si>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</si>
  <si>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</si>
  <si>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</si>
  <si>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</si>
  <si>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</si>
  <si>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</si>
  <si>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</si>
  <si>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</si>
  <si>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</si>
  <si>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</si>
  <si>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</si>
  <si>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</si>
  <si>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</si>
  <si>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</si>
  <si>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</si>
  <si>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</si>
  <si>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</si>
  <si>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</si>
  <si>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</si>
  <si>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</si>
  <si>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</si>
  <si>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</si>
  <si>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</si>
  <si>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</si>
  <si>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</si>
  <si>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</si>
  <si>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</si>
  <si>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</si>
  <si>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</si>
  <si>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</si>
  <si>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</si>
  <si>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</si>
  <si>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</si>
  <si>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</si>
  <si>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</si>
  <si>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</si>
  <si>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</si>
  <si>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</si>
  <si>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</si>
  <si>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</si>
  <si>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</si>
  <si>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</si>
  <si>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</si>
  <si>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</si>
  <si>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</si>
  <si>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</si>
  <si>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</si>
  <si>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</si>
  <si>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</si>
  <si>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</si>
  <si>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</si>
  <si>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</si>
  <si>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</si>
  <si>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</si>
  <si>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</si>
  <si>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</si>
  <si>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</si>
  <si>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</si>
  <si>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</si>
  <si>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</si>
  <si>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</si>
  <si>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</si>
  <si>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</si>
  <si>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</si>
  <si>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</si>
  <si>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</si>
  <si>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</si>
  <si>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</si>
  <si>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</si>
  <si>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</si>
  <si>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</si>
  <si>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</si>
  <si>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</si>
  <si>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</si>
  <si>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</si>
  <si>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</si>
  <si>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</si>
  <si>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</si>
  <si>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</si>
  <si>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</si>
  <si>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</si>
  <si>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</si>
  <si>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</si>
  <si>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</si>
  <si>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</si>
  <si>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</si>
  <si>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</si>
  <si>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</si>
  <si>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</si>
  <si>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</si>
  <si>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</si>
  <si>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</si>
  <si>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</si>
  <si>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</si>
  <si>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</si>
  <si>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</si>
  <si>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</si>
  <si>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</si>
  <si>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</si>
  <si>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</si>
  <si>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</si>
  <si>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</si>
  <si>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</si>
  <si>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</si>
  <si>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</si>
  <si>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</si>
  <si>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</si>
  <si>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</si>
  <si>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</si>
  <si>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</si>
  <si>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</si>
  <si>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</si>
  <si>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</si>
  <si>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</si>
  <si>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</si>
  <si>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</si>
  <si>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</si>
  <si>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</si>
  <si>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</si>
  <si>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</si>
  <si>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</si>
  <si>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</si>
  <si>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</si>
  <si>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</si>
  <si>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</si>
  <si>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</si>
  <si>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</si>
  <si>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</si>
  <si>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</si>
  <si>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</si>
  <si>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</si>
  <si>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</si>
  <si>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</si>
  <si>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</si>
  <si>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</si>
  <si>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</si>
  <si>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</si>
  <si>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</si>
  <si>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</si>
  <si>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</si>
  <si>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</si>
  <si>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</si>
  <si>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</si>
  <si>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</si>
  <si>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</si>
  <si>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</si>
  <si>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</si>
  <si>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</si>
  <si>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</si>
  <si>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</si>
  <si>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</si>
  <si>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</si>
  <si>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</si>
  <si>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</si>
  <si>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</si>
  <si>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</si>
  <si>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</si>
  <si>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</si>
  <si>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</si>
  <si>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</si>
  <si>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</si>
  <si>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</si>
  <si>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</si>
  <si>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</si>
  <si>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</si>
  <si>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</si>
  <si>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</si>
  <si>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</si>
  <si>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</si>
  <si>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</si>
  <si>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</si>
  <si>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</si>
  <si>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</si>
  <si>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</si>
  <si>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</si>
  <si>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</si>
  <si>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</si>
  <si>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</si>
  <si>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</si>
  <si>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</si>
  <si>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</si>
  <si>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</si>
  <si>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</si>
  <si>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</si>
  <si>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</si>
  <si>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</si>
  <si>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</si>
  <si>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</si>
  <si>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</si>
  <si>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</si>
  <si>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</si>
  <si>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</si>
  <si>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</si>
  <si>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</si>
  <si>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</si>
  <si>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</si>
  <si>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</si>
  <si>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</si>
  <si>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</si>
  <si>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</si>
  <si>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</si>
  <si>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</si>
  <si>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</si>
  <si>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</si>
  <si>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</si>
  <si>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</si>
  <si>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</si>
  <si>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</si>
  <si>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</si>
  <si>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</si>
  <si>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</si>
  <si>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</si>
  <si>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</si>
  <si>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</si>
  <si>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</si>
  <si>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</si>
  <si>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</si>
  <si>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</si>
  <si>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</si>
  <si>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</si>
  <si>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</si>
  <si>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</si>
  <si>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</si>
  <si>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</si>
  <si>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</si>
  <si>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</si>
  <si>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</si>
  <si>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</si>
  <si>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</si>
  <si>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</si>
  <si>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</si>
  <si>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</si>
  <si>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</si>
  <si>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</si>
  <si>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</si>
  <si>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</si>
  <si>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</si>
  <si>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</si>
  <si>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</si>
  <si>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</si>
  <si>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</si>
  <si>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</si>
  <si>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</si>
  <si>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</si>
  <si>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</si>
  <si>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</si>
  <si>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</si>
  <si>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</si>
  <si>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</si>
  <si>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</si>
  <si>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</si>
  <si>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</si>
  <si>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</si>
  <si>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</si>
  <si>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</si>
  <si>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</si>
  <si>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</si>
  <si>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</si>
  <si>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</si>
  <si>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</si>
  <si>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</si>
  <si>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</si>
  <si>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</si>
  <si>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</si>
  <si>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t>1.1.2</t>
  </si>
  <si>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</si>
  <si>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</si>
  <si>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</si>
  <si>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</si>
  <si>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</si>
  <si>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</si>
  <si>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</si>
  <si>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</si>
  <si>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t>1.2.1</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</si>
  <si>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</si>
  <si>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</si>
  <si>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</si>
  <si>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</si>
  <si>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</si>
  <si>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</si>
  <si>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t>1.2.2</t>
  </si>
  <si>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</si>
  <si>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</si>
  <si>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</si>
  <si>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</si>
  <si>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</si>
  <si>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</si>
  <si>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t>1.2.3</t>
  </si>
  <si>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</si>
  <si>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</si>
  <si>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</si>
  <si>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</si>
  <si>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</si>
  <si>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</si>
  <si>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</si>
  <si>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</si>
  <si>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</si>
  <si>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</si>
  <si>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</si>
  <si>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</si>
  <si>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</si>
  <si>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</si>
  <si>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</si>
  <si>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</si>
  <si>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</si>
  <si>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</si>
  <si>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</si>
  <si>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</si>
  <si>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</si>
  <si>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</si>
  <si>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</si>
  <si>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</si>
  <si>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</si>
  <si>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</si>
  <si>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</si>
  <si>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</si>
  <si>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</si>
  <si>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</si>
  <si>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</si>
  <si>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</si>
  <si>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</si>
  <si>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</si>
  <si>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</si>
  <si>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</si>
  <si>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</si>
  <si>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</si>
  <si>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</si>
  <si>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</si>
  <si>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</si>
  <si>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</si>
  <si>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</si>
  <si>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</si>
  <si>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</si>
  <si>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</si>
  <si>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</si>
  <si>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</si>
  <si>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</si>
  <si>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</si>
  <si>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</si>
  <si>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</si>
  <si>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</si>
  <si>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</si>
  <si>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</si>
  <si>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</si>
  <si>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</si>
  <si>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</si>
  <si>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</si>
  <si>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t>1.4.1</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</si>
  <si>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</si>
  <si>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</si>
  <si>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</si>
  <si>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</si>
  <si>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</si>
  <si>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</si>
  <si>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t>1.4.2</t>
  </si>
  <si>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</si>
  <si>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</si>
  <si>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</si>
  <si>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</si>
  <si>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</si>
  <si>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</si>
  <si>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</si>
  <si>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</si>
  <si>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</si>
  <si>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</si>
  <si>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</si>
  <si>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</si>
  <si>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</si>
  <si>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</si>
  <si>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</si>
  <si>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</si>
  <si>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</si>
  <si>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</si>
  <si>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</si>
  <si>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</si>
  <si>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</si>
  <si>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</si>
  <si>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</si>
  <si>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</si>
  <si>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</si>
  <si>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</si>
  <si>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</si>
  <si>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</si>
  <si>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t>1.5.1</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</si>
  <si>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</si>
  <si>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</si>
  <si>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</si>
  <si>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</si>
  <si>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</si>
  <si>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</si>
  <si>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</si>
  <si>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</si>
  <si>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</si>
  <si>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t>2.1.1</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</si>
  <si>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</si>
  <si>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</si>
  <si>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</si>
  <si>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</si>
  <si>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</si>
  <si>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</si>
  <si>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t>2.1.2</t>
  </si>
  <si>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</si>
  <si>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</si>
  <si>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</si>
  <si>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</si>
  <si>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t>2.2.1</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</si>
  <si>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</si>
  <si>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</si>
  <si>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</si>
  <si>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</si>
  <si>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</si>
  <si>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</si>
  <si>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t>2.2.2</t>
  </si>
  <si>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</si>
  <si>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</si>
  <si>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</si>
  <si>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</si>
  <si>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</si>
  <si>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</si>
  <si>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</si>
  <si>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t>2.2.3</t>
  </si>
  <si>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</si>
  <si>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</si>
  <si>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</si>
  <si>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</si>
  <si>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</si>
  <si>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t>2.2.4</t>
  </si>
  <si>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</si>
  <si>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</si>
  <si>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</si>
  <si>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</si>
  <si>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</si>
  <si>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</si>
  <si>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t>2.2.5</t>
  </si>
  <si>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</si>
  <si>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</si>
  <si>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</si>
  <si>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</si>
  <si>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</si>
  <si>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</si>
  <si>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t>2.2.6</t>
  </si>
  <si>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</si>
  <si>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</si>
  <si>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</si>
  <si>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</si>
  <si>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</si>
  <si>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</si>
  <si>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</si>
  <si>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</si>
  <si>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</si>
  <si>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</si>
  <si>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</si>
  <si>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</si>
  <si>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</si>
  <si>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</si>
  <si>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</si>
  <si>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</si>
  <si>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t>2.3.1</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</si>
  <si>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</si>
  <si>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</si>
  <si>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</si>
  <si>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</si>
  <si>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</si>
  <si>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</si>
  <si>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t>2.3.2</t>
  </si>
  <si>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</si>
  <si>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</si>
  <si>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</si>
  <si>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</si>
  <si>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</si>
  <si>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</si>
  <si>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</si>
  <si>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t>3.1.1</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</si>
  <si>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</si>
  <si>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</si>
  <si>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</si>
  <si>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</si>
  <si>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</si>
  <si>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t>3.1.2</t>
  </si>
  <si>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</si>
  <si>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</si>
  <si>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</si>
  <si>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</si>
  <si>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</si>
  <si>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t>3.2.1</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</si>
  <si>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</si>
  <si>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</si>
  <si>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</si>
  <si>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</si>
  <si>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</si>
  <si>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</si>
  <si>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</si>
  <si>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</si>
  <si>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</si>
  <si>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t>3.3.1</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</si>
  <si>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</si>
  <si>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</si>
  <si>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</si>
  <si>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</si>
  <si>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</si>
  <si>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</si>
  <si>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</si>
  <si>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</si>
  <si>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</si>
  <si>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</si>
  <si>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</si>
  <si>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</si>
  <si>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</si>
  <si>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</si>
  <si>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</si>
  <si>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</si>
  <si>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</si>
  <si>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</si>
  <si>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</si>
  <si>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</si>
  <si>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</si>
  <si>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</si>
  <si>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</si>
  <si>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</si>
  <si>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</si>
  <si>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</si>
  <si>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</si>
  <si>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</si>
  <si>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</si>
  <si>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</si>
  <si>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</si>
  <si>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</si>
  <si>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</si>
  <si>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</si>
  <si>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</si>
  <si>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</si>
  <si>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</si>
  <si>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</si>
  <si>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</si>
  <si>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</si>
  <si>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</si>
  <si>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</si>
  <si>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</si>
  <si>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</si>
  <si>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</si>
  <si>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</si>
  <si>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</si>
  <si>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</si>
  <si>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</si>
  <si>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</si>
  <si>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</si>
  <si>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</si>
  <si>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</si>
  <si>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</si>
  <si>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</si>
  <si>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</si>
  <si>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</si>
  <si>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</si>
  <si>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</si>
  <si>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</si>
  <si>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</si>
  <si>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</si>
  <si>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</si>
  <si>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</si>
  <si>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</si>
  <si>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</si>
  <si>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</si>
  <si>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</si>
  <si>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</si>
  <si>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</si>
  <si>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</si>
  <si>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</si>
  <si>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</si>
  <si>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</si>
  <si>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</si>
  <si>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</si>
  <si>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</si>
  <si>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</si>
  <si>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</si>
  <si>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</si>
  <si>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</si>
  <si>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</si>
  <si>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</si>
  <si>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</si>
  <si>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</si>
  <si>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</si>
  <si>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</si>
  <si>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</si>
  <si>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</si>
  <si>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</si>
  <si>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</si>
  <si>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</si>
  <si>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</si>
  <si>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</si>
  <si>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</si>
  <si>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</si>
  <si>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</si>
  <si>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</si>
  <si>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</si>
  <si>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</si>
  <si>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</si>
  <si>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</si>
  <si>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</si>
  <si>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</si>
  <si>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</si>
  <si>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</si>
  <si>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</si>
  <si>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</si>
  <si>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</si>
  <si>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</si>
  <si>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</si>
  <si>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</si>
  <si>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</si>
  <si>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</si>
  <si>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</si>
  <si>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</si>
  <si>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</si>
  <si>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</si>
  <si>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</si>
  <si>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</si>
  <si>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</si>
  <si>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</si>
  <si>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</si>
  <si>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</si>
  <si>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</si>
  <si>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</si>
  <si>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</si>
  <si>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</si>
  <si>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</si>
  <si>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</si>
  <si>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</si>
  <si>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</si>
  <si>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</si>
  <si>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</si>
  <si>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</si>
  <si>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</si>
  <si>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</si>
  <si>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</si>
  <si>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</si>
  <si>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</si>
  <si>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</si>
  <si>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</si>
  <si>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</si>
  <si>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</si>
  <si>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</si>
  <si>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</si>
  <si>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</si>
  <si>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</si>
  <si>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</si>
  <si>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</si>
  <si>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</si>
  <si>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</si>
  <si>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</si>
  <si>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</si>
  <si>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</si>
  <si>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</si>
  <si>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</si>
  <si>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</si>
  <si>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</si>
  <si>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</si>
  <si>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</si>
  <si>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</si>
  <si>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</si>
  <si>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</si>
  <si>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</si>
  <si>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</si>
  <si>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</si>
  <si>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</si>
  <si>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</si>
  <si>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</si>
  <si>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</si>
  <si>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</si>
  <si>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</si>
  <si>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</si>
  <si>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</si>
  <si>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</si>
  <si>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</si>
  <si>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</si>
  <si>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</si>
  <si>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</si>
  <si>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</si>
  <si>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</si>
  <si>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</si>
  <si>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t>4.1.1</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</si>
  <si>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</si>
  <si>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</si>
  <si>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</si>
  <si>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</si>
  <si>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</si>
  <si>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t>4.1.2</t>
  </si>
  <si>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</si>
  <si>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</si>
  <si>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</si>
  <si>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</si>
  <si>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</si>
  <si>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</si>
  <si>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</si>
  <si>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</si>
  <si>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</si>
  <si>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</si>
  <si>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</si>
  <si>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</si>
  <si>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</si>
  <si>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</si>
  <si>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</si>
  <si>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</si>
  <si>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</si>
  <si>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</si>
  <si>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</si>
  <si>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</si>
  <si>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</si>
  <si>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</si>
  <si>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</si>
  <si>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</si>
  <si>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</si>
  <si>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</si>
  <si>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</si>
  <si>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</si>
  <si>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</si>
  <si>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</si>
  <si>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</si>
  <si>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</si>
  <si>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</si>
  <si>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</si>
  <si>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</si>
  <si>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</si>
  <si>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</si>
  <si>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</si>
  <si>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t>5.1.1</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</si>
  <si>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</si>
  <si>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</si>
  <si>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</si>
  <si>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</si>
  <si>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t>5.1.2</t>
  </si>
  <si>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</si>
  <si>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</si>
  <si>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</si>
  <si>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</si>
  <si>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</si>
  <si>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t>5.2.1</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</si>
  <si>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</si>
  <si>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</si>
  <si>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</si>
  <si>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</si>
  <si>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</si>
  <si>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</si>
  <si>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t>5.2.2</t>
  </si>
  <si>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</si>
  <si>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</si>
  <si>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</si>
  <si>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</si>
  <si>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</si>
  <si>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t>5.2.3</t>
  </si>
  <si>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</si>
  <si>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</si>
  <si>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</si>
  <si>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</si>
  <si>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</si>
  <si>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</si>
  <si>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</si>
  <si>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</si>
  <si>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</si>
  <si>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</si>
  <si>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</si>
  <si>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</si>
  <si>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</si>
  <si>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</si>
  <si>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</si>
  <si>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</si>
  <si>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</si>
  <si>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</si>
  <si>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</si>
  <si>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</si>
  <si>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</si>
  <si>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</si>
  <si>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</si>
  <si>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</si>
  <si>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</si>
  <si>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5.3.2.1</t>
  </si>
  <si>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</si>
  <si>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</si>
  <si>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</si>
  <si>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</si>
  <si>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</si>
  <si>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</si>
  <si>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</si>
  <si>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</si>
  <si>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</si>
  <si>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</si>
  <si>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</si>
  <si>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</si>
  <si>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</si>
  <si>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</si>
  <si>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</si>
  <si>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</si>
  <si>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</si>
  <si>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</si>
  <si>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</si>
  <si>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</si>
  <si>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</si>
  <si>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</si>
  <si>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</si>
  <si>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</si>
  <si>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</si>
  <si>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</si>
  <si>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</si>
  <si>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</si>
  <si>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</si>
  <si>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</si>
  <si>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</si>
  <si>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</si>
  <si>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</si>
  <si>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</si>
  <si>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</si>
  <si>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t>6.1.1</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</si>
  <si>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</si>
  <si>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</si>
  <si>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</si>
  <si>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</si>
  <si>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t>6.1.2</t>
  </si>
  <si>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</si>
  <si>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</si>
  <si>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</si>
  <si>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</si>
  <si>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</si>
  <si>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</si>
  <si>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</si>
  <si>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</si>
  <si>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</si>
  <si>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</si>
  <si>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</si>
  <si>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</si>
  <si>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</si>
  <si>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</si>
  <si>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</si>
  <si>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</si>
  <si>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</si>
  <si>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</si>
  <si>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</si>
  <si>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</si>
  <si>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</si>
  <si>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</si>
  <si>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</si>
  <si>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</si>
  <si>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</si>
  <si>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</si>
  <si>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t>6.2.3.1</t>
  </si>
  <si>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</si>
  <si>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</si>
  <si>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</si>
  <si>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</si>
  <si>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</si>
  <si>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</si>
  <si>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</si>
  <si>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</si>
  <si>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</si>
  <si>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</si>
  <si>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</si>
  <si>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</si>
  <si>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</si>
  <si>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</si>
  <si>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</si>
  <si>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</si>
  <si>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</si>
  <si>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</si>
  <si>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</si>
  <si>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</si>
  <si>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</si>
  <si>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</si>
  <si>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</si>
  <si>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</si>
  <si>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</si>
  <si>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</si>
  <si>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</si>
  <si>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</si>
  <si>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</si>
  <si>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</si>
  <si>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</si>
  <si>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</si>
  <si>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</si>
  <si>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</si>
  <si>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</si>
  <si>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</si>
  <si>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</si>
  <si>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</si>
  <si>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</si>
  <si>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</si>
  <si>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</si>
  <si>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</si>
  <si>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</si>
  <si>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</si>
  <si>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</si>
  <si>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</si>
  <si>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</si>
  <si>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</si>
  <si>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</si>
  <si>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</si>
  <si>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</si>
  <si>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</si>
  <si>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</si>
  <si>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</si>
  <si>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</si>
  <si>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</si>
  <si>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</si>
  <si>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</si>
  <si>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</si>
  <si>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</si>
  <si>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</si>
  <si>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</si>
  <si>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</si>
  <si>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</si>
  <si>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</si>
  <si>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</si>
  <si>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</si>
  <si>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</si>
  <si>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</si>
  <si>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</si>
  <si>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</si>
  <si>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</si>
  <si>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</si>
  <si>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</si>
  <si>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</si>
  <si>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</si>
  <si>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</si>
  <si>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</si>
  <si>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</si>
  <si>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</si>
  <si>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</si>
  <si>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</si>
  <si>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</si>
  <si>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</si>
  <si>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</si>
  <si>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</si>
  <si>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</si>
  <si>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</si>
  <si>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</si>
  <si>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</si>
  <si>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</si>
  <si>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</si>
  <si>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</si>
  <si>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</si>
  <si>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</si>
  <si>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</si>
  <si>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</si>
  <si>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</si>
  <si>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t>7.1.1</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</si>
  <si>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</si>
  <si>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</si>
  <si>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</si>
  <si>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</si>
  <si>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t>7.1.2</t>
  </si>
  <si>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</si>
  <si>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</si>
  <si>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</si>
  <si>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</si>
  <si>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t>7.2.1</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</si>
  <si>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</si>
  <si>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</si>
  <si>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</si>
  <si>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</si>
  <si>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</si>
  <si>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</si>
  <si>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</si>
  <si>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t>7.2.2</t>
  </si>
  <si>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</si>
  <si>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</si>
  <si>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</si>
  <si>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</si>
  <si>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</si>
  <si>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t>7.2.3</t>
  </si>
  <si>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</si>
  <si>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</si>
  <si>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</si>
  <si>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</si>
  <si>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t>7.2.4</t>
  </si>
  <si>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</si>
  <si>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</si>
  <si>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</si>
  <si>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</si>
  <si>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</si>
  <si>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</si>
  <si>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t>7.2.5</t>
  </si>
  <si>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</si>
  <si>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</si>
  <si>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</si>
  <si>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</si>
  <si>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</si>
  <si>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</si>
  <si>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</si>
  <si>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</si>
  <si>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</si>
  <si>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</si>
  <si>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</si>
  <si>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t>7.2.6</t>
  </si>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</sst>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4"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31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11" fillId="3" borderId="0" xfId="0" applyNumberFormat="1" applyFont="1" applyFill="1" applyAlignment="1" applyProtection="1">
      <alignment vertical="top"/>
    </xf>
    <xf numFmtId="0" fontId="12"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3"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4" fillId="4" borderId="11" xfId="0" applyNumberFormat="1" applyFont="1" applyFill="1" applyBorder="1" applyAlignment="1" applyProtection="1">
      <alignment horizontal="left"/>
    </xf>
    <xf numFmtId="0" fontId="14" fillId="4" borderId="11" xfId="0" applyNumberFormat="1" applyFont="1" applyFill="1" applyBorder="1" applyAlignment="1" applyProtection="1">
      <alignment horizontal="center"/>
    </xf>
    <xf numFmtId="164" fontId="14" fillId="4" borderId="11" xfId="0" applyNumberFormat="1" applyFont="1" applyFill="1" applyBorder="1" applyAlignment="1" applyProtection="1">
      <alignment horizontal="center"/>
    </xf>
    <xf numFmtId="0" fontId="15" fillId="3" borderId="0" xfId="0" applyNumberFormat="1" applyFont="1" applyFill="1" applyProtection="1"/>
    <xf numFmtId="0" fontId="13"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7" fillId="3" borderId="0" xfId="0" applyNumberFormat="1" applyFont="1" applyFill="1" applyProtection="1"/>
    <xf numFmtId="0" fontId="18" fillId="3" borderId="13" xfId="0" applyNumberFormat="1" applyFont="1" applyFill="1" applyBorder="1" applyAlignment="1" applyProtection="1">
      <alignment horizontal="right" vertical="center"/>
    </xf>
    <xf numFmtId="0" fontId="19"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3" fillId="2" borderId="11" xfId="0" applyNumberFormat="1" applyFont="1" applyFill="1" applyBorder="1" applyAlignment="1" applyProtection="1">
      <alignment horizontal="center" vertical="center" wrapText="1"/>
    </xf>
    <xf numFmtId="0" fontId="20"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3"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2" fillId="14" borderId="11" xfId="0" applyNumberFormat="1" applyFont="1" applyFill="1" applyBorder="1" applyAlignment="1" applyProtection="1">
      <alignment horizontal="center" vertical="center" wrapText="1"/>
    </xf>
    <xf numFmtId="0" fontId="22" fillId="15" borderId="11" xfId="0" applyNumberFormat="1" applyFont="1" applyFill="1" applyBorder="1" applyAlignment="1" applyProtection="1">
      <alignment horizontal="center" vertical="center" wrapText="1"/>
    </xf>
    <xf numFmtId="0" fontId="22" fillId="16" borderId="11" xfId="0" applyNumberFormat="1" applyFont="1" applyFill="1" applyBorder="1" applyAlignment="1" applyProtection="1">
      <alignment horizontal="center" vertical="center" wrapText="1"/>
    </xf>
    <xf numFmtId="0" fontId="22" fillId="17" borderId="11" xfId="0" applyNumberFormat="1" applyFont="1" applyFill="1" applyBorder="1" applyAlignment="1" applyProtection="1">
      <alignment horizontal="center" vertical="center" wrapText="1"/>
    </xf>
    <xf numFmtId="0" fontId="22" fillId="18" borderId="11" xfId="0" applyNumberFormat="1" applyFont="1" applyFill="1" applyBorder="1" applyAlignment="1" applyProtection="1">
      <alignment horizontal="center" vertical="center" wrapText="1"/>
    </xf>
    <xf numFmtId="0" fontId="22" fillId="19" borderId="11" xfId="0" applyNumberFormat="1" applyFont="1" applyFill="1" applyBorder="1" applyAlignment="1" applyProtection="1">
      <alignment horizontal="center" vertical="center" wrapText="1"/>
    </xf>
    <xf numFmtId="0" fontId="23"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4"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4"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5"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5"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xf>
    <xf numFmtId="0" fontId="24"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left" vertical="top"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4" fillId="23" borderId="1" xfId="0" applyNumberFormat="1" applyFont="1" applyFill="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wrapText="1"/>
    </xf>
    <xf numFmtId="0" fontId="24"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4" fillId="23" borderId="5"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top"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4" fillId="23" borderId="1" xfId="0" applyNumberFormat="1" applyFont="1" applyFill="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wrapText="1"/>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4" fillId="23" borderId="5"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6"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3"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3"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6" fillId="3" borderId="0" xfId="0" applyNumberFormat="1" applyFont="1" applyFill="1" applyAlignment="1" applyProtection="1">
      <alignment vertical="top" wrapText="1"/>
    </xf>
    <xf numFmtId="3" fontId="21"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21"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3"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84">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E6D6-4E48-BB87-DE8F0A9FA8CA}"/>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E6D6-4E48-BB87-DE8F0A9FA8CA}"/>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375</c:v>
                </c:pt>
              </c:numCache>
            </c:numRef>
          </c:val>
          <c:extLst>
            <c:ext xmlns:c16="http://schemas.microsoft.com/office/drawing/2014/chart" uri="{C3380CC4-5D6E-409C-BE32-E72D297353CC}">
              <c16:uniqueId val="{00000002-E6D6-4E48-BB87-DE8F0A9FA8CA}"/>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B309-445B-B9A9-D529F3CAF316}"/>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B309-445B-B9A9-D529F3CAF316}"/>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375</c:v>
                </c:pt>
              </c:numCache>
            </c:numRef>
          </c:val>
          <c:extLst>
            <c:ext xmlns:c16="http://schemas.microsoft.com/office/drawing/2014/chart" uri="{C3380CC4-5D6E-409C-BE32-E72D297353CC}">
              <c16:uniqueId val="{00000002-B309-445B-B9A9-D529F3CAF316}"/>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Dashboard!$C$52:$C$54</c:f>
              <c:numCache>
                <c:formatCode>General</c:formatCode>
                <c:ptCount val="3"/>
                <c:pt idx="0">
                  <c:v>0</c:v>
                </c:pt>
                <c:pt idx="1">
                  <c:v>0</c:v>
                </c:pt>
                <c:pt idx="2">
                  <c:v>0</c:v>
                </c:pt>
              </c:numCache>
            </c:numRef>
          </c:val>
          <c:extLst>
            <c:ext xmlns:c16="http://schemas.microsoft.com/office/drawing/2014/chart" uri="{C3380CC4-5D6E-409C-BE32-E72D297353CC}">
              <c16:uniqueId val="{00000000-FB92-4EE4-9BF1-46EF4EBB71AF}"/>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Dashboard!$D$52:$D$54</c:f>
              <c:numCache>
                <c:formatCode>General</c:formatCode>
                <c:ptCount val="3"/>
                <c:pt idx="0">
                  <c:v>0</c:v>
                </c:pt>
                <c:pt idx="1">
                  <c:v>0</c:v>
                </c:pt>
                <c:pt idx="2">
                  <c:v>0</c:v>
                </c:pt>
              </c:numCache>
            </c:numRef>
          </c:val>
          <c:extLst>
            <c:ext xmlns:c16="http://schemas.microsoft.com/office/drawing/2014/chart" uri="{C3380CC4-5D6E-409C-BE32-E72D297353CC}">
              <c16:uniqueId val="{00000001-FB92-4EE4-9BF1-46EF4EBB71AF}"/>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Dashboard!$E$52:$E$54</c:f>
              <c:numCache>
                <c:formatCode>General</c:formatCode>
                <c:ptCount val="3"/>
                <c:pt idx="0">
                  <c:v>32</c:v>
                </c:pt>
                <c:pt idx="1">
                  <c:v>316</c:v>
                </c:pt>
                <c:pt idx="2">
                  <c:v>27</c:v>
                </c:pt>
              </c:numCache>
            </c:numRef>
          </c:val>
          <c:extLst>
            <c:ext xmlns:c16="http://schemas.microsoft.com/office/drawing/2014/chart" uri="{C3380CC4-5D6E-409C-BE32-E72D297353CC}">
              <c16:uniqueId val="{00000002-FB92-4EE4-9BF1-46EF4EBB71AF}"/>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Dashboard!$C$69:$C$73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596E-43C1-9F60-63F1546BF223}"/>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Dashboard!$D$69:$D$73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596E-43C1-9F60-63F1546BF223}"/>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Dashboard!$E$69:$E$73</c:f>
              <c:numCache>
                <c:formatCode>General</c:formatCode>
                <c:ptCount val="5"/>
                <c:pt idx="0">
                  <c:v>0</c:v>
                </c:pt>
                <c:pt idx="1">
                  <c:v>0</c:v>
                </c:pt>
                <c:pt idx="2">
                  <c:v>0</c:v>
                </c:pt>
                <c:pt idx="3">
                  <c:v>0</c:v>
                </c:pt>
                <c:pt idx="4">
                  <c:v>375</c:v>
                </c:pt>
              </c:numCache>
            </c:numRef>
          </c:val>
          <c:extLst>
            <c:ext xmlns:c16="http://schemas.microsoft.com/office/drawing/2014/chart" uri="{C3380CC4-5D6E-409C-BE32-E72D297353CC}">
              <c16:uniqueId val="{00000002-596E-43C1-9F60-63F1546BF223}"/>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Dashboard!$C$90:$C$93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173D-4742-94F9-24F022B90C67}"/>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Dashboard!$D$90:$D$93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173D-4742-94F9-24F022B90C67}"/>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Dashboard!$E$90:$E$93</c:f>
              <c:numCache>
                <c:formatCode>General</c:formatCode>
                <c:ptCount val="4"/>
                <c:pt idx="0">
                  <c:v>0</c:v>
                </c:pt>
                <c:pt idx="1">
                  <c:v>0</c:v>
                </c:pt>
                <c:pt idx="2">
                  <c:v>0</c:v>
                </c:pt>
                <c:pt idx="3">
                  <c:v>375</c:v>
                </c:pt>
              </c:numCache>
            </c:numRef>
          </c:val>
          <c:extLst>
            <c:ext xmlns:c16="http://schemas.microsoft.com/office/drawing/2014/chart" uri="{C3380CC4-5D6E-409C-BE32-E72D297353CC}">
              <c16:uniqueId val="{00000002-173D-4742-94F9-24F022B90C67}"/>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Dashboard!$P$126:$P$155</c:f>
              <c:numCache>
                <c:formatCode>yyyy\-mm\-dd</c:formatCode>
                <c:ptCount val="30"/>
              </c:numCache>
            </c:numRef>
          </c:cat>
          <c:val>
            <c:numRef>
              <c:f>Dashboard!$R$126:$R$155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AA6B-4EB4-820E-95FFC36F5DB3}"/>
            </c:ext>
          </c:extLst>
        </c:ser>
        <c:ser>
          <c:idx val="1"/>
          <c:order val="1"/>
          <c:tx>
            <c:v>Must % Resolved</c:v>
          </c:tx>
          <c:spPr>
            <a:ln w="22225" cap="rnd">
              <a:solidFill>
                <a:schemeClr val="accent2"/>
              </a:solidFill>
              <a:round/>
            </a:ln>
            <a:effectLst/>
          </c:spPr>
          <c:marker>
            <c:symbol val="none"/>
          </c:marker>
          <c:cat>
            <c:numRef>
              <c:f>Dashboard!$P$126:$P$155</c:f>
              <c:numCache>
                <c:formatCode>yyyy\-mm\-dd</c:formatCode>
                <c:ptCount val="30"/>
              </c:numCache>
            </c:numRef>
          </c:cat>
          <c:val>
            <c:numRef>
              <c:f>Dashboard!$T$126:$T$155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AA6B-4EB4-820E-95FFC36F5DB3}"/>
            </c:ext>
          </c:extLst>
        </c:ser>
        <c:ser>
          <c:idx val="2"/>
          <c:order val="2"/>
          <c:tx>
            <c:v>Should % Resolved</c:v>
          </c:tx>
          <c:spPr>
            <a:ln w="22225" cap="rnd">
              <a:solidFill>
                <a:schemeClr val="accent3"/>
              </a:solidFill>
              <a:round/>
            </a:ln>
            <a:effectLst/>
          </c:spPr>
          <c:marker>
            <c:symbol val="none"/>
          </c:marker>
          <c:cat>
            <c:numRef>
              <c:f>Dashboard!$P$126:$P$155</c:f>
              <c:numCache>
                <c:formatCode>yyyy\-mm\-dd</c:formatCode>
                <c:ptCount val="30"/>
              </c:numCache>
            </c:numRef>
          </c:cat>
          <c:val>
            <c:numRef>
              <c:f>Dashboard!$V$126:$V$155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AA6B-4EB4-820E-95FFC36F5DB3}"/>
            </c:ext>
          </c:extLst>
        </c:ser>
        <c:ser>
          <c:idx val="3"/>
          <c:order val="3"/>
          <c:tx>
            <c:v>Could % Resolved</c:v>
          </c:tx>
          <c:spPr>
            <a:ln w="22225" cap="rnd">
              <a:solidFill>
                <a:schemeClr val="accent4"/>
              </a:solidFill>
              <a:round/>
            </a:ln>
            <a:effectLst/>
          </c:spPr>
          <c:marker>
            <c:symbol val="none"/>
          </c:marker>
          <c:cat>
            <c:numRef>
              <c:f>Dashboard!$P$126:$P$155</c:f>
              <c:numCache>
                <c:formatCode>yyyy\-mm\-dd</c:formatCode>
                <c:ptCount val="30"/>
              </c:numCache>
            </c:numRef>
          </c:cat>
          <c:val>
            <c:numRef>
              <c:f>Dashboard!$X$126:$X$155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AA6B-4EB4-820E-95FFC36F5DB3}"/>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Dashboard!$P$168:$P$187</c:f>
              <c:numCache>
                <c:formatCode>yyyy\-mm\-dd</c:formatCode>
                <c:ptCount val="20"/>
              </c:numCache>
            </c:numRef>
          </c:cat>
          <c:val>
            <c:numRef>
              <c:f>Dashboard!$R$168:$R$187</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0D57-4AE8-B1C0-725A9A5BC27C}"/>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5bvjng">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dtv4xu">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hcdz3t">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65</xdr:row>
      <xdr:rowOff>95250</xdr:rowOff>
    </xdr:from>
    <xdr:to>
      <xdr:col>15</xdr:col>
      <xdr:colOff>28575</xdr:colOff>
      <xdr:row>81</xdr:row>
      <xdr:rowOff>0</xdr:rowOff>
    </xdr:to>
    <xdr:graphicFrame macro="">
      <xdr:nvGraphicFramePr>
        <xdr:cNvPr id="5" name="Charti4jnxx">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84</xdr:row>
      <xdr:rowOff>95250</xdr:rowOff>
    </xdr:from>
    <xdr:to>
      <xdr:col>15</xdr:col>
      <xdr:colOff>28575</xdr:colOff>
      <xdr:row>99</xdr:row>
      <xdr:rowOff>142875</xdr:rowOff>
    </xdr:to>
    <xdr:graphicFrame macro="">
      <xdr:nvGraphicFramePr>
        <xdr:cNvPr id="6" name="Chartsbezd0">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121</xdr:row>
      <xdr:rowOff>95250</xdr:rowOff>
    </xdr:from>
    <xdr:to>
      <xdr:col>14</xdr:col>
      <xdr:colOff>0</xdr:colOff>
      <xdr:row>144</xdr:row>
      <xdr:rowOff>38100</xdr:rowOff>
    </xdr:to>
    <xdr:graphicFrame macro="">
      <xdr:nvGraphicFramePr>
        <xdr:cNvPr id="7" name="Chartsa5zoq">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162</xdr:row>
      <xdr:rowOff>95250</xdr:rowOff>
    </xdr:from>
    <xdr:to>
      <xdr:col>14</xdr:col>
      <xdr:colOff>0</xdr:colOff>
      <xdr:row>180</xdr:row>
      <xdr:rowOff>123825</xdr:rowOff>
    </xdr:to>
    <xdr:graphicFrame macro="">
      <xdr:nvGraphicFramePr>
        <xdr:cNvPr id="8" name="Chartv22yyj">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376">
  <autoFilter ref="A1:M376"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RF_v2025" displayName="CRF_v2025" ref="A1:AU481">
  <autoFilter ref="A1:AU481" xr:uid="{00000000-0009-0000-0100-00000A000000}"/>
  <tableColumns count="47">
    <tableColumn id="1" xr3:uid="{00000000-0010-0000-0900-000001000000}" name="Category"/>
    <tableColumn id="2" xr3:uid="{00000000-0010-0000-0900-000002000000}" name="Domain"/>
    <tableColumn id="3" xr3:uid="{00000000-0010-0000-0900-000003000000}" name="Id"/>
    <tableColumn id="4" xr3:uid="{00000000-0010-0000-0900-000004000000}" name="Requirement"/>
    <tableColumn id="5" xr3:uid="{00000000-0010-0000-0900-000005000000}" name="Level"/>
    <tableColumn id="6" xr3:uid="{00000000-0010-0000-0900-000006000000}" name="SafeguardSystem"/>
    <tableColumn id="7" xr3:uid="{00000000-0010-0000-0900-000007000000}" name="ImplPct"/>
    <tableColumn id="8" xr3:uid="{00000000-0010-0000-0900-000008000000}" name="Rec1"/>
    <tableColumn id="9" xr3:uid="{00000000-0010-0000-0900-000009000000}" name="Rec2"/>
    <tableColumn id="10" xr3:uid="{00000000-0010-0000-0900-00000A000000}" name="Rec3"/>
    <tableColumn id="11" xr3:uid="{00000000-0010-0000-0900-00000B000000}" name="Rec4"/>
    <tableColumn id="12" xr3:uid="{00000000-0010-0000-0900-00000C000000}" name="Rec5"/>
    <tableColumn id="13" xr3:uid="{00000000-0010-0000-0900-00000D000000}" name="Rec6"/>
    <tableColumn id="14" xr3:uid="{00000000-0010-0000-0900-00000E000000}" name="Rec7"/>
    <tableColumn id="15" xr3:uid="{00000000-0010-0000-0900-00000F000000}" name="Rec8"/>
    <tableColumn id="16" xr3:uid="{00000000-0010-0000-0900-000010000000}" name="Rec9"/>
    <tableColumn id="17" xr3:uid="{00000000-0010-0000-0900-000011000000}" name="Rec10"/>
    <tableColumn id="18" xr3:uid="{00000000-0010-0000-0900-000012000000}" name="Rec11"/>
    <tableColumn id="19" xr3:uid="{00000000-0010-0000-0900-000013000000}" name="Rec12"/>
    <tableColumn id="20" xr3:uid="{00000000-0010-0000-0900-000014000000}" name="Rec13"/>
    <tableColumn id="21" xr3:uid="{00000000-0010-0000-0900-000015000000}" name="Rec14"/>
    <tableColumn id="22" xr3:uid="{00000000-0010-0000-0900-000016000000}" name="Rec15"/>
    <tableColumn id="23" xr3:uid="{00000000-0010-0000-0900-000017000000}" name="Rec16"/>
    <tableColumn id="24" xr3:uid="{00000000-0010-0000-0900-000018000000}" name="Rec17"/>
    <tableColumn id="25" xr3:uid="{00000000-0010-0000-0900-000019000000}" name="Rec18"/>
    <tableColumn id="26" xr3:uid="{00000000-0010-0000-0900-00001A000000}" name="Rec19"/>
    <tableColumn id="27" xr3:uid="{00000000-0010-0000-0900-00001B000000}" name="Rec20"/>
    <tableColumn id="28" xr3:uid="{00000000-0010-0000-0900-00001C000000}" name="Rec21"/>
    <tableColumn id="29" xr3:uid="{00000000-0010-0000-0900-00001D000000}" name="Rec22"/>
    <tableColumn id="30" xr3:uid="{00000000-0010-0000-0900-00001E000000}" name="Rec23"/>
    <tableColumn id="31" xr3:uid="{00000000-0010-0000-0900-00001F000000}" name="Rec24"/>
    <tableColumn id="32" xr3:uid="{00000000-0010-0000-0900-000020000000}" name="Rec25"/>
    <tableColumn id="33" xr3:uid="{00000000-0010-0000-0900-000021000000}" name="Rec26"/>
    <tableColumn id="34" xr3:uid="{00000000-0010-0000-0900-000022000000}" name="Rec27"/>
    <tableColumn id="35" xr3:uid="{00000000-0010-0000-0900-000023000000}" name="Rec28"/>
    <tableColumn id="36" xr3:uid="{00000000-0010-0000-0900-000024000000}" name="Rec29"/>
    <tableColumn id="37" xr3:uid="{00000000-0010-0000-0900-000025000000}" name="Rec30"/>
    <tableColumn id="38" xr3:uid="{00000000-0010-0000-0900-000026000000}" name="Rec31"/>
    <tableColumn id="39" xr3:uid="{00000000-0010-0000-0900-000027000000}" name="Rec32"/>
    <tableColumn id="40" xr3:uid="{00000000-0010-0000-0900-000028000000}" name="Rec33"/>
    <tableColumn id="41" xr3:uid="{00000000-0010-0000-0900-000029000000}" name="Rec34"/>
    <tableColumn id="42" xr3:uid="{00000000-0010-0000-0900-00002A000000}" name="Rec35"/>
    <tableColumn id="43" xr3:uid="{00000000-0010-0000-0900-00002B000000}" name="Rec36"/>
    <tableColumn id="44" xr3:uid="{00000000-0010-0000-0900-00002C000000}" name="Rec37"/>
    <tableColumn id="45" xr3:uid="{00000000-0010-0000-0900-00002D000000}" name="Rec38"/>
    <tableColumn id="46" xr3:uid="{00000000-0010-0000-0900-00002E000000}" name="Rec39"/>
    <tableColumn id="47" xr3:uid="{00000000-0010-0000-0900-00002F000000}" name="Rec4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7.vml"/><Relationship Id="rId1" Type="http://schemas.openxmlformats.org/officeDocument/2006/relationships/hyperlink" Target="https://creativecommons.org/licenses/by-sa/4.0/" TargetMode="Externa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06"/>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1788</v>
      </c>
    </row>
    <row r="3" spans="2:3" ht="15" customHeight="1" x14ac:dyDescent="0.35"/>
    <row r="4" spans="2:3" ht="58" x14ac:dyDescent="0.35">
      <c r="B4" s="18" t="s">
        <v>1789</v>
      </c>
      <c r="C4" s="19" t="s">
        <v>1790</v>
      </c>
    </row>
    <row r="5" spans="2:3" x14ac:dyDescent="0.35">
      <c r="C5" s="19" t="s">
        <v>1791</v>
      </c>
    </row>
    <row r="6" spans="2:3" x14ac:dyDescent="0.35">
      <c r="C6" s="16" t="s">
        <v>1792</v>
      </c>
    </row>
    <row r="7" spans="2:3" ht="10" customHeight="1" x14ac:dyDescent="0.35"/>
    <row r="8" spans="2:3" ht="232" x14ac:dyDescent="0.35">
      <c r="B8" s="20" t="s">
        <v>1793</v>
      </c>
      <c r="C8" s="19" t="s">
        <v>1794</v>
      </c>
    </row>
    <row r="9" spans="2:3" ht="10" customHeight="1" x14ac:dyDescent="0.35"/>
    <row r="10" spans="2:3" ht="35" customHeight="1" x14ac:dyDescent="0.35">
      <c r="B10" s="20" t="s">
        <v>1795</v>
      </c>
      <c r="C10" s="19" t="s">
        <v>1796</v>
      </c>
    </row>
    <row r="11" spans="2:3" ht="75" customHeight="1" x14ac:dyDescent="0.35">
      <c r="B11" s="16" t="s">
        <v>19</v>
      </c>
      <c r="C11" s="19" t="s">
        <v>1797</v>
      </c>
    </row>
    <row r="12" spans="2:3" ht="47" customHeight="1" x14ac:dyDescent="0.35">
      <c r="B12" s="16" t="s">
        <v>19</v>
      </c>
      <c r="C12" s="19" t="s">
        <v>1798</v>
      </c>
    </row>
    <row r="13" spans="2:3" ht="35" customHeight="1" x14ac:dyDescent="0.35">
      <c r="B13" s="16" t="s">
        <v>19</v>
      </c>
      <c r="C13" s="19" t="s">
        <v>1799</v>
      </c>
    </row>
    <row r="14" spans="2:3" ht="32" customHeight="1" x14ac:dyDescent="0.35">
      <c r="B14" s="16" t="s">
        <v>19</v>
      </c>
      <c r="C14" s="19" t="s">
        <v>1800</v>
      </c>
    </row>
    <row r="15" spans="2:3" ht="30" customHeight="1" x14ac:dyDescent="0.35">
      <c r="B15" s="16" t="s">
        <v>19</v>
      </c>
      <c r="C15" s="19" t="s">
        <v>1801</v>
      </c>
    </row>
    <row r="16" spans="2:3" ht="10" customHeight="1" x14ac:dyDescent="0.35"/>
    <row r="17" spans="1:3" ht="145" customHeight="1" x14ac:dyDescent="0.35">
      <c r="B17" s="20" t="s">
        <v>1802</v>
      </c>
      <c r="C17" s="19" t="s">
        <v>1803</v>
      </c>
    </row>
    <row r="18" spans="1:3" ht="10" customHeight="1" x14ac:dyDescent="0.35"/>
    <row r="19" spans="1:3" ht="3" customHeight="1" x14ac:dyDescent="0.35">
      <c r="B19" s="21"/>
      <c r="C19" s="21"/>
    </row>
    <row r="20" spans="1:3" ht="12" customHeight="1" x14ac:dyDescent="0.35"/>
    <row r="21" spans="1:3" ht="35" customHeight="1" x14ac:dyDescent="0.35">
      <c r="A21" s="23"/>
      <c r="B21" s="24" t="s">
        <v>1804</v>
      </c>
      <c r="C21" s="25" t="s">
        <v>1805</v>
      </c>
    </row>
    <row r="22" spans="1:3" ht="18" customHeight="1" x14ac:dyDescent="0.35">
      <c r="A22" s="23"/>
      <c r="B22" s="23" t="s">
        <v>19</v>
      </c>
      <c r="C22" s="25" t="s">
        <v>1806</v>
      </c>
    </row>
    <row r="23" spans="1:3" ht="18" customHeight="1" x14ac:dyDescent="0.35">
      <c r="A23" s="23"/>
      <c r="B23" s="23" t="s">
        <v>19</v>
      </c>
      <c r="C23" s="25" t="s">
        <v>1807</v>
      </c>
    </row>
    <row r="24" spans="1:3" ht="18" customHeight="1" x14ac:dyDescent="0.35">
      <c r="A24" s="23"/>
      <c r="B24" s="23" t="s">
        <v>19</v>
      </c>
      <c r="C24" s="25" t="s">
        <v>1808</v>
      </c>
    </row>
    <row r="25" spans="1:3" ht="18" customHeight="1" x14ac:dyDescent="0.35">
      <c r="A25" s="23"/>
      <c r="B25" s="23" t="s">
        <v>19</v>
      </c>
      <c r="C25" s="25" t="s">
        <v>1809</v>
      </c>
    </row>
    <row r="26" spans="1:3" ht="18" customHeight="1" x14ac:dyDescent="0.35">
      <c r="A26" s="23"/>
      <c r="B26" s="23" t="s">
        <v>19</v>
      </c>
      <c r="C26" s="25" t="s">
        <v>1810</v>
      </c>
    </row>
    <row r="27" spans="1:3" ht="18" customHeight="1" x14ac:dyDescent="0.35">
      <c r="A27" s="23"/>
      <c r="B27" s="23" t="s">
        <v>19</v>
      </c>
      <c r="C27" s="25" t="s">
        <v>1811</v>
      </c>
    </row>
    <row r="28" spans="1:3" ht="18" customHeight="1" x14ac:dyDescent="0.35">
      <c r="A28" s="23"/>
      <c r="B28" s="23" t="s">
        <v>19</v>
      </c>
      <c r="C28" s="25" t="s">
        <v>1812</v>
      </c>
    </row>
    <row r="29" spans="1:3" ht="18" customHeight="1" x14ac:dyDescent="0.35">
      <c r="A29" s="23"/>
      <c r="B29" s="23" t="s">
        <v>19</v>
      </c>
      <c r="C29" s="25" t="s">
        <v>1813</v>
      </c>
    </row>
    <row r="30" spans="1:3" ht="44" customHeight="1" x14ac:dyDescent="0.35">
      <c r="A30" s="23"/>
      <c r="B30" s="23" t="s">
        <v>19</v>
      </c>
      <c r="C30" s="26" t="s">
        <v>1814</v>
      </c>
    </row>
    <row r="31" spans="1:3" ht="10" customHeight="1" x14ac:dyDescent="0.35"/>
    <row r="32" spans="1:3" ht="3" customHeight="1" x14ac:dyDescent="0.35">
      <c r="B32" s="21"/>
      <c r="C32" s="21"/>
    </row>
    <row r="33" spans="2:3" ht="12" customHeight="1" x14ac:dyDescent="0.35"/>
    <row r="34" spans="2:3" ht="24" customHeight="1" x14ac:dyDescent="0.35">
      <c r="B34" s="27" t="s">
        <v>1815</v>
      </c>
      <c r="C34" s="28" t="s">
        <v>1816</v>
      </c>
    </row>
    <row r="35" spans="2:3" ht="18.5" x14ac:dyDescent="0.35">
      <c r="B35" s="27" t="s">
        <v>1817</v>
      </c>
      <c r="C35" s="29" t="s">
        <v>1818</v>
      </c>
    </row>
    <row r="36" spans="2:3" ht="27" customHeight="1" x14ac:dyDescent="0.35">
      <c r="B36" s="30" t="s">
        <v>1819</v>
      </c>
      <c r="C36" s="22" t="s">
        <v>1820</v>
      </c>
    </row>
    <row r="37" spans="2:3" x14ac:dyDescent="0.35">
      <c r="B37" s="27" t="s">
        <v>1821</v>
      </c>
      <c r="C37" s="31" t="s">
        <v>1822</v>
      </c>
    </row>
    <row r="38" spans="2:3" ht="10" customHeight="1" x14ac:dyDescent="0.35"/>
    <row r="39" spans="2:3" ht="101.5" x14ac:dyDescent="0.35">
      <c r="B39" s="27" t="s">
        <v>1823</v>
      </c>
      <c r="C39" s="32" t="s">
        <v>1824</v>
      </c>
    </row>
    <row r="40" spans="2:3" ht="10" customHeight="1" x14ac:dyDescent="0.35"/>
    <row r="41" spans="2:3" ht="43.5" x14ac:dyDescent="0.35">
      <c r="B41" s="27" t="s">
        <v>1825</v>
      </c>
      <c r="C41" s="19" t="s">
        <v>1826</v>
      </c>
    </row>
    <row r="42" spans="2:3" ht="10" customHeight="1" x14ac:dyDescent="0.35"/>
    <row r="43" spans="2:3" ht="15.5" x14ac:dyDescent="0.35">
      <c r="C43" s="33" t="s">
        <v>29</v>
      </c>
    </row>
    <row r="44" spans="2:3" ht="29" x14ac:dyDescent="0.35">
      <c r="C44" s="19" t="s">
        <v>1827</v>
      </c>
    </row>
    <row r="45" spans="2:3" ht="10" customHeight="1" x14ac:dyDescent="0.35"/>
    <row r="46" spans="2:3" ht="15.5" x14ac:dyDescent="0.35">
      <c r="C46" s="34" t="s">
        <v>15</v>
      </c>
    </row>
    <row r="47" spans="2:3" ht="29" x14ac:dyDescent="0.35">
      <c r="C47" s="19" t="s">
        <v>1828</v>
      </c>
    </row>
    <row r="48" spans="2:3" ht="10" customHeight="1" x14ac:dyDescent="0.35"/>
    <row r="49" spans="2:3" ht="15.5" x14ac:dyDescent="0.35">
      <c r="C49" s="35" t="s">
        <v>155</v>
      </c>
    </row>
    <row r="50" spans="2:3" ht="29" x14ac:dyDescent="0.35">
      <c r="C50" s="19" t="s">
        <v>1829</v>
      </c>
    </row>
    <row r="51" spans="2:3" ht="10" customHeight="1" x14ac:dyDescent="0.35"/>
    <row r="52" spans="2:3" ht="3" customHeight="1" x14ac:dyDescent="0.35">
      <c r="B52" s="21"/>
      <c r="C52" s="21"/>
    </row>
    <row r="53" spans="2:3" ht="12" customHeight="1" x14ac:dyDescent="0.35"/>
    <row r="54" spans="2:3" ht="130.5" x14ac:dyDescent="0.35">
      <c r="B54" s="18" t="s">
        <v>1830</v>
      </c>
      <c r="C54" s="19" t="s">
        <v>1831</v>
      </c>
    </row>
    <row r="55" spans="2:3" ht="6" customHeight="1" x14ac:dyDescent="0.35"/>
    <row r="56" spans="2:3" ht="217.5" x14ac:dyDescent="0.35">
      <c r="C56" s="19" t="s">
        <v>1832</v>
      </c>
    </row>
    <row r="57" spans="2:3" ht="6" customHeight="1" x14ac:dyDescent="0.35"/>
    <row r="58" spans="2:3" ht="43.5" x14ac:dyDescent="0.35">
      <c r="C58" s="19" t="s">
        <v>1833</v>
      </c>
    </row>
    <row r="59" spans="2:3" ht="10" customHeight="1" x14ac:dyDescent="0.35"/>
    <row r="60" spans="2:3" ht="3" customHeight="1" x14ac:dyDescent="0.35">
      <c r="B60" s="21"/>
      <c r="C60" s="21"/>
    </row>
    <row r="61" spans="2:3" ht="12" customHeight="1" x14ac:dyDescent="0.35"/>
    <row r="62" spans="2:3" ht="145" x14ac:dyDescent="0.35">
      <c r="B62" s="18" t="s">
        <v>1834</v>
      </c>
      <c r="C62" s="19" t="s">
        <v>1835</v>
      </c>
    </row>
    <row r="63" spans="2:3" ht="6" customHeight="1" x14ac:dyDescent="0.35"/>
    <row r="64" spans="2:3" ht="203" x14ac:dyDescent="0.35">
      <c r="C64" s="19" t="s">
        <v>1836</v>
      </c>
    </row>
    <row r="65" spans="2:3" ht="6" customHeight="1" x14ac:dyDescent="0.35"/>
    <row r="66" spans="2:3" ht="43.5" x14ac:dyDescent="0.35">
      <c r="C66" s="19" t="s">
        <v>1837</v>
      </c>
    </row>
    <row r="67" spans="2:3" ht="10" customHeight="1" x14ac:dyDescent="0.35"/>
    <row r="68" spans="2:3" ht="3" customHeight="1" x14ac:dyDescent="0.35">
      <c r="B68" s="21"/>
      <c r="C68" s="21"/>
    </row>
    <row r="69" spans="2:3" ht="12" customHeight="1" x14ac:dyDescent="0.35"/>
    <row r="70" spans="2:3" ht="101.5" x14ac:dyDescent="0.35">
      <c r="B70" s="18" t="s">
        <v>1838</v>
      </c>
      <c r="C70" s="19" t="s">
        <v>1839</v>
      </c>
    </row>
    <row r="71" spans="2:3" ht="6" customHeight="1" x14ac:dyDescent="0.35"/>
    <row r="72" spans="2:3" ht="145" x14ac:dyDescent="0.35">
      <c r="C72" s="19" t="s">
        <v>1840</v>
      </c>
    </row>
    <row r="73" spans="2:3" ht="6" customHeight="1" x14ac:dyDescent="0.35"/>
    <row r="74" spans="2:3" ht="43.5" x14ac:dyDescent="0.35">
      <c r="C74" s="19" t="s">
        <v>1841</v>
      </c>
    </row>
    <row r="75" spans="2:3" ht="10" customHeight="1" x14ac:dyDescent="0.35"/>
    <row r="76" spans="2:3" ht="3" customHeight="1" x14ac:dyDescent="0.35">
      <c r="B76" s="21"/>
      <c r="C76" s="21"/>
    </row>
    <row r="77" spans="2:3" ht="12" customHeight="1" x14ac:dyDescent="0.35"/>
    <row r="78" spans="2:3" ht="26" customHeight="1" x14ac:dyDescent="0.35">
      <c r="B78" s="36" t="s">
        <v>1842</v>
      </c>
    </row>
    <row r="79" spans="2:3" ht="8" customHeight="1" x14ac:dyDescent="0.35"/>
    <row r="80" spans="2:3" ht="20" customHeight="1" x14ac:dyDescent="0.35">
      <c r="B80" s="27" t="s">
        <v>1843</v>
      </c>
      <c r="C80" s="37" t="s">
        <v>1844</v>
      </c>
    </row>
    <row r="81" spans="2:3" ht="116" x14ac:dyDescent="0.35">
      <c r="C81" s="19" t="s">
        <v>1845</v>
      </c>
    </row>
    <row r="82" spans="2:3" ht="10" customHeight="1" x14ac:dyDescent="0.35"/>
    <row r="83" spans="2:3" ht="20" customHeight="1" x14ac:dyDescent="0.35">
      <c r="B83" s="27" t="s">
        <v>1846</v>
      </c>
      <c r="C83" s="37" t="s">
        <v>1847</v>
      </c>
    </row>
    <row r="84" spans="2:3" ht="116" x14ac:dyDescent="0.35">
      <c r="C84" s="19" t="s">
        <v>1848</v>
      </c>
    </row>
    <row r="85" spans="2:3" ht="10" customHeight="1" x14ac:dyDescent="0.35"/>
    <row r="86" spans="2:3" ht="20" customHeight="1" x14ac:dyDescent="0.35">
      <c r="B86" s="27" t="s">
        <v>1849</v>
      </c>
      <c r="C86" s="37" t="s">
        <v>1850</v>
      </c>
    </row>
    <row r="87" spans="2:3" ht="130.5" x14ac:dyDescent="0.35">
      <c r="C87" s="19" t="s">
        <v>1851</v>
      </c>
    </row>
    <row r="88" spans="2:3" ht="10" customHeight="1" x14ac:dyDescent="0.35"/>
    <row r="89" spans="2:3" ht="20" customHeight="1" x14ac:dyDescent="0.35">
      <c r="B89" s="27" t="s">
        <v>1852</v>
      </c>
      <c r="C89" s="37" t="s">
        <v>1853</v>
      </c>
    </row>
    <row r="90" spans="2:3" ht="130.5" x14ac:dyDescent="0.35">
      <c r="C90" s="19" t="s">
        <v>1854</v>
      </c>
    </row>
    <row r="91" spans="2:3" ht="10" customHeight="1" x14ac:dyDescent="0.35"/>
    <row r="92" spans="2:3" ht="20" customHeight="1" x14ac:dyDescent="0.35">
      <c r="B92" s="27" t="s">
        <v>1855</v>
      </c>
      <c r="C92" s="37" t="s">
        <v>1856</v>
      </c>
    </row>
    <row r="93" spans="2:3" ht="116" x14ac:dyDescent="0.35">
      <c r="C93" s="19" t="s">
        <v>1857</v>
      </c>
    </row>
    <row r="94" spans="2:3" ht="10" customHeight="1" x14ac:dyDescent="0.35"/>
    <row r="95" spans="2:3" ht="20" customHeight="1" x14ac:dyDescent="0.35">
      <c r="B95" s="27" t="s">
        <v>1858</v>
      </c>
      <c r="C95" s="37" t="s">
        <v>1859</v>
      </c>
    </row>
    <row r="96" spans="2:3" ht="116" x14ac:dyDescent="0.35">
      <c r="C96" s="19" t="s">
        <v>1860</v>
      </c>
    </row>
    <row r="97" spans="2:3" ht="10" customHeight="1" x14ac:dyDescent="0.35"/>
    <row r="98" spans="2:3" ht="20" customHeight="1" x14ac:dyDescent="0.35">
      <c r="B98" s="27" t="s">
        <v>1861</v>
      </c>
      <c r="C98" s="37" t="s">
        <v>1862</v>
      </c>
    </row>
    <row r="99" spans="2:3" ht="130.5" x14ac:dyDescent="0.35">
      <c r="C99" s="19" t="s">
        <v>1863</v>
      </c>
    </row>
    <row r="100" spans="2:3" ht="10" customHeight="1" x14ac:dyDescent="0.35"/>
    <row r="101" spans="2:3" ht="20" customHeight="1" x14ac:dyDescent="0.35">
      <c r="B101" s="27" t="s">
        <v>1864</v>
      </c>
      <c r="C101" s="37" t="s">
        <v>1865</v>
      </c>
    </row>
    <row r="102" spans="2:3" ht="203" x14ac:dyDescent="0.35">
      <c r="C102" s="19" t="s">
        <v>1866</v>
      </c>
    </row>
    <row r="103" spans="2:3" ht="10" customHeight="1" x14ac:dyDescent="0.35"/>
    <row r="106" spans="2:3" ht="32" customHeight="1" x14ac:dyDescent="0.35">
      <c r="B106" s="288" t="s">
        <v>1787</v>
      </c>
      <c r="C106" s="288"/>
    </row>
  </sheetData>
  <sheetProtection password="90EA" sheet="1"/>
  <mergeCells count="1">
    <mergeCell ref="B106:C106"/>
  </mergeCells>
  <hyperlinks>
    <hyperlink ref="C5" r:id="rId1" xr:uid="{00000000-0004-0000-0000-000000000000}"/>
    <hyperlink ref="C6" r:id="rId2" xr:uid="{00000000-0004-0000-0000-000001000000}"/>
    <hyperlink ref="C37" r:id="rId3" xr:uid="{00000000-0004-0000-0000-000002000000}"/>
    <hyperlink ref="B106" r:id="rId4" xr:uid="{00000000-0004-0000-0000-000003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29" t="s">
        <v>4549</v>
      </c>
      <c r="B1" s="230" t="s">
        <v>0</v>
      </c>
      <c r="C1" s="230" t="s">
        <v>2026</v>
      </c>
      <c r="D1" s="230" t="s">
        <v>2027</v>
      </c>
      <c r="E1" s="230" t="s">
        <v>2032</v>
      </c>
      <c r="F1" s="230" t="s">
        <v>2033</v>
      </c>
      <c r="G1" s="230" t="s">
        <v>2034</v>
      </c>
      <c r="H1" s="230" t="s">
        <v>2035</v>
      </c>
      <c r="I1" s="230" t="s">
        <v>2036</v>
      </c>
      <c r="J1" s="230" t="s">
        <v>2037</v>
      </c>
      <c r="K1" s="230" t="s">
        <v>2038</v>
      </c>
      <c r="L1" s="230" t="s">
        <v>2039</v>
      </c>
      <c r="M1" s="230" t="s">
        <v>2040</v>
      </c>
      <c r="N1" s="230" t="s">
        <v>2041</v>
      </c>
      <c r="O1" s="230" t="s">
        <v>2042</v>
      </c>
      <c r="P1" s="230" t="s">
        <v>2043</v>
      </c>
      <c r="Q1" s="230" t="s">
        <v>2044</v>
      </c>
      <c r="R1" s="230" t="s">
        <v>2045</v>
      </c>
      <c r="S1" s="230" t="s">
        <v>2046</v>
      </c>
      <c r="T1" s="230" t="s">
        <v>2047</v>
      </c>
      <c r="U1" s="230" t="s">
        <v>2048</v>
      </c>
      <c r="V1" s="230" t="s">
        <v>2049</v>
      </c>
      <c r="W1" s="230" t="s">
        <v>2050</v>
      </c>
      <c r="X1" s="230" t="s">
        <v>2051</v>
      </c>
      <c r="Y1" s="230" t="s">
        <v>2052</v>
      </c>
      <c r="Z1" s="230" t="s">
        <v>2053</v>
      </c>
      <c r="AA1" s="230" t="s">
        <v>2054</v>
      </c>
      <c r="AB1" s="230" t="s">
        <v>2055</v>
      </c>
      <c r="AC1" s="230" t="s">
        <v>2056</v>
      </c>
      <c r="AD1" s="230" t="s">
        <v>2057</v>
      </c>
      <c r="AE1" s="230" t="s">
        <v>2058</v>
      </c>
      <c r="AF1" s="230" t="s">
        <v>2059</v>
      </c>
      <c r="AG1" s="230" t="s">
        <v>2060</v>
      </c>
      <c r="AH1" s="230" t="s">
        <v>2061</v>
      </c>
      <c r="AI1" s="230" t="s">
        <v>2062</v>
      </c>
      <c r="AJ1" s="230" t="s">
        <v>2063</v>
      </c>
      <c r="AK1" s="230" t="s">
        <v>2064</v>
      </c>
      <c r="AL1" s="230" t="s">
        <v>2065</v>
      </c>
      <c r="AM1" s="230" t="s">
        <v>2066</v>
      </c>
      <c r="AN1" s="230" t="s">
        <v>2067</v>
      </c>
      <c r="AO1" s="230" t="s">
        <v>2068</v>
      </c>
      <c r="AP1" s="230" t="s">
        <v>2069</v>
      </c>
      <c r="AQ1" s="230" t="s">
        <v>2070</v>
      </c>
      <c r="AR1" s="230" t="s">
        <v>2071</v>
      </c>
      <c r="AS1" s="231" t="s">
        <v>2072</v>
      </c>
    </row>
    <row r="2" spans="1:45" ht="60" customHeight="1" outlineLevel="1" x14ac:dyDescent="0.35">
      <c r="A2" s="223" t="s">
        <v>4550</v>
      </c>
      <c r="B2" s="210" t="s">
        <v>4551</v>
      </c>
      <c r="C2" s="209"/>
      <c r="D2" s="213"/>
      <c r="E2" s="215" t="str">
        <f>IF(COUNTIF(F2:AS2,"&lt;&gt;")=0,"",SUMPRODUCT(((Recommendations[ImplStatus]="Implemented")+(Recommendations[ImplStatus]="Compensated"))*ISNUMBER(MATCH(Recommendations[Id],F2:AS2,0)))/COUNTIF(F2:AS2,"&lt;&gt;"))</f>
        <v/>
      </c>
      <c r="F2" s="209"/>
      <c r="G2" s="209"/>
      <c r="H2" s="209"/>
      <c r="I2" s="209"/>
      <c r="J2" s="209"/>
      <c r="K2" s="209"/>
      <c r="L2" s="209"/>
      <c r="M2" s="209"/>
      <c r="N2" s="209"/>
      <c r="O2" s="209"/>
      <c r="P2" s="209"/>
      <c r="Q2" s="209"/>
      <c r="R2" s="209"/>
      <c r="S2" s="209"/>
      <c r="T2" s="209"/>
      <c r="U2" s="209"/>
      <c r="V2" s="209"/>
      <c r="W2" s="209"/>
      <c r="X2" s="209"/>
      <c r="Y2" s="209"/>
      <c r="Z2" s="209"/>
      <c r="AA2" s="209"/>
      <c r="AB2" s="209"/>
      <c r="AC2" s="209"/>
      <c r="AD2" s="209"/>
      <c r="AE2" s="209"/>
      <c r="AF2" s="209"/>
      <c r="AG2" s="209"/>
      <c r="AH2" s="209"/>
      <c r="AI2" s="209"/>
      <c r="AJ2" s="209"/>
      <c r="AK2" s="209"/>
      <c r="AL2" s="209"/>
      <c r="AM2" s="209"/>
      <c r="AN2" s="209"/>
      <c r="AO2" s="209"/>
      <c r="AP2" s="209"/>
      <c r="AQ2" s="209"/>
      <c r="AR2" s="209"/>
      <c r="AS2" s="226"/>
    </row>
    <row r="3" spans="1:45" ht="60" customHeight="1" x14ac:dyDescent="0.35">
      <c r="A3" s="224" t="s">
        <v>4550</v>
      </c>
      <c r="B3" s="211" t="s">
        <v>4552</v>
      </c>
      <c r="C3" s="212" t="s">
        <v>4553</v>
      </c>
      <c r="D3" s="214" t="s">
        <v>4554</v>
      </c>
      <c r="E3" s="216" t="str">
        <f>IF(COUNTIF(F3:AS3,"&lt;&gt;")=0,"",SUMPRODUCT(((Recommendations[ImplStatus]="Implemented")+(Recommendations[ImplStatus]="Compensated"))*ISNUMBER(MATCH(Recommendations[Id],F3:AS3,0)))/COUNTIF(F3:AS3,"&lt;&gt;"))</f>
        <v/>
      </c>
      <c r="F3" s="217"/>
      <c r="G3" s="217"/>
      <c r="H3" s="217"/>
      <c r="I3" s="217"/>
      <c r="J3" s="217"/>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27"/>
    </row>
    <row r="4" spans="1:45" ht="60" customHeight="1" x14ac:dyDescent="0.35">
      <c r="A4" s="224" t="s">
        <v>4550</v>
      </c>
      <c r="B4" s="211" t="s">
        <v>4555</v>
      </c>
      <c r="C4" s="212" t="s">
        <v>4556</v>
      </c>
      <c r="D4" s="214" t="s">
        <v>4557</v>
      </c>
      <c r="E4" s="216" t="str">
        <f>IF(COUNTIF(F4:AS4,"&lt;&gt;")=0,"",SUMPRODUCT(((Recommendations[ImplStatus]="Implemented")+(Recommendations[ImplStatus]="Compensated"))*ISNUMBER(MATCH(Recommendations[Id],F4:AS4,0)))/COUNTIF(F4:AS4,"&lt;&gt;"))</f>
        <v/>
      </c>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27"/>
    </row>
    <row r="5" spans="1:45" ht="60" customHeight="1" x14ac:dyDescent="0.35">
      <c r="A5" s="224" t="s">
        <v>4550</v>
      </c>
      <c r="B5" s="211" t="s">
        <v>4558</v>
      </c>
      <c r="C5" s="212" t="s">
        <v>4559</v>
      </c>
      <c r="D5" s="214" t="s">
        <v>4560</v>
      </c>
      <c r="E5" s="216" t="str">
        <f>IF(COUNTIF(F5:AS5,"&lt;&gt;")=0,"",SUMPRODUCT(((Recommendations[ImplStatus]="Implemented")+(Recommendations[ImplStatus]="Compensated"))*ISNUMBER(MATCH(Recommendations[Id],F5:AS5,0)))/COUNTIF(F5:AS5,"&lt;&gt;"))</f>
        <v/>
      </c>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27"/>
    </row>
    <row r="6" spans="1:45" ht="60" customHeight="1" x14ac:dyDescent="0.35">
      <c r="A6" s="224" t="s">
        <v>4550</v>
      </c>
      <c r="B6" s="211" t="s">
        <v>4561</v>
      </c>
      <c r="C6" s="212" t="s">
        <v>4562</v>
      </c>
      <c r="D6" s="214" t="s">
        <v>4563</v>
      </c>
      <c r="E6" s="216" t="str">
        <f>IF(COUNTIF(F6:AS6,"&lt;&gt;")=0,"",SUMPRODUCT(((Recommendations[ImplStatus]="Implemented")+(Recommendations[ImplStatus]="Compensated"))*ISNUMBER(MATCH(Recommendations[Id],F6:AS6,0)))/COUNTIF(F6:AS6,"&lt;&gt;"))</f>
        <v/>
      </c>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27"/>
    </row>
    <row r="7" spans="1:45" ht="60" customHeight="1" x14ac:dyDescent="0.35">
      <c r="A7" s="224" t="s">
        <v>4550</v>
      </c>
      <c r="B7" s="211" t="s">
        <v>4564</v>
      </c>
      <c r="C7" s="212" t="s">
        <v>4565</v>
      </c>
      <c r="D7" s="214" t="s">
        <v>4566</v>
      </c>
      <c r="E7" s="216" t="str">
        <f>IF(COUNTIF(F7:AS7,"&lt;&gt;")=0,"",SUMPRODUCT(((Recommendations[ImplStatus]="Implemented")+(Recommendations[ImplStatus]="Compensated"))*ISNUMBER(MATCH(Recommendations[Id],F7:AS7,0)))/COUNTIF(F7:AS7,"&lt;&gt;"))</f>
        <v/>
      </c>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27"/>
    </row>
    <row r="8" spans="1:45" ht="60" customHeight="1" x14ac:dyDescent="0.35">
      <c r="A8" s="224" t="s">
        <v>4550</v>
      </c>
      <c r="B8" s="211" t="s">
        <v>4567</v>
      </c>
      <c r="C8" s="212" t="s">
        <v>4568</v>
      </c>
      <c r="D8" s="214" t="s">
        <v>4569</v>
      </c>
      <c r="E8" s="216" t="str">
        <f>IF(COUNTIF(F8:AS8,"&lt;&gt;")=0,"",SUMPRODUCT(((Recommendations[ImplStatus]="Implemented")+(Recommendations[ImplStatus]="Compensated"))*ISNUMBER(MATCH(Recommendations[Id],F8:AS8,0)))/COUNTIF(F8:AS8,"&lt;&gt;"))</f>
        <v/>
      </c>
      <c r="F8" s="217"/>
      <c r="G8" s="217"/>
      <c r="H8" s="217"/>
      <c r="I8" s="217"/>
      <c r="J8" s="217"/>
      <c r="K8" s="217"/>
      <c r="L8" s="217"/>
      <c r="M8" s="217"/>
      <c r="N8" s="217"/>
      <c r="O8" s="217"/>
      <c r="P8" s="217"/>
      <c r="Q8" s="217"/>
      <c r="R8" s="217"/>
      <c r="S8" s="217"/>
      <c r="T8" s="217"/>
      <c r="U8" s="217"/>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27"/>
    </row>
    <row r="9" spans="1:45" ht="60" customHeight="1" x14ac:dyDescent="0.35">
      <c r="A9" s="224" t="s">
        <v>4550</v>
      </c>
      <c r="B9" s="211" t="s">
        <v>4570</v>
      </c>
      <c r="C9" s="212" t="s">
        <v>4571</v>
      </c>
      <c r="D9" s="214" t="s">
        <v>4572</v>
      </c>
      <c r="E9" s="216" t="str">
        <f>IF(COUNTIF(F9:AS9,"&lt;&gt;")=0,"",SUMPRODUCT(((Recommendations[ImplStatus]="Implemented")+(Recommendations[ImplStatus]="Compensated"))*ISNUMBER(MATCH(Recommendations[Id],F9:AS9,0)))/COUNTIF(F9:AS9,"&lt;&gt;"))</f>
        <v/>
      </c>
      <c r="F9" s="217"/>
      <c r="G9" s="217"/>
      <c r="H9" s="217"/>
      <c r="I9" s="217"/>
      <c r="J9" s="217"/>
      <c r="K9" s="217"/>
      <c r="L9" s="217"/>
      <c r="M9" s="217"/>
      <c r="N9" s="217"/>
      <c r="O9" s="217"/>
      <c r="P9" s="217"/>
      <c r="Q9" s="217"/>
      <c r="R9" s="217"/>
      <c r="S9" s="217"/>
      <c r="T9" s="217"/>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27"/>
    </row>
    <row r="10" spans="1:45" ht="60" customHeight="1" x14ac:dyDescent="0.35">
      <c r="A10" s="224" t="s">
        <v>4550</v>
      </c>
      <c r="B10" s="211" t="s">
        <v>4573</v>
      </c>
      <c r="C10" s="212" t="s">
        <v>4574</v>
      </c>
      <c r="D10" s="214" t="s">
        <v>4575</v>
      </c>
      <c r="E10" s="216" t="str">
        <f>IF(COUNTIF(F10:AS10,"&lt;&gt;")=0,"",SUMPRODUCT(((Recommendations[ImplStatus]="Implemented")+(Recommendations[ImplStatus]="Compensated"))*ISNUMBER(MATCH(Recommendations[Id],F10:AS10,0)))/COUNTIF(F10:AS10,"&lt;&gt;"))</f>
        <v/>
      </c>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27"/>
    </row>
    <row r="11" spans="1:45" ht="60" customHeight="1" x14ac:dyDescent="0.35">
      <c r="A11" s="224" t="s">
        <v>4550</v>
      </c>
      <c r="B11" s="211" t="s">
        <v>4576</v>
      </c>
      <c r="C11" s="212" t="s">
        <v>4577</v>
      </c>
      <c r="D11" s="214" t="s">
        <v>4578</v>
      </c>
      <c r="E11" s="216" t="str">
        <f>IF(COUNTIF(F11:AS11,"&lt;&gt;")=0,"",SUMPRODUCT(((Recommendations[ImplStatus]="Implemented")+(Recommendations[ImplStatus]="Compensated"))*ISNUMBER(MATCH(Recommendations[Id],F11:AS11,0)))/COUNTIF(F11:AS11,"&lt;&gt;"))</f>
        <v/>
      </c>
      <c r="F11" s="217"/>
      <c r="G11" s="217"/>
      <c r="H11" s="217"/>
      <c r="I11" s="217"/>
      <c r="J11" s="217"/>
      <c r="K11" s="217"/>
      <c r="L11" s="217"/>
      <c r="M11" s="217"/>
      <c r="N11" s="217"/>
      <c r="O11" s="217"/>
      <c r="P11" s="217"/>
      <c r="Q11" s="217"/>
      <c r="R11" s="217"/>
      <c r="S11" s="217"/>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27"/>
    </row>
    <row r="12" spans="1:45" ht="60" customHeight="1" x14ac:dyDescent="0.35">
      <c r="A12" s="224" t="s">
        <v>4550</v>
      </c>
      <c r="B12" s="211" t="s">
        <v>4579</v>
      </c>
      <c r="C12" s="212" t="s">
        <v>4580</v>
      </c>
      <c r="D12" s="214" t="s">
        <v>4581</v>
      </c>
      <c r="E12" s="216" t="str">
        <f>IF(COUNTIF(F12:AS12,"&lt;&gt;")=0,"",SUMPRODUCT(((Recommendations[ImplStatus]="Implemented")+(Recommendations[ImplStatus]="Compensated"))*ISNUMBER(MATCH(Recommendations[Id],F12:AS12,0)))/COUNTIF(F12:AS12,"&lt;&gt;"))</f>
        <v/>
      </c>
      <c r="F12" s="217"/>
      <c r="G12" s="217"/>
      <c r="H12" s="217"/>
      <c r="I12" s="217"/>
      <c r="J12" s="217"/>
      <c r="K12" s="217"/>
      <c r="L12" s="217"/>
      <c r="M12" s="217"/>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27"/>
    </row>
    <row r="13" spans="1:45" ht="60" customHeight="1" x14ac:dyDescent="0.35">
      <c r="A13" s="224" t="s">
        <v>4550</v>
      </c>
      <c r="B13" s="211" t="s">
        <v>4582</v>
      </c>
      <c r="C13" s="212" t="s">
        <v>4583</v>
      </c>
      <c r="D13" s="214" t="s">
        <v>4584</v>
      </c>
      <c r="E13" s="216" t="str">
        <f>IF(COUNTIF(F13:AS13,"&lt;&gt;")=0,"",SUMPRODUCT(((Recommendations[ImplStatus]="Implemented")+(Recommendations[ImplStatus]="Compensated"))*ISNUMBER(MATCH(Recommendations[Id],F13:AS13,0)))/COUNTIF(F13:AS13,"&lt;&gt;"))</f>
        <v/>
      </c>
      <c r="F13" s="217"/>
      <c r="G13" s="217"/>
      <c r="H13" s="217"/>
      <c r="I13" s="217"/>
      <c r="J13" s="217"/>
      <c r="K13" s="217"/>
      <c r="L13" s="217"/>
      <c r="M13" s="217"/>
      <c r="N13" s="217"/>
      <c r="O13" s="217"/>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27"/>
    </row>
    <row r="14" spans="1:45" ht="60" customHeight="1" x14ac:dyDescent="0.35">
      <c r="A14" s="224" t="s">
        <v>4550</v>
      </c>
      <c r="B14" s="211" t="s">
        <v>4585</v>
      </c>
      <c r="C14" s="212" t="s">
        <v>4586</v>
      </c>
      <c r="D14" s="214" t="s">
        <v>4587</v>
      </c>
      <c r="E14" s="216" t="str">
        <f>IF(COUNTIF(F14:AS14,"&lt;&gt;")=0,"",SUMPRODUCT(((Recommendations[ImplStatus]="Implemented")+(Recommendations[ImplStatus]="Compensated"))*ISNUMBER(MATCH(Recommendations[Id],F14:AS14,0)))/COUNTIF(F14:AS14,"&lt;&gt;"))</f>
        <v/>
      </c>
      <c r="F14" s="217"/>
      <c r="G14" s="217"/>
      <c r="H14" s="217"/>
      <c r="I14" s="217"/>
      <c r="J14" s="217"/>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27"/>
    </row>
    <row r="15" spans="1:45" ht="60" customHeight="1" x14ac:dyDescent="0.35">
      <c r="A15" s="224" t="s">
        <v>4550</v>
      </c>
      <c r="B15" s="211" t="s">
        <v>4588</v>
      </c>
      <c r="C15" s="212" t="s">
        <v>4589</v>
      </c>
      <c r="D15" s="214" t="s">
        <v>4590</v>
      </c>
      <c r="E15" s="216" t="str">
        <f>IF(COUNTIF(F15:AS15,"&lt;&gt;")=0,"",SUMPRODUCT(((Recommendations[ImplStatus]="Implemented")+(Recommendations[ImplStatus]="Compensated"))*ISNUMBER(MATCH(Recommendations[Id],F15:AS15,0)))/COUNTIF(F15:AS15,"&lt;&gt;"))</f>
        <v/>
      </c>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27"/>
    </row>
    <row r="16" spans="1:45" ht="60" customHeight="1" x14ac:dyDescent="0.35">
      <c r="A16" s="224" t="s">
        <v>4550</v>
      </c>
      <c r="B16" s="211" t="s">
        <v>4591</v>
      </c>
      <c r="C16" s="212" t="s">
        <v>4592</v>
      </c>
      <c r="D16" s="214" t="s">
        <v>4593</v>
      </c>
      <c r="E16" s="216" t="str">
        <f>IF(COUNTIF(F16:AS16,"&lt;&gt;")=0,"",SUMPRODUCT(((Recommendations[ImplStatus]="Implemented")+(Recommendations[ImplStatus]="Compensated"))*ISNUMBER(MATCH(Recommendations[Id],F16:AS16,0)))/COUNTIF(F16:AS16,"&lt;&gt;"))</f>
        <v/>
      </c>
      <c r="F16" s="217"/>
      <c r="G16" s="217"/>
      <c r="H16" s="217"/>
      <c r="I16" s="217"/>
      <c r="J16" s="217"/>
      <c r="K16" s="217"/>
      <c r="L16" s="217"/>
      <c r="M16" s="217"/>
      <c r="N16" s="217"/>
      <c r="O16" s="217"/>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27"/>
    </row>
    <row r="17" spans="1:45" ht="60" customHeight="1" x14ac:dyDescent="0.35">
      <c r="A17" s="224" t="s">
        <v>4550</v>
      </c>
      <c r="B17" s="211" t="s">
        <v>4594</v>
      </c>
      <c r="C17" s="212" t="s">
        <v>4595</v>
      </c>
      <c r="D17" s="214" t="s">
        <v>4596</v>
      </c>
      <c r="E17" s="216" t="str">
        <f>IF(COUNTIF(F17:AS17,"&lt;&gt;")=0,"",SUMPRODUCT(((Recommendations[ImplStatus]="Implemented")+(Recommendations[ImplStatus]="Compensated"))*ISNUMBER(MATCH(Recommendations[Id],F17:AS17,0)))/COUNTIF(F17:AS17,"&lt;&gt;"))</f>
        <v/>
      </c>
      <c r="F17" s="217"/>
      <c r="G17" s="217"/>
      <c r="H17" s="217"/>
      <c r="I17" s="217"/>
      <c r="J17" s="217"/>
      <c r="K17" s="217"/>
      <c r="L17" s="217"/>
      <c r="M17" s="217"/>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27"/>
    </row>
    <row r="18" spans="1:45" ht="60" customHeight="1" x14ac:dyDescent="0.35">
      <c r="A18" s="224" t="s">
        <v>4550</v>
      </c>
      <c r="B18" s="211" t="s">
        <v>4597</v>
      </c>
      <c r="C18" s="212" t="s">
        <v>4598</v>
      </c>
      <c r="D18" s="214" t="s">
        <v>4599</v>
      </c>
      <c r="E18" s="216" t="str">
        <f>IF(COUNTIF(F18:AS18,"&lt;&gt;")=0,"",SUMPRODUCT(((Recommendations[ImplStatus]="Implemented")+(Recommendations[ImplStatus]="Compensated"))*ISNUMBER(MATCH(Recommendations[Id],F18:AS18,0)))/COUNTIF(F18:AS18,"&lt;&gt;"))</f>
        <v/>
      </c>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27"/>
    </row>
    <row r="19" spans="1:45" ht="60" customHeight="1" x14ac:dyDescent="0.35">
      <c r="A19" s="224" t="s">
        <v>4550</v>
      </c>
      <c r="B19" s="211" t="s">
        <v>4600</v>
      </c>
      <c r="C19" s="212" t="s">
        <v>4601</v>
      </c>
      <c r="D19" s="214" t="s">
        <v>4602</v>
      </c>
      <c r="E19" s="216" t="str">
        <f>IF(COUNTIF(F19:AS19,"&lt;&gt;")=0,"",SUMPRODUCT(((Recommendations[ImplStatus]="Implemented")+(Recommendations[ImplStatus]="Compensated"))*ISNUMBER(MATCH(Recommendations[Id],F19:AS19,0)))/COUNTIF(F19:AS19,"&lt;&gt;"))</f>
        <v/>
      </c>
      <c r="F19" s="217"/>
      <c r="G19" s="217"/>
      <c r="H19" s="217"/>
      <c r="I19" s="217"/>
      <c r="J19" s="217"/>
      <c r="K19" s="217"/>
      <c r="L19" s="217"/>
      <c r="M19" s="217"/>
      <c r="N19" s="217"/>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7"/>
      <c r="AS19" s="227"/>
    </row>
    <row r="20" spans="1:45" ht="60" customHeight="1" x14ac:dyDescent="0.35">
      <c r="A20" s="224" t="s">
        <v>4550</v>
      </c>
      <c r="B20" s="211" t="s">
        <v>4603</v>
      </c>
      <c r="C20" s="212" t="s">
        <v>4604</v>
      </c>
      <c r="D20" s="214" t="s">
        <v>4605</v>
      </c>
      <c r="E20" s="216" t="str">
        <f>IF(COUNTIF(F20:AS20,"&lt;&gt;")=0,"",SUMPRODUCT(((Recommendations[ImplStatus]="Implemented")+(Recommendations[ImplStatus]="Compensated"))*ISNUMBER(MATCH(Recommendations[Id],F20:AS20,0)))/COUNTIF(F20:AS20,"&lt;&gt;"))</f>
        <v/>
      </c>
      <c r="F20" s="217"/>
      <c r="G20" s="217"/>
      <c r="H20" s="217"/>
      <c r="I20" s="217"/>
      <c r="J20" s="217"/>
      <c r="K20" s="217"/>
      <c r="L20" s="217"/>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7"/>
      <c r="AM20" s="217"/>
      <c r="AN20" s="217"/>
      <c r="AO20" s="217"/>
      <c r="AP20" s="217"/>
      <c r="AQ20" s="217"/>
      <c r="AR20" s="217"/>
      <c r="AS20" s="227"/>
    </row>
    <row r="21" spans="1:45" ht="60" customHeight="1" x14ac:dyDescent="0.35">
      <c r="A21" s="224" t="s">
        <v>4550</v>
      </c>
      <c r="B21" s="211" t="s">
        <v>4606</v>
      </c>
      <c r="C21" s="212" t="s">
        <v>4607</v>
      </c>
      <c r="D21" s="214" t="s">
        <v>4608</v>
      </c>
      <c r="E21" s="216" t="str">
        <f>IF(COUNTIF(F21:AS21,"&lt;&gt;")=0,"",SUMPRODUCT(((Recommendations[ImplStatus]="Implemented")+(Recommendations[ImplStatus]="Compensated"))*ISNUMBER(MATCH(Recommendations[Id],F21:AS21,0)))/COUNTIF(F21:AS21,"&lt;&gt;"))</f>
        <v/>
      </c>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c r="AR21" s="217"/>
      <c r="AS21" s="227"/>
    </row>
    <row r="22" spans="1:45" ht="60" customHeight="1" x14ac:dyDescent="0.35">
      <c r="A22" s="224" t="s">
        <v>4550</v>
      </c>
      <c r="B22" s="211" t="s">
        <v>4609</v>
      </c>
      <c r="C22" s="212" t="s">
        <v>4610</v>
      </c>
      <c r="D22" s="214" t="s">
        <v>4611</v>
      </c>
      <c r="E22" s="216" t="str">
        <f>IF(COUNTIF(F22:AS22,"&lt;&gt;")=0,"",SUMPRODUCT(((Recommendations[ImplStatus]="Implemented")+(Recommendations[ImplStatus]="Compensated"))*ISNUMBER(MATCH(Recommendations[Id],F22:AS22,0)))/COUNTIF(F22:AS22,"&lt;&gt;"))</f>
        <v/>
      </c>
      <c r="F22" s="217"/>
      <c r="G22" s="217"/>
      <c r="H22" s="217"/>
      <c r="I22" s="217"/>
      <c r="J22" s="217"/>
      <c r="K22" s="217"/>
      <c r="L22" s="217"/>
      <c r="M22" s="217"/>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c r="AR22" s="217"/>
      <c r="AS22" s="227"/>
    </row>
    <row r="23" spans="1:45" ht="60" customHeight="1" x14ac:dyDescent="0.35">
      <c r="A23" s="224" t="s">
        <v>4550</v>
      </c>
      <c r="B23" s="211" t="s">
        <v>4612</v>
      </c>
      <c r="C23" s="212" t="s">
        <v>4613</v>
      </c>
      <c r="D23" s="214" t="s">
        <v>4614</v>
      </c>
      <c r="E23" s="216" t="str">
        <f>IF(COUNTIF(F23:AS23,"&lt;&gt;")=0,"",SUMPRODUCT(((Recommendations[ImplStatus]="Implemented")+(Recommendations[ImplStatus]="Compensated"))*ISNUMBER(MATCH(Recommendations[Id],F23:AS23,0)))/COUNTIF(F23:AS23,"&lt;&gt;"))</f>
        <v/>
      </c>
      <c r="F23" s="217"/>
      <c r="G23" s="217"/>
      <c r="H23" s="217"/>
      <c r="I23" s="217"/>
      <c r="J23" s="217"/>
      <c r="K23" s="217"/>
      <c r="L23" s="217"/>
      <c r="M23" s="217"/>
      <c r="N23" s="217"/>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c r="AS23" s="227"/>
    </row>
    <row r="24" spans="1:45" ht="60" customHeight="1" x14ac:dyDescent="0.35">
      <c r="A24" s="224" t="s">
        <v>4550</v>
      </c>
      <c r="B24" s="211" t="s">
        <v>4615</v>
      </c>
      <c r="C24" s="212" t="s">
        <v>4616</v>
      </c>
      <c r="D24" s="214" t="s">
        <v>4617</v>
      </c>
      <c r="E24" s="216" t="str">
        <f>IF(COUNTIF(F24:AS24,"&lt;&gt;")=0,"",SUMPRODUCT(((Recommendations[ImplStatus]="Implemented")+(Recommendations[ImplStatus]="Compensated"))*ISNUMBER(MATCH(Recommendations[Id],F24:AS24,0)))/COUNTIF(F24:AS24,"&lt;&gt;"))</f>
        <v/>
      </c>
      <c r="F24" s="217"/>
      <c r="G24" s="217"/>
      <c r="H24" s="217"/>
      <c r="I24" s="217"/>
      <c r="J24" s="217"/>
      <c r="K24" s="217"/>
      <c r="L24" s="217"/>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c r="AR24" s="217"/>
      <c r="AS24" s="227"/>
    </row>
    <row r="25" spans="1:45" ht="60" customHeight="1" x14ac:dyDescent="0.35">
      <c r="A25" s="224" t="s">
        <v>4550</v>
      </c>
      <c r="B25" s="211" t="s">
        <v>4618</v>
      </c>
      <c r="C25" s="212" t="s">
        <v>4619</v>
      </c>
      <c r="D25" s="214" t="s">
        <v>4620</v>
      </c>
      <c r="E25" s="216" t="str">
        <f>IF(COUNTIF(F25:AS25,"&lt;&gt;")=0,"",SUMPRODUCT(((Recommendations[ImplStatus]="Implemented")+(Recommendations[ImplStatus]="Compensated"))*ISNUMBER(MATCH(Recommendations[Id],F25:AS25,0)))/COUNTIF(F25:AS25,"&lt;&gt;"))</f>
        <v/>
      </c>
      <c r="F25" s="217"/>
      <c r="G25" s="217"/>
      <c r="H25" s="217"/>
      <c r="I25" s="217"/>
      <c r="J25" s="217"/>
      <c r="K25" s="217"/>
      <c r="L25" s="217"/>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c r="AM25" s="217"/>
      <c r="AN25" s="217"/>
      <c r="AO25" s="217"/>
      <c r="AP25" s="217"/>
      <c r="AQ25" s="217"/>
      <c r="AR25" s="217"/>
      <c r="AS25" s="227"/>
    </row>
    <row r="26" spans="1:45" ht="60" customHeight="1" x14ac:dyDescent="0.35">
      <c r="A26" s="224" t="s">
        <v>4550</v>
      </c>
      <c r="B26" s="211" t="s">
        <v>4621</v>
      </c>
      <c r="C26" s="212" t="s">
        <v>4622</v>
      </c>
      <c r="D26" s="214" t="s">
        <v>4623</v>
      </c>
      <c r="E26" s="216" t="str">
        <f>IF(COUNTIF(F26:AS26,"&lt;&gt;")=0,"",SUMPRODUCT(((Recommendations[ImplStatus]="Implemented")+(Recommendations[ImplStatus]="Compensated"))*ISNUMBER(MATCH(Recommendations[Id],F26:AS26,0)))/COUNTIF(F26:AS26,"&lt;&gt;"))</f>
        <v/>
      </c>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7"/>
      <c r="AK26" s="217"/>
      <c r="AL26" s="217"/>
      <c r="AM26" s="217"/>
      <c r="AN26" s="217"/>
      <c r="AO26" s="217"/>
      <c r="AP26" s="217"/>
      <c r="AQ26" s="217"/>
      <c r="AR26" s="217"/>
      <c r="AS26" s="227"/>
    </row>
    <row r="27" spans="1:45" ht="60" customHeight="1" x14ac:dyDescent="0.35">
      <c r="A27" s="224" t="s">
        <v>4550</v>
      </c>
      <c r="B27" s="211" t="s">
        <v>4624</v>
      </c>
      <c r="C27" s="212" t="s">
        <v>4625</v>
      </c>
      <c r="D27" s="214" t="s">
        <v>4626</v>
      </c>
      <c r="E27" s="216" t="str">
        <f>IF(COUNTIF(F27:AS27,"&lt;&gt;")=0,"",SUMPRODUCT(((Recommendations[ImplStatus]="Implemented")+(Recommendations[ImplStatus]="Compensated"))*ISNUMBER(MATCH(Recommendations[Id],F27:AS27,0)))/COUNTIF(F27:AS27,"&lt;&gt;"))</f>
        <v/>
      </c>
      <c r="F27" s="217"/>
      <c r="G27" s="217"/>
      <c r="H27" s="217"/>
      <c r="I27" s="217"/>
      <c r="J27" s="217"/>
      <c r="K27" s="217"/>
      <c r="L27" s="217"/>
      <c r="M27" s="217"/>
      <c r="N27" s="217"/>
      <c r="O27" s="217"/>
      <c r="P27" s="217"/>
      <c r="Q27" s="217"/>
      <c r="R27" s="217"/>
      <c r="S27" s="217"/>
      <c r="T27" s="217"/>
      <c r="U27" s="217"/>
      <c r="V27" s="217"/>
      <c r="W27" s="217"/>
      <c r="X27" s="217"/>
      <c r="Y27" s="217"/>
      <c r="Z27" s="217"/>
      <c r="AA27" s="217"/>
      <c r="AB27" s="217"/>
      <c r="AC27" s="217"/>
      <c r="AD27" s="217"/>
      <c r="AE27" s="217"/>
      <c r="AF27" s="217"/>
      <c r="AG27" s="217"/>
      <c r="AH27" s="217"/>
      <c r="AI27" s="217"/>
      <c r="AJ27" s="217"/>
      <c r="AK27" s="217"/>
      <c r="AL27" s="217"/>
      <c r="AM27" s="217"/>
      <c r="AN27" s="217"/>
      <c r="AO27" s="217"/>
      <c r="AP27" s="217"/>
      <c r="AQ27" s="217"/>
      <c r="AR27" s="217"/>
      <c r="AS27" s="227"/>
    </row>
    <row r="28" spans="1:45" ht="60" customHeight="1" x14ac:dyDescent="0.35">
      <c r="A28" s="224" t="s">
        <v>4550</v>
      </c>
      <c r="B28" s="211" t="s">
        <v>4627</v>
      </c>
      <c r="C28" s="212" t="s">
        <v>4628</v>
      </c>
      <c r="D28" s="214" t="s">
        <v>4629</v>
      </c>
      <c r="E28" s="216" t="str">
        <f>IF(COUNTIF(F28:AS28,"&lt;&gt;")=0,"",SUMPRODUCT(((Recommendations[ImplStatus]="Implemented")+(Recommendations[ImplStatus]="Compensated"))*ISNUMBER(MATCH(Recommendations[Id],F28:AS28,0)))/COUNTIF(F28:AS28,"&lt;&gt;"))</f>
        <v/>
      </c>
      <c r="F28" s="217"/>
      <c r="G28" s="217"/>
      <c r="H28" s="217"/>
      <c r="I28" s="217"/>
      <c r="J28" s="217"/>
      <c r="K28" s="217"/>
      <c r="L28" s="217"/>
      <c r="M28" s="217"/>
      <c r="N28" s="217"/>
      <c r="O28" s="217"/>
      <c r="P28" s="217"/>
      <c r="Q28" s="217"/>
      <c r="R28" s="217"/>
      <c r="S28" s="217"/>
      <c r="T28" s="217"/>
      <c r="U28" s="217"/>
      <c r="V28" s="217"/>
      <c r="W28" s="217"/>
      <c r="X28" s="217"/>
      <c r="Y28" s="217"/>
      <c r="Z28" s="217"/>
      <c r="AA28" s="217"/>
      <c r="AB28" s="217"/>
      <c r="AC28" s="217"/>
      <c r="AD28" s="217"/>
      <c r="AE28" s="217"/>
      <c r="AF28" s="217"/>
      <c r="AG28" s="217"/>
      <c r="AH28" s="217"/>
      <c r="AI28" s="217"/>
      <c r="AJ28" s="217"/>
      <c r="AK28" s="217"/>
      <c r="AL28" s="217"/>
      <c r="AM28" s="217"/>
      <c r="AN28" s="217"/>
      <c r="AO28" s="217"/>
      <c r="AP28" s="217"/>
      <c r="AQ28" s="217"/>
      <c r="AR28" s="217"/>
      <c r="AS28" s="227"/>
    </row>
    <row r="29" spans="1:45" ht="60" customHeight="1" x14ac:dyDescent="0.35">
      <c r="A29" s="224" t="s">
        <v>4550</v>
      </c>
      <c r="B29" s="211" t="s">
        <v>4630</v>
      </c>
      <c r="C29" s="212" t="s">
        <v>4631</v>
      </c>
      <c r="D29" s="214" t="s">
        <v>4632</v>
      </c>
      <c r="E29" s="216" t="str">
        <f>IF(COUNTIF(F29:AS29,"&lt;&gt;")=0,"",SUMPRODUCT(((Recommendations[ImplStatus]="Implemented")+(Recommendations[ImplStatus]="Compensated"))*ISNUMBER(MATCH(Recommendations[Id],F29:AS29,0)))/COUNTIF(F29:AS29,"&lt;&gt;"))</f>
        <v/>
      </c>
      <c r="F29" s="217"/>
      <c r="G29" s="217"/>
      <c r="H29" s="217"/>
      <c r="I29" s="217"/>
      <c r="J29" s="217"/>
      <c r="K29" s="217"/>
      <c r="L29" s="217"/>
      <c r="M29" s="217"/>
      <c r="N29" s="217"/>
      <c r="O29" s="217"/>
      <c r="P29" s="217"/>
      <c r="Q29" s="217"/>
      <c r="R29" s="217"/>
      <c r="S29" s="217"/>
      <c r="T29" s="217"/>
      <c r="U29" s="217"/>
      <c r="V29" s="217"/>
      <c r="W29" s="217"/>
      <c r="X29" s="217"/>
      <c r="Y29" s="217"/>
      <c r="Z29" s="217"/>
      <c r="AA29" s="217"/>
      <c r="AB29" s="217"/>
      <c r="AC29" s="217"/>
      <c r="AD29" s="217"/>
      <c r="AE29" s="217"/>
      <c r="AF29" s="217"/>
      <c r="AG29" s="217"/>
      <c r="AH29" s="217"/>
      <c r="AI29" s="217"/>
      <c r="AJ29" s="217"/>
      <c r="AK29" s="217"/>
      <c r="AL29" s="217"/>
      <c r="AM29" s="217"/>
      <c r="AN29" s="217"/>
      <c r="AO29" s="217"/>
      <c r="AP29" s="217"/>
      <c r="AQ29" s="217"/>
      <c r="AR29" s="217"/>
      <c r="AS29" s="227"/>
    </row>
    <row r="30" spans="1:45" ht="60" customHeight="1" x14ac:dyDescent="0.35">
      <c r="A30" s="224" t="s">
        <v>4550</v>
      </c>
      <c r="B30" s="211" t="s">
        <v>4633</v>
      </c>
      <c r="C30" s="212" t="s">
        <v>4634</v>
      </c>
      <c r="D30" s="214" t="s">
        <v>4635</v>
      </c>
      <c r="E30" s="216" t="str">
        <f>IF(COUNTIF(F30:AS30,"&lt;&gt;")=0,"",SUMPRODUCT(((Recommendations[ImplStatus]="Implemented")+(Recommendations[ImplStatus]="Compensated"))*ISNUMBER(MATCH(Recommendations[Id],F30:AS30,0)))/COUNTIF(F30:AS30,"&lt;&gt;"))</f>
        <v/>
      </c>
      <c r="F30" s="217"/>
      <c r="G30" s="217"/>
      <c r="H30" s="217"/>
      <c r="I30" s="217"/>
      <c r="J30" s="217"/>
      <c r="K30" s="217"/>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7"/>
      <c r="AR30" s="217"/>
      <c r="AS30" s="227"/>
    </row>
    <row r="31" spans="1:45" ht="60" customHeight="1" x14ac:dyDescent="0.35">
      <c r="A31" s="224" t="s">
        <v>4550</v>
      </c>
      <c r="B31" s="211" t="s">
        <v>4636</v>
      </c>
      <c r="C31" s="212" t="s">
        <v>4637</v>
      </c>
      <c r="D31" s="214" t="s">
        <v>4638</v>
      </c>
      <c r="E31" s="216" t="str">
        <f>IF(COUNTIF(F31:AS31,"&lt;&gt;")=0,"",SUMPRODUCT(((Recommendations[ImplStatus]="Implemented")+(Recommendations[ImplStatus]="Compensated"))*ISNUMBER(MATCH(Recommendations[Id],F31:AS31,0)))/COUNTIF(F31:AS31,"&lt;&gt;"))</f>
        <v/>
      </c>
      <c r="F31" s="217"/>
      <c r="G31" s="217"/>
      <c r="H31" s="217"/>
      <c r="I31" s="217"/>
      <c r="J31" s="217"/>
      <c r="K31" s="217"/>
      <c r="L31" s="217"/>
      <c r="M31" s="217"/>
      <c r="N31" s="217"/>
      <c r="O31" s="217"/>
      <c r="P31" s="217"/>
      <c r="Q31" s="217"/>
      <c r="R31" s="217"/>
      <c r="S31" s="217"/>
      <c r="T31" s="217"/>
      <c r="U31" s="217"/>
      <c r="V31" s="217"/>
      <c r="W31" s="217"/>
      <c r="X31" s="217"/>
      <c r="Y31" s="217"/>
      <c r="Z31" s="217"/>
      <c r="AA31" s="217"/>
      <c r="AB31" s="217"/>
      <c r="AC31" s="217"/>
      <c r="AD31" s="217"/>
      <c r="AE31" s="217"/>
      <c r="AF31" s="217"/>
      <c r="AG31" s="217"/>
      <c r="AH31" s="217"/>
      <c r="AI31" s="217"/>
      <c r="AJ31" s="217"/>
      <c r="AK31" s="217"/>
      <c r="AL31" s="217"/>
      <c r="AM31" s="217"/>
      <c r="AN31" s="217"/>
      <c r="AO31" s="217"/>
      <c r="AP31" s="217"/>
      <c r="AQ31" s="217"/>
      <c r="AR31" s="217"/>
      <c r="AS31" s="227"/>
    </row>
    <row r="32" spans="1:45" ht="60" customHeight="1" x14ac:dyDescent="0.35">
      <c r="A32" s="224" t="s">
        <v>4550</v>
      </c>
      <c r="B32" s="211" t="s">
        <v>4639</v>
      </c>
      <c r="C32" s="212" t="s">
        <v>4640</v>
      </c>
      <c r="D32" s="214" t="s">
        <v>4641</v>
      </c>
      <c r="E32" s="216" t="str">
        <f>IF(COUNTIF(F32:AS32,"&lt;&gt;")=0,"",SUMPRODUCT(((Recommendations[ImplStatus]="Implemented")+(Recommendations[ImplStatus]="Compensated"))*ISNUMBER(MATCH(Recommendations[Id],F32:AS32,0)))/COUNTIF(F32:AS32,"&lt;&gt;"))</f>
        <v/>
      </c>
      <c r="F32" s="217"/>
      <c r="G32" s="217"/>
      <c r="H32" s="217"/>
      <c r="I32" s="217"/>
      <c r="J32" s="217"/>
      <c r="K32" s="217"/>
      <c r="L32" s="217"/>
      <c r="M32" s="217"/>
      <c r="N32" s="217"/>
      <c r="O32" s="217"/>
      <c r="P32" s="217"/>
      <c r="Q32" s="217"/>
      <c r="R32" s="217"/>
      <c r="S32" s="217"/>
      <c r="T32" s="217"/>
      <c r="U32" s="217"/>
      <c r="V32" s="217"/>
      <c r="W32" s="217"/>
      <c r="X32" s="217"/>
      <c r="Y32" s="217"/>
      <c r="Z32" s="217"/>
      <c r="AA32" s="217"/>
      <c r="AB32" s="217"/>
      <c r="AC32" s="217"/>
      <c r="AD32" s="217"/>
      <c r="AE32" s="217"/>
      <c r="AF32" s="217"/>
      <c r="AG32" s="217"/>
      <c r="AH32" s="217"/>
      <c r="AI32" s="217"/>
      <c r="AJ32" s="217"/>
      <c r="AK32" s="217"/>
      <c r="AL32" s="217"/>
      <c r="AM32" s="217"/>
      <c r="AN32" s="217"/>
      <c r="AO32" s="217"/>
      <c r="AP32" s="217"/>
      <c r="AQ32" s="217"/>
      <c r="AR32" s="217"/>
      <c r="AS32" s="227"/>
    </row>
    <row r="33" spans="1:45" ht="60" customHeight="1" x14ac:dyDescent="0.35">
      <c r="A33" s="224" t="s">
        <v>4550</v>
      </c>
      <c r="B33" s="211" t="s">
        <v>4642</v>
      </c>
      <c r="C33" s="212" t="s">
        <v>4643</v>
      </c>
      <c r="D33" s="214" t="s">
        <v>4644</v>
      </c>
      <c r="E33" s="216" t="str">
        <f>IF(COUNTIF(F33:AS33,"&lt;&gt;")=0,"",SUMPRODUCT(((Recommendations[ImplStatus]="Implemented")+(Recommendations[ImplStatus]="Compensated"))*ISNUMBER(MATCH(Recommendations[Id],F33:AS33,0)))/COUNTIF(F33:AS33,"&lt;&gt;"))</f>
        <v/>
      </c>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c r="AE33" s="217"/>
      <c r="AF33" s="217"/>
      <c r="AG33" s="217"/>
      <c r="AH33" s="217"/>
      <c r="AI33" s="217"/>
      <c r="AJ33" s="217"/>
      <c r="AK33" s="217"/>
      <c r="AL33" s="217"/>
      <c r="AM33" s="217"/>
      <c r="AN33" s="217"/>
      <c r="AO33" s="217"/>
      <c r="AP33" s="217"/>
      <c r="AQ33" s="217"/>
      <c r="AR33" s="217"/>
      <c r="AS33" s="227"/>
    </row>
    <row r="34" spans="1:45" ht="60" customHeight="1" x14ac:dyDescent="0.35">
      <c r="A34" s="224" t="s">
        <v>4550</v>
      </c>
      <c r="B34" s="211" t="s">
        <v>4645</v>
      </c>
      <c r="C34" s="212" t="s">
        <v>4646</v>
      </c>
      <c r="D34" s="214" t="s">
        <v>4647</v>
      </c>
      <c r="E34" s="216" t="str">
        <f>IF(COUNTIF(F34:AS34,"&lt;&gt;")=0,"",SUMPRODUCT(((Recommendations[ImplStatus]="Implemented")+(Recommendations[ImplStatus]="Compensated"))*ISNUMBER(MATCH(Recommendations[Id],F34:AS34,0)))/COUNTIF(F34:AS34,"&lt;&gt;"))</f>
        <v/>
      </c>
      <c r="F34" s="217"/>
      <c r="G34" s="217"/>
      <c r="H34" s="217"/>
      <c r="I34" s="217"/>
      <c r="J34" s="217"/>
      <c r="K34" s="217"/>
      <c r="L34" s="217"/>
      <c r="M34" s="217"/>
      <c r="N34" s="217"/>
      <c r="O34" s="217"/>
      <c r="P34" s="217"/>
      <c r="Q34" s="217"/>
      <c r="R34" s="217"/>
      <c r="S34" s="217"/>
      <c r="T34" s="217"/>
      <c r="U34" s="217"/>
      <c r="V34" s="217"/>
      <c r="W34" s="217"/>
      <c r="X34" s="217"/>
      <c r="Y34" s="217"/>
      <c r="Z34" s="217"/>
      <c r="AA34" s="217"/>
      <c r="AB34" s="217"/>
      <c r="AC34" s="217"/>
      <c r="AD34" s="217"/>
      <c r="AE34" s="217"/>
      <c r="AF34" s="217"/>
      <c r="AG34" s="217"/>
      <c r="AH34" s="217"/>
      <c r="AI34" s="217"/>
      <c r="AJ34" s="217"/>
      <c r="AK34" s="217"/>
      <c r="AL34" s="217"/>
      <c r="AM34" s="217"/>
      <c r="AN34" s="217"/>
      <c r="AO34" s="217"/>
      <c r="AP34" s="217"/>
      <c r="AQ34" s="217"/>
      <c r="AR34" s="217"/>
      <c r="AS34" s="227"/>
    </row>
    <row r="35" spans="1:45" ht="60" customHeight="1" x14ac:dyDescent="0.35">
      <c r="A35" s="224" t="s">
        <v>4550</v>
      </c>
      <c r="B35" s="211" t="s">
        <v>4648</v>
      </c>
      <c r="C35" s="212" t="s">
        <v>4649</v>
      </c>
      <c r="D35" s="214" t="s">
        <v>4650</v>
      </c>
      <c r="E35" s="216" t="str">
        <f>IF(COUNTIF(F35:AS35,"&lt;&gt;")=0,"",SUMPRODUCT(((Recommendations[ImplStatus]="Implemented")+(Recommendations[ImplStatus]="Compensated"))*ISNUMBER(MATCH(Recommendations[Id],F35:AS35,0)))/COUNTIF(F35:AS35,"&lt;&gt;"))</f>
        <v/>
      </c>
      <c r="F35" s="217"/>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c r="AG35" s="217"/>
      <c r="AH35" s="217"/>
      <c r="AI35" s="217"/>
      <c r="AJ35" s="217"/>
      <c r="AK35" s="217"/>
      <c r="AL35" s="217"/>
      <c r="AM35" s="217"/>
      <c r="AN35" s="217"/>
      <c r="AO35" s="217"/>
      <c r="AP35" s="217"/>
      <c r="AQ35" s="217"/>
      <c r="AR35" s="217"/>
      <c r="AS35" s="227"/>
    </row>
    <row r="36" spans="1:45" ht="60" customHeight="1" x14ac:dyDescent="0.35">
      <c r="A36" s="224" t="s">
        <v>4550</v>
      </c>
      <c r="B36" s="211" t="s">
        <v>4651</v>
      </c>
      <c r="C36" s="212" t="s">
        <v>4652</v>
      </c>
      <c r="D36" s="214" t="s">
        <v>4653</v>
      </c>
      <c r="E36" s="216" t="str">
        <f>IF(COUNTIF(F36:AS36,"&lt;&gt;")=0,"",SUMPRODUCT(((Recommendations[ImplStatus]="Implemented")+(Recommendations[ImplStatus]="Compensated"))*ISNUMBER(MATCH(Recommendations[Id],F36:AS36,0)))/COUNTIF(F36:AS36,"&lt;&gt;"))</f>
        <v/>
      </c>
      <c r="F36" s="217"/>
      <c r="G36" s="217"/>
      <c r="H36" s="217"/>
      <c r="I36" s="217"/>
      <c r="J36" s="217"/>
      <c r="K36" s="217"/>
      <c r="L36" s="217"/>
      <c r="M36" s="217"/>
      <c r="N36" s="217"/>
      <c r="O36" s="217"/>
      <c r="P36" s="217"/>
      <c r="Q36" s="217"/>
      <c r="R36" s="217"/>
      <c r="S36" s="217"/>
      <c r="T36" s="217"/>
      <c r="U36" s="217"/>
      <c r="V36" s="217"/>
      <c r="W36" s="217"/>
      <c r="X36" s="217"/>
      <c r="Y36" s="217"/>
      <c r="Z36" s="217"/>
      <c r="AA36" s="217"/>
      <c r="AB36" s="217"/>
      <c r="AC36" s="217"/>
      <c r="AD36" s="217"/>
      <c r="AE36" s="217"/>
      <c r="AF36" s="217"/>
      <c r="AG36" s="217"/>
      <c r="AH36" s="217"/>
      <c r="AI36" s="217"/>
      <c r="AJ36" s="217"/>
      <c r="AK36" s="217"/>
      <c r="AL36" s="217"/>
      <c r="AM36" s="217"/>
      <c r="AN36" s="217"/>
      <c r="AO36" s="217"/>
      <c r="AP36" s="217"/>
      <c r="AQ36" s="217"/>
      <c r="AR36" s="217"/>
      <c r="AS36" s="227"/>
    </row>
    <row r="37" spans="1:45" ht="60" customHeight="1" x14ac:dyDescent="0.35">
      <c r="A37" s="224" t="s">
        <v>4550</v>
      </c>
      <c r="B37" s="211" t="s">
        <v>4654</v>
      </c>
      <c r="C37" s="212" t="s">
        <v>4655</v>
      </c>
      <c r="D37" s="214" t="s">
        <v>4656</v>
      </c>
      <c r="E37" s="216" t="str">
        <f>IF(COUNTIF(F37:AS37,"&lt;&gt;")=0,"",SUMPRODUCT(((Recommendations[ImplStatus]="Implemented")+(Recommendations[ImplStatus]="Compensated"))*ISNUMBER(MATCH(Recommendations[Id],F37:AS37,0)))/COUNTIF(F37:AS37,"&lt;&gt;"))</f>
        <v/>
      </c>
      <c r="F37" s="217"/>
      <c r="G37" s="217"/>
      <c r="H37" s="217"/>
      <c r="I37" s="217"/>
      <c r="J37" s="217"/>
      <c r="K37" s="217"/>
      <c r="L37" s="217"/>
      <c r="M37" s="217"/>
      <c r="N37" s="217"/>
      <c r="O37" s="217"/>
      <c r="P37" s="217"/>
      <c r="Q37" s="217"/>
      <c r="R37" s="217"/>
      <c r="S37" s="217"/>
      <c r="T37" s="217"/>
      <c r="U37" s="217"/>
      <c r="V37" s="217"/>
      <c r="W37" s="217"/>
      <c r="X37" s="217"/>
      <c r="Y37" s="217"/>
      <c r="Z37" s="217"/>
      <c r="AA37" s="217"/>
      <c r="AB37" s="217"/>
      <c r="AC37" s="217"/>
      <c r="AD37" s="217"/>
      <c r="AE37" s="217"/>
      <c r="AF37" s="217"/>
      <c r="AG37" s="217"/>
      <c r="AH37" s="217"/>
      <c r="AI37" s="217"/>
      <c r="AJ37" s="217"/>
      <c r="AK37" s="217"/>
      <c r="AL37" s="217"/>
      <c r="AM37" s="217"/>
      <c r="AN37" s="217"/>
      <c r="AO37" s="217"/>
      <c r="AP37" s="217"/>
      <c r="AQ37" s="217"/>
      <c r="AR37" s="217"/>
      <c r="AS37" s="227"/>
    </row>
    <row r="38" spans="1:45" ht="60" customHeight="1" x14ac:dyDescent="0.35">
      <c r="A38" s="224" t="s">
        <v>4550</v>
      </c>
      <c r="B38" s="211" t="s">
        <v>4657</v>
      </c>
      <c r="C38" s="212" t="s">
        <v>4658</v>
      </c>
      <c r="D38" s="214" t="s">
        <v>4659</v>
      </c>
      <c r="E38" s="216" t="str">
        <f>IF(COUNTIF(F38:AS38,"&lt;&gt;")=0,"",SUMPRODUCT(((Recommendations[ImplStatus]="Implemented")+(Recommendations[ImplStatus]="Compensated"))*ISNUMBER(MATCH(Recommendations[Id],F38:AS38,0)))/COUNTIF(F38:AS38,"&lt;&gt;"))</f>
        <v/>
      </c>
      <c r="F38" s="217"/>
      <c r="G38" s="217"/>
      <c r="H38" s="217"/>
      <c r="I38" s="217"/>
      <c r="J38" s="217"/>
      <c r="K38" s="217"/>
      <c r="L38" s="217"/>
      <c r="M38" s="217"/>
      <c r="N38" s="217"/>
      <c r="O38" s="217"/>
      <c r="P38" s="217"/>
      <c r="Q38" s="217"/>
      <c r="R38" s="217"/>
      <c r="S38" s="217"/>
      <c r="T38" s="217"/>
      <c r="U38" s="217"/>
      <c r="V38" s="217"/>
      <c r="W38" s="217"/>
      <c r="X38" s="217"/>
      <c r="Y38" s="217"/>
      <c r="Z38" s="217"/>
      <c r="AA38" s="217"/>
      <c r="AB38" s="217"/>
      <c r="AC38" s="217"/>
      <c r="AD38" s="217"/>
      <c r="AE38" s="217"/>
      <c r="AF38" s="217"/>
      <c r="AG38" s="217"/>
      <c r="AH38" s="217"/>
      <c r="AI38" s="217"/>
      <c r="AJ38" s="217"/>
      <c r="AK38" s="217"/>
      <c r="AL38" s="217"/>
      <c r="AM38" s="217"/>
      <c r="AN38" s="217"/>
      <c r="AO38" s="217"/>
      <c r="AP38" s="217"/>
      <c r="AQ38" s="217"/>
      <c r="AR38" s="217"/>
      <c r="AS38" s="227"/>
    </row>
    <row r="39" spans="1:45" ht="60" customHeight="1" x14ac:dyDescent="0.35">
      <c r="A39" s="224" t="s">
        <v>4550</v>
      </c>
      <c r="B39" s="211" t="s">
        <v>4660</v>
      </c>
      <c r="C39" s="212" t="s">
        <v>4661</v>
      </c>
      <c r="D39" s="214" t="s">
        <v>4662</v>
      </c>
      <c r="E39" s="216" t="str">
        <f>IF(COUNTIF(F39:AS39,"&lt;&gt;")=0,"",SUMPRODUCT(((Recommendations[ImplStatus]="Implemented")+(Recommendations[ImplStatus]="Compensated"))*ISNUMBER(MATCH(Recommendations[Id],F39:AS39,0)))/COUNTIF(F39:AS39,"&lt;&gt;"))</f>
        <v/>
      </c>
      <c r="F39" s="217"/>
      <c r="G39" s="217"/>
      <c r="H39" s="217"/>
      <c r="I39" s="217"/>
      <c r="J39" s="217"/>
      <c r="K39" s="217"/>
      <c r="L39" s="217"/>
      <c r="M39" s="217"/>
      <c r="N39" s="217"/>
      <c r="O39" s="217"/>
      <c r="P39" s="217"/>
      <c r="Q39" s="217"/>
      <c r="R39" s="217"/>
      <c r="S39" s="217"/>
      <c r="T39" s="217"/>
      <c r="U39" s="217"/>
      <c r="V39" s="217"/>
      <c r="W39" s="217"/>
      <c r="X39" s="217"/>
      <c r="Y39" s="217"/>
      <c r="Z39" s="217"/>
      <c r="AA39" s="217"/>
      <c r="AB39" s="217"/>
      <c r="AC39" s="217"/>
      <c r="AD39" s="217"/>
      <c r="AE39" s="217"/>
      <c r="AF39" s="217"/>
      <c r="AG39" s="217"/>
      <c r="AH39" s="217"/>
      <c r="AI39" s="217"/>
      <c r="AJ39" s="217"/>
      <c r="AK39" s="217"/>
      <c r="AL39" s="217"/>
      <c r="AM39" s="217"/>
      <c r="AN39" s="217"/>
      <c r="AO39" s="217"/>
      <c r="AP39" s="217"/>
      <c r="AQ39" s="217"/>
      <c r="AR39" s="217"/>
      <c r="AS39" s="227"/>
    </row>
    <row r="40" spans="1:45" ht="60" customHeight="1" outlineLevel="1" x14ac:dyDescent="0.35">
      <c r="A40" s="223" t="s">
        <v>4663</v>
      </c>
      <c r="B40" s="210" t="s">
        <v>4664</v>
      </c>
      <c r="C40" s="209"/>
      <c r="D40" s="213"/>
      <c r="E40" s="215" t="str">
        <f>IF(COUNTIF(F40:AS40,"&lt;&gt;")=0,"",SUMPRODUCT(((Recommendations[ImplStatus]="Implemented")+(Recommendations[ImplStatus]="Compensated"))*ISNUMBER(MATCH(Recommendations[Id],F40:AS40,0)))/COUNTIF(F40:AS40,"&lt;&gt;"))</f>
        <v/>
      </c>
      <c r="F40" s="209"/>
      <c r="G40" s="209"/>
      <c r="H40" s="209"/>
      <c r="I40" s="209"/>
      <c r="J40" s="209"/>
      <c r="K40" s="209"/>
      <c r="L40" s="209"/>
      <c r="M40" s="209"/>
      <c r="N40" s="209"/>
      <c r="O40" s="209"/>
      <c r="P40" s="209"/>
      <c r="Q40" s="209"/>
      <c r="R40" s="209"/>
      <c r="S40" s="209"/>
      <c r="T40" s="209"/>
      <c r="U40" s="209"/>
      <c r="V40" s="209"/>
      <c r="W40" s="209"/>
      <c r="X40" s="209"/>
      <c r="Y40" s="209"/>
      <c r="Z40" s="209"/>
      <c r="AA40" s="209"/>
      <c r="AB40" s="209"/>
      <c r="AC40" s="209"/>
      <c r="AD40" s="209"/>
      <c r="AE40" s="209"/>
      <c r="AF40" s="209"/>
      <c r="AG40" s="209"/>
      <c r="AH40" s="209"/>
      <c r="AI40" s="209"/>
      <c r="AJ40" s="209"/>
      <c r="AK40" s="209"/>
      <c r="AL40" s="209"/>
      <c r="AM40" s="209"/>
      <c r="AN40" s="209"/>
      <c r="AO40" s="209"/>
      <c r="AP40" s="209"/>
      <c r="AQ40" s="209"/>
      <c r="AR40" s="209"/>
      <c r="AS40" s="226"/>
    </row>
    <row r="41" spans="1:45" ht="60" customHeight="1" x14ac:dyDescent="0.35">
      <c r="A41" s="224" t="s">
        <v>4663</v>
      </c>
      <c r="B41" s="211" t="s">
        <v>4665</v>
      </c>
      <c r="C41" s="212" t="s">
        <v>4666</v>
      </c>
      <c r="D41" s="214" t="s">
        <v>4667</v>
      </c>
      <c r="E41" s="216" t="str">
        <f>IF(COUNTIF(F41:AS41,"&lt;&gt;")=0,"",SUMPRODUCT(((Recommendations[ImplStatus]="Implemented")+(Recommendations[ImplStatus]="Compensated"))*ISNUMBER(MATCH(Recommendations[Id],F41:AS41,0)))/COUNTIF(F41:AS41,"&lt;&gt;"))</f>
        <v/>
      </c>
      <c r="F41" s="217"/>
      <c r="G41" s="217"/>
      <c r="H41" s="217"/>
      <c r="I41" s="217"/>
      <c r="J41" s="217"/>
      <c r="K41" s="217"/>
      <c r="L41" s="217"/>
      <c r="M41" s="217"/>
      <c r="N41" s="217"/>
      <c r="O41" s="217"/>
      <c r="P41" s="217"/>
      <c r="Q41" s="217"/>
      <c r="R41" s="217"/>
      <c r="S41" s="217"/>
      <c r="T41" s="217"/>
      <c r="U41" s="217"/>
      <c r="V41" s="217"/>
      <c r="W41" s="217"/>
      <c r="X41" s="217"/>
      <c r="Y41" s="217"/>
      <c r="Z41" s="217"/>
      <c r="AA41" s="217"/>
      <c r="AB41" s="217"/>
      <c r="AC41" s="217"/>
      <c r="AD41" s="217"/>
      <c r="AE41" s="217"/>
      <c r="AF41" s="217"/>
      <c r="AG41" s="217"/>
      <c r="AH41" s="217"/>
      <c r="AI41" s="217"/>
      <c r="AJ41" s="217"/>
      <c r="AK41" s="217"/>
      <c r="AL41" s="217"/>
      <c r="AM41" s="217"/>
      <c r="AN41" s="217"/>
      <c r="AO41" s="217"/>
      <c r="AP41" s="217"/>
      <c r="AQ41" s="217"/>
      <c r="AR41" s="217"/>
      <c r="AS41" s="227"/>
    </row>
    <row r="42" spans="1:45" ht="60" customHeight="1" x14ac:dyDescent="0.35">
      <c r="A42" s="224" t="s">
        <v>4663</v>
      </c>
      <c r="B42" s="211" t="s">
        <v>4668</v>
      </c>
      <c r="C42" s="212" t="s">
        <v>4669</v>
      </c>
      <c r="D42" s="214" t="s">
        <v>4670</v>
      </c>
      <c r="E42" s="216" t="str">
        <f>IF(COUNTIF(F42:AS42,"&lt;&gt;")=0,"",SUMPRODUCT(((Recommendations[ImplStatus]="Implemented")+(Recommendations[ImplStatus]="Compensated"))*ISNUMBER(MATCH(Recommendations[Id],F42:AS42,0)))/COUNTIF(F42:AS42,"&lt;&gt;"))</f>
        <v/>
      </c>
      <c r="F42" s="217"/>
      <c r="G42" s="217"/>
      <c r="H42" s="217"/>
      <c r="I42" s="217"/>
      <c r="J42" s="217"/>
      <c r="K42" s="217"/>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AP42" s="217"/>
      <c r="AQ42" s="217"/>
      <c r="AR42" s="217"/>
      <c r="AS42" s="227"/>
    </row>
    <row r="43" spans="1:45" ht="60" customHeight="1" x14ac:dyDescent="0.35">
      <c r="A43" s="224" t="s">
        <v>4663</v>
      </c>
      <c r="B43" s="211" t="s">
        <v>4671</v>
      </c>
      <c r="C43" s="212" t="s">
        <v>4672</v>
      </c>
      <c r="D43" s="214" t="s">
        <v>4673</v>
      </c>
      <c r="E43" s="216" t="str">
        <f>IF(COUNTIF(F43:AS43,"&lt;&gt;")=0,"",SUMPRODUCT(((Recommendations[ImplStatus]="Implemented")+(Recommendations[ImplStatus]="Compensated"))*ISNUMBER(MATCH(Recommendations[Id],F43:AS43,0)))/COUNTIF(F43:AS43,"&lt;&gt;"))</f>
        <v/>
      </c>
      <c r="F43" s="217"/>
      <c r="G43" s="217"/>
      <c r="H43" s="217"/>
      <c r="I43" s="217"/>
      <c r="J43" s="217"/>
      <c r="K43" s="217"/>
      <c r="L43" s="217"/>
      <c r="M43" s="217"/>
      <c r="N43" s="217"/>
      <c r="O43" s="217"/>
      <c r="P43" s="217"/>
      <c r="Q43" s="217"/>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AP43" s="217"/>
      <c r="AQ43" s="217"/>
      <c r="AR43" s="217"/>
      <c r="AS43" s="227"/>
    </row>
    <row r="44" spans="1:45" ht="60" customHeight="1" x14ac:dyDescent="0.35">
      <c r="A44" s="224" t="s">
        <v>4663</v>
      </c>
      <c r="B44" s="211" t="s">
        <v>4674</v>
      </c>
      <c r="C44" s="212" t="s">
        <v>4675</v>
      </c>
      <c r="D44" s="214" t="s">
        <v>4676</v>
      </c>
      <c r="E44" s="216" t="str">
        <f>IF(COUNTIF(F44:AS44,"&lt;&gt;")=0,"",SUMPRODUCT(((Recommendations[ImplStatus]="Implemented")+(Recommendations[ImplStatus]="Compensated"))*ISNUMBER(MATCH(Recommendations[Id],F44:AS44,0)))/COUNTIF(F44:AS44,"&lt;&gt;"))</f>
        <v/>
      </c>
      <c r="F44" s="217"/>
      <c r="G44" s="217"/>
      <c r="H44" s="217"/>
      <c r="I44" s="217"/>
      <c r="J44" s="217"/>
      <c r="K44" s="217"/>
      <c r="L44" s="217"/>
      <c r="M44" s="217"/>
      <c r="N44" s="217"/>
      <c r="O44" s="217"/>
      <c r="P44" s="217"/>
      <c r="Q44" s="217"/>
      <c r="R44" s="217"/>
      <c r="S44" s="217"/>
      <c r="T44" s="217"/>
      <c r="U44" s="217"/>
      <c r="V44" s="217"/>
      <c r="W44" s="217"/>
      <c r="X44" s="217"/>
      <c r="Y44" s="217"/>
      <c r="Z44" s="217"/>
      <c r="AA44" s="217"/>
      <c r="AB44" s="217"/>
      <c r="AC44" s="217"/>
      <c r="AD44" s="217"/>
      <c r="AE44" s="217"/>
      <c r="AF44" s="217"/>
      <c r="AG44" s="217"/>
      <c r="AH44" s="217"/>
      <c r="AI44" s="217"/>
      <c r="AJ44" s="217"/>
      <c r="AK44" s="217"/>
      <c r="AL44" s="217"/>
      <c r="AM44" s="217"/>
      <c r="AN44" s="217"/>
      <c r="AO44" s="217"/>
      <c r="AP44" s="217"/>
      <c r="AQ44" s="217"/>
      <c r="AR44" s="217"/>
      <c r="AS44" s="227"/>
    </row>
    <row r="45" spans="1:45" ht="60" customHeight="1" x14ac:dyDescent="0.35">
      <c r="A45" s="224" t="s">
        <v>4663</v>
      </c>
      <c r="B45" s="211" t="s">
        <v>4677</v>
      </c>
      <c r="C45" s="212" t="s">
        <v>4678</v>
      </c>
      <c r="D45" s="214" t="s">
        <v>4679</v>
      </c>
      <c r="E45" s="216" t="str">
        <f>IF(COUNTIF(F45:AS45,"&lt;&gt;")=0,"",SUMPRODUCT(((Recommendations[ImplStatus]="Implemented")+(Recommendations[ImplStatus]="Compensated"))*ISNUMBER(MATCH(Recommendations[Id],F45:AS45,0)))/COUNTIF(F45:AS45,"&lt;&gt;"))</f>
        <v/>
      </c>
      <c r="F45" s="217"/>
      <c r="G45" s="217"/>
      <c r="H45" s="217"/>
      <c r="I45" s="217"/>
      <c r="J45" s="217"/>
      <c r="K45" s="217"/>
      <c r="L45" s="217"/>
      <c r="M45" s="217"/>
      <c r="N45" s="217"/>
      <c r="O45" s="217"/>
      <c r="P45" s="217"/>
      <c r="Q45" s="217"/>
      <c r="R45" s="217"/>
      <c r="S45" s="217"/>
      <c r="T45" s="217"/>
      <c r="U45" s="217"/>
      <c r="V45" s="217"/>
      <c r="W45" s="217"/>
      <c r="X45" s="217"/>
      <c r="Y45" s="217"/>
      <c r="Z45" s="217"/>
      <c r="AA45" s="217"/>
      <c r="AB45" s="217"/>
      <c r="AC45" s="217"/>
      <c r="AD45" s="217"/>
      <c r="AE45" s="217"/>
      <c r="AF45" s="217"/>
      <c r="AG45" s="217"/>
      <c r="AH45" s="217"/>
      <c r="AI45" s="217"/>
      <c r="AJ45" s="217"/>
      <c r="AK45" s="217"/>
      <c r="AL45" s="217"/>
      <c r="AM45" s="217"/>
      <c r="AN45" s="217"/>
      <c r="AO45" s="217"/>
      <c r="AP45" s="217"/>
      <c r="AQ45" s="217"/>
      <c r="AR45" s="217"/>
      <c r="AS45" s="227"/>
    </row>
    <row r="46" spans="1:45" ht="60" customHeight="1" x14ac:dyDescent="0.35">
      <c r="A46" s="224" t="s">
        <v>4663</v>
      </c>
      <c r="B46" s="211" t="s">
        <v>4680</v>
      </c>
      <c r="C46" s="212" t="s">
        <v>4681</v>
      </c>
      <c r="D46" s="214" t="s">
        <v>4682</v>
      </c>
      <c r="E46" s="216" t="str">
        <f>IF(COUNTIF(F46:AS46,"&lt;&gt;")=0,"",SUMPRODUCT(((Recommendations[ImplStatus]="Implemented")+(Recommendations[ImplStatus]="Compensated"))*ISNUMBER(MATCH(Recommendations[Id],F46:AS46,0)))/COUNTIF(F46:AS46,"&lt;&gt;"))</f>
        <v/>
      </c>
      <c r="F46" s="217"/>
      <c r="G46" s="217"/>
      <c r="H46" s="217"/>
      <c r="I46" s="217"/>
      <c r="J46" s="217"/>
      <c r="K46" s="217"/>
      <c r="L46" s="217"/>
      <c r="M46" s="217"/>
      <c r="N46" s="217"/>
      <c r="O46" s="217"/>
      <c r="P46" s="217"/>
      <c r="Q46" s="217"/>
      <c r="R46" s="217"/>
      <c r="S46" s="217"/>
      <c r="T46" s="217"/>
      <c r="U46" s="217"/>
      <c r="V46" s="217"/>
      <c r="W46" s="217"/>
      <c r="X46" s="217"/>
      <c r="Y46" s="217"/>
      <c r="Z46" s="217"/>
      <c r="AA46" s="217"/>
      <c r="AB46" s="217"/>
      <c r="AC46" s="217"/>
      <c r="AD46" s="217"/>
      <c r="AE46" s="217"/>
      <c r="AF46" s="217"/>
      <c r="AG46" s="217"/>
      <c r="AH46" s="217"/>
      <c r="AI46" s="217"/>
      <c r="AJ46" s="217"/>
      <c r="AK46" s="217"/>
      <c r="AL46" s="217"/>
      <c r="AM46" s="217"/>
      <c r="AN46" s="217"/>
      <c r="AO46" s="217"/>
      <c r="AP46" s="217"/>
      <c r="AQ46" s="217"/>
      <c r="AR46" s="217"/>
      <c r="AS46" s="227"/>
    </row>
    <row r="47" spans="1:45" ht="60" customHeight="1" x14ac:dyDescent="0.35">
      <c r="A47" s="224" t="s">
        <v>4663</v>
      </c>
      <c r="B47" s="211" t="s">
        <v>4683</v>
      </c>
      <c r="C47" s="212" t="s">
        <v>4684</v>
      </c>
      <c r="D47" s="214" t="s">
        <v>4685</v>
      </c>
      <c r="E47" s="216" t="str">
        <f>IF(COUNTIF(F47:AS47,"&lt;&gt;")=0,"",SUMPRODUCT(((Recommendations[ImplStatus]="Implemented")+(Recommendations[ImplStatus]="Compensated"))*ISNUMBER(MATCH(Recommendations[Id],F47:AS47,0)))/COUNTIF(F47:AS47,"&lt;&gt;"))</f>
        <v/>
      </c>
      <c r="F47" s="217"/>
      <c r="G47" s="217"/>
      <c r="H47" s="217"/>
      <c r="I47" s="217"/>
      <c r="J47" s="217"/>
      <c r="K47" s="217"/>
      <c r="L47" s="217"/>
      <c r="M47" s="217"/>
      <c r="N47" s="217"/>
      <c r="O47" s="217"/>
      <c r="P47" s="217"/>
      <c r="Q47" s="217"/>
      <c r="R47" s="217"/>
      <c r="S47" s="217"/>
      <c r="T47" s="217"/>
      <c r="U47" s="217"/>
      <c r="V47" s="217"/>
      <c r="W47" s="217"/>
      <c r="X47" s="217"/>
      <c r="Y47" s="217"/>
      <c r="Z47" s="217"/>
      <c r="AA47" s="217"/>
      <c r="AB47" s="217"/>
      <c r="AC47" s="217"/>
      <c r="AD47" s="217"/>
      <c r="AE47" s="217"/>
      <c r="AF47" s="217"/>
      <c r="AG47" s="217"/>
      <c r="AH47" s="217"/>
      <c r="AI47" s="217"/>
      <c r="AJ47" s="217"/>
      <c r="AK47" s="217"/>
      <c r="AL47" s="217"/>
      <c r="AM47" s="217"/>
      <c r="AN47" s="217"/>
      <c r="AO47" s="217"/>
      <c r="AP47" s="217"/>
      <c r="AQ47" s="217"/>
      <c r="AR47" s="217"/>
      <c r="AS47" s="227"/>
    </row>
    <row r="48" spans="1:45" ht="60" customHeight="1" x14ac:dyDescent="0.35">
      <c r="A48" s="224" t="s">
        <v>4663</v>
      </c>
      <c r="B48" s="211" t="s">
        <v>4686</v>
      </c>
      <c r="C48" s="212" t="s">
        <v>4687</v>
      </c>
      <c r="D48" s="214" t="s">
        <v>4688</v>
      </c>
      <c r="E48" s="216" t="str">
        <f>IF(COUNTIF(F48:AS48,"&lt;&gt;")=0,"",SUMPRODUCT(((Recommendations[ImplStatus]="Implemented")+(Recommendations[ImplStatus]="Compensated"))*ISNUMBER(MATCH(Recommendations[Id],F48:AS48,0)))/COUNTIF(F48:AS48,"&lt;&gt;"))</f>
        <v/>
      </c>
      <c r="F48" s="217"/>
      <c r="G48" s="217"/>
      <c r="H48" s="217"/>
      <c r="I48" s="217"/>
      <c r="J48" s="217"/>
      <c r="K48" s="217"/>
      <c r="L48" s="217"/>
      <c r="M48" s="217"/>
      <c r="N48" s="217"/>
      <c r="O48" s="217"/>
      <c r="P48" s="217"/>
      <c r="Q48" s="217"/>
      <c r="R48" s="217"/>
      <c r="S48" s="217"/>
      <c r="T48" s="217"/>
      <c r="U48" s="217"/>
      <c r="V48" s="217"/>
      <c r="W48" s="217"/>
      <c r="X48" s="217"/>
      <c r="Y48" s="217"/>
      <c r="Z48" s="217"/>
      <c r="AA48" s="217"/>
      <c r="AB48" s="217"/>
      <c r="AC48" s="217"/>
      <c r="AD48" s="217"/>
      <c r="AE48" s="217"/>
      <c r="AF48" s="217"/>
      <c r="AG48" s="217"/>
      <c r="AH48" s="217"/>
      <c r="AI48" s="217"/>
      <c r="AJ48" s="217"/>
      <c r="AK48" s="217"/>
      <c r="AL48" s="217"/>
      <c r="AM48" s="217"/>
      <c r="AN48" s="217"/>
      <c r="AO48" s="217"/>
      <c r="AP48" s="217"/>
      <c r="AQ48" s="217"/>
      <c r="AR48" s="217"/>
      <c r="AS48" s="227"/>
    </row>
    <row r="49" spans="1:45" ht="60" customHeight="1" outlineLevel="1" x14ac:dyDescent="0.35">
      <c r="A49" s="223" t="s">
        <v>4689</v>
      </c>
      <c r="B49" s="210" t="s">
        <v>4690</v>
      </c>
      <c r="C49" s="209"/>
      <c r="D49" s="213"/>
      <c r="E49" s="215" t="str">
        <f>IF(COUNTIF(F49:AS49,"&lt;&gt;")=0,"",SUMPRODUCT(((Recommendations[ImplStatus]="Implemented")+(Recommendations[ImplStatus]="Compensated"))*ISNUMBER(MATCH(Recommendations[Id],F49:AS49,0)))/COUNTIF(F49:AS49,"&lt;&gt;"))</f>
        <v/>
      </c>
      <c r="F49" s="209"/>
      <c r="G49" s="209"/>
      <c r="H49" s="209"/>
      <c r="I49" s="209"/>
      <c r="J49" s="209"/>
      <c r="K49" s="209"/>
      <c r="L49" s="209"/>
      <c r="M49" s="209"/>
      <c r="N49" s="209"/>
      <c r="O49" s="209"/>
      <c r="P49" s="209"/>
      <c r="Q49" s="209"/>
      <c r="R49" s="209"/>
      <c r="S49" s="209"/>
      <c r="T49" s="209"/>
      <c r="U49" s="209"/>
      <c r="V49" s="209"/>
      <c r="W49" s="209"/>
      <c r="X49" s="209"/>
      <c r="Y49" s="209"/>
      <c r="Z49" s="209"/>
      <c r="AA49" s="209"/>
      <c r="AB49" s="209"/>
      <c r="AC49" s="209"/>
      <c r="AD49" s="209"/>
      <c r="AE49" s="209"/>
      <c r="AF49" s="209"/>
      <c r="AG49" s="209"/>
      <c r="AH49" s="209"/>
      <c r="AI49" s="209"/>
      <c r="AJ49" s="209"/>
      <c r="AK49" s="209"/>
      <c r="AL49" s="209"/>
      <c r="AM49" s="209"/>
      <c r="AN49" s="209"/>
      <c r="AO49" s="209"/>
      <c r="AP49" s="209"/>
      <c r="AQ49" s="209"/>
      <c r="AR49" s="209"/>
      <c r="AS49" s="226"/>
    </row>
    <row r="50" spans="1:45" ht="60" customHeight="1" x14ac:dyDescent="0.35">
      <c r="A50" s="224" t="s">
        <v>4689</v>
      </c>
      <c r="B50" s="211" t="s">
        <v>4691</v>
      </c>
      <c r="C50" s="212" t="s">
        <v>4692</v>
      </c>
      <c r="D50" s="214" t="s">
        <v>4693</v>
      </c>
      <c r="E50" s="216" t="str">
        <f>IF(COUNTIF(F50:AS50,"&lt;&gt;")=0,"",SUMPRODUCT(((Recommendations[ImplStatus]="Implemented")+(Recommendations[ImplStatus]="Compensated"))*ISNUMBER(MATCH(Recommendations[Id],F50:AS50,0)))/COUNTIF(F50:AS50,"&lt;&gt;"))</f>
        <v/>
      </c>
      <c r="F50" s="217"/>
      <c r="G50" s="217"/>
      <c r="H50" s="217"/>
      <c r="I50" s="217"/>
      <c r="J50" s="217"/>
      <c r="K50" s="217"/>
      <c r="L50" s="217"/>
      <c r="M50" s="217"/>
      <c r="N50" s="217"/>
      <c r="O50" s="217"/>
      <c r="P50" s="217"/>
      <c r="Q50" s="217"/>
      <c r="R50" s="217"/>
      <c r="S50" s="217"/>
      <c r="T50" s="217"/>
      <c r="U50" s="217"/>
      <c r="V50" s="217"/>
      <c r="W50" s="217"/>
      <c r="X50" s="217"/>
      <c r="Y50" s="217"/>
      <c r="Z50" s="217"/>
      <c r="AA50" s="217"/>
      <c r="AB50" s="217"/>
      <c r="AC50" s="217"/>
      <c r="AD50" s="217"/>
      <c r="AE50" s="217"/>
      <c r="AF50" s="217"/>
      <c r="AG50" s="217"/>
      <c r="AH50" s="217"/>
      <c r="AI50" s="217"/>
      <c r="AJ50" s="217"/>
      <c r="AK50" s="217"/>
      <c r="AL50" s="217"/>
      <c r="AM50" s="217"/>
      <c r="AN50" s="217"/>
      <c r="AO50" s="217"/>
      <c r="AP50" s="217"/>
      <c r="AQ50" s="217"/>
      <c r="AR50" s="217"/>
      <c r="AS50" s="227"/>
    </row>
    <row r="51" spans="1:45" ht="60" customHeight="1" x14ac:dyDescent="0.35">
      <c r="A51" s="224" t="s">
        <v>4689</v>
      </c>
      <c r="B51" s="211" t="s">
        <v>4694</v>
      </c>
      <c r="C51" s="212" t="s">
        <v>4695</v>
      </c>
      <c r="D51" s="214" t="s">
        <v>4696</v>
      </c>
      <c r="E51" s="216" t="str">
        <f>IF(COUNTIF(F51:AS51,"&lt;&gt;")=0,"",SUMPRODUCT(((Recommendations[ImplStatus]="Implemented")+(Recommendations[ImplStatus]="Compensated"))*ISNUMBER(MATCH(Recommendations[Id],F51:AS51,0)))/COUNTIF(F51:AS51,"&lt;&gt;"))</f>
        <v/>
      </c>
      <c r="F51" s="217"/>
      <c r="G51" s="217"/>
      <c r="H51" s="217"/>
      <c r="I51" s="217"/>
      <c r="J51" s="217"/>
      <c r="K51" s="217"/>
      <c r="L51" s="217"/>
      <c r="M51" s="217"/>
      <c r="N51" s="217"/>
      <c r="O51" s="217"/>
      <c r="P51" s="217"/>
      <c r="Q51" s="217"/>
      <c r="R51" s="217"/>
      <c r="S51" s="217"/>
      <c r="T51" s="217"/>
      <c r="U51" s="217"/>
      <c r="V51" s="217"/>
      <c r="W51" s="217"/>
      <c r="X51" s="217"/>
      <c r="Y51" s="217"/>
      <c r="Z51" s="217"/>
      <c r="AA51" s="217"/>
      <c r="AB51" s="217"/>
      <c r="AC51" s="217"/>
      <c r="AD51" s="217"/>
      <c r="AE51" s="217"/>
      <c r="AF51" s="217"/>
      <c r="AG51" s="217"/>
      <c r="AH51" s="217"/>
      <c r="AI51" s="217"/>
      <c r="AJ51" s="217"/>
      <c r="AK51" s="217"/>
      <c r="AL51" s="217"/>
      <c r="AM51" s="217"/>
      <c r="AN51" s="217"/>
      <c r="AO51" s="217"/>
      <c r="AP51" s="217"/>
      <c r="AQ51" s="217"/>
      <c r="AR51" s="217"/>
      <c r="AS51" s="227"/>
    </row>
    <row r="52" spans="1:45" ht="60" customHeight="1" x14ac:dyDescent="0.35">
      <c r="A52" s="224" t="s">
        <v>4689</v>
      </c>
      <c r="B52" s="211" t="s">
        <v>4697</v>
      </c>
      <c r="C52" s="212" t="s">
        <v>4698</v>
      </c>
      <c r="D52" s="214" t="s">
        <v>4699</v>
      </c>
      <c r="E52" s="216" t="str">
        <f>IF(COUNTIF(F52:AS52,"&lt;&gt;")=0,"",SUMPRODUCT(((Recommendations[ImplStatus]="Implemented")+(Recommendations[ImplStatus]="Compensated"))*ISNUMBER(MATCH(Recommendations[Id],F52:AS52,0)))/COUNTIF(F52:AS52,"&lt;&gt;"))</f>
        <v/>
      </c>
      <c r="F52" s="217"/>
      <c r="G52" s="217"/>
      <c r="H52" s="217"/>
      <c r="I52" s="217"/>
      <c r="J52" s="217"/>
      <c r="K52" s="217"/>
      <c r="L52" s="217"/>
      <c r="M52" s="217"/>
      <c r="N52" s="217"/>
      <c r="O52" s="217"/>
      <c r="P52" s="217"/>
      <c r="Q52" s="217"/>
      <c r="R52" s="217"/>
      <c r="S52" s="217"/>
      <c r="T52" s="217"/>
      <c r="U52" s="217"/>
      <c r="V52" s="217"/>
      <c r="W52" s="217"/>
      <c r="X52" s="217"/>
      <c r="Y52" s="217"/>
      <c r="Z52" s="217"/>
      <c r="AA52" s="217"/>
      <c r="AB52" s="217"/>
      <c r="AC52" s="217"/>
      <c r="AD52" s="217"/>
      <c r="AE52" s="217"/>
      <c r="AF52" s="217"/>
      <c r="AG52" s="217"/>
      <c r="AH52" s="217"/>
      <c r="AI52" s="217"/>
      <c r="AJ52" s="217"/>
      <c r="AK52" s="217"/>
      <c r="AL52" s="217"/>
      <c r="AM52" s="217"/>
      <c r="AN52" s="217"/>
      <c r="AO52" s="217"/>
      <c r="AP52" s="217"/>
      <c r="AQ52" s="217"/>
      <c r="AR52" s="217"/>
      <c r="AS52" s="227"/>
    </row>
    <row r="53" spans="1:45" ht="60" customHeight="1" x14ac:dyDescent="0.35">
      <c r="A53" s="224" t="s">
        <v>4689</v>
      </c>
      <c r="B53" s="211" t="s">
        <v>4700</v>
      </c>
      <c r="C53" s="212" t="s">
        <v>4701</v>
      </c>
      <c r="D53" s="214" t="s">
        <v>4702</v>
      </c>
      <c r="E53" s="216" t="str">
        <f>IF(COUNTIF(F53:AS53,"&lt;&gt;")=0,"",SUMPRODUCT(((Recommendations[ImplStatus]="Implemented")+(Recommendations[ImplStatus]="Compensated"))*ISNUMBER(MATCH(Recommendations[Id],F53:AS53,0)))/COUNTIF(F53:AS53,"&lt;&gt;"))</f>
        <v/>
      </c>
      <c r="F53" s="217"/>
      <c r="G53" s="217"/>
      <c r="H53" s="217"/>
      <c r="I53" s="217"/>
      <c r="J53" s="217"/>
      <c r="K53" s="217"/>
      <c r="L53" s="217"/>
      <c r="M53" s="217"/>
      <c r="N53" s="217"/>
      <c r="O53" s="217"/>
      <c r="P53" s="217"/>
      <c r="Q53" s="217"/>
      <c r="R53" s="217"/>
      <c r="S53" s="217"/>
      <c r="T53" s="217"/>
      <c r="U53" s="217"/>
      <c r="V53" s="217"/>
      <c r="W53" s="217"/>
      <c r="X53" s="217"/>
      <c r="Y53" s="217"/>
      <c r="Z53" s="217"/>
      <c r="AA53" s="217"/>
      <c r="AB53" s="217"/>
      <c r="AC53" s="217"/>
      <c r="AD53" s="217"/>
      <c r="AE53" s="217"/>
      <c r="AF53" s="217"/>
      <c r="AG53" s="217"/>
      <c r="AH53" s="217"/>
      <c r="AI53" s="217"/>
      <c r="AJ53" s="217"/>
      <c r="AK53" s="217"/>
      <c r="AL53" s="217"/>
      <c r="AM53" s="217"/>
      <c r="AN53" s="217"/>
      <c r="AO53" s="217"/>
      <c r="AP53" s="217"/>
      <c r="AQ53" s="217"/>
      <c r="AR53" s="217"/>
      <c r="AS53" s="227"/>
    </row>
    <row r="54" spans="1:45" ht="60" customHeight="1" x14ac:dyDescent="0.35">
      <c r="A54" s="224" t="s">
        <v>4689</v>
      </c>
      <c r="B54" s="211" t="s">
        <v>4703</v>
      </c>
      <c r="C54" s="212" t="s">
        <v>4704</v>
      </c>
      <c r="D54" s="214" t="s">
        <v>4705</v>
      </c>
      <c r="E54" s="216" t="str">
        <f>IF(COUNTIF(F54:AS54,"&lt;&gt;")=0,"",SUMPRODUCT(((Recommendations[ImplStatus]="Implemented")+(Recommendations[ImplStatus]="Compensated"))*ISNUMBER(MATCH(Recommendations[Id],F54:AS54,0)))/COUNTIF(F54:AS54,"&lt;&gt;"))</f>
        <v/>
      </c>
      <c r="F54" s="217"/>
      <c r="G54" s="217"/>
      <c r="H54" s="217"/>
      <c r="I54" s="217"/>
      <c r="J54" s="217"/>
      <c r="K54" s="217"/>
      <c r="L54" s="217"/>
      <c r="M54" s="217"/>
      <c r="N54" s="217"/>
      <c r="O54" s="217"/>
      <c r="P54" s="217"/>
      <c r="Q54" s="217"/>
      <c r="R54" s="217"/>
      <c r="S54" s="217"/>
      <c r="T54" s="217"/>
      <c r="U54" s="217"/>
      <c r="V54" s="217"/>
      <c r="W54" s="217"/>
      <c r="X54" s="217"/>
      <c r="Y54" s="217"/>
      <c r="Z54" s="217"/>
      <c r="AA54" s="217"/>
      <c r="AB54" s="217"/>
      <c r="AC54" s="217"/>
      <c r="AD54" s="217"/>
      <c r="AE54" s="217"/>
      <c r="AF54" s="217"/>
      <c r="AG54" s="217"/>
      <c r="AH54" s="217"/>
      <c r="AI54" s="217"/>
      <c r="AJ54" s="217"/>
      <c r="AK54" s="217"/>
      <c r="AL54" s="217"/>
      <c r="AM54" s="217"/>
      <c r="AN54" s="217"/>
      <c r="AO54" s="217"/>
      <c r="AP54" s="217"/>
      <c r="AQ54" s="217"/>
      <c r="AR54" s="217"/>
      <c r="AS54" s="227"/>
    </row>
    <row r="55" spans="1:45" ht="60" customHeight="1" x14ac:dyDescent="0.35">
      <c r="A55" s="224" t="s">
        <v>4689</v>
      </c>
      <c r="B55" s="211" t="s">
        <v>4706</v>
      </c>
      <c r="C55" s="212" t="s">
        <v>4707</v>
      </c>
      <c r="D55" s="214" t="s">
        <v>4708</v>
      </c>
      <c r="E55" s="216" t="str">
        <f>IF(COUNTIF(F55:AS55,"&lt;&gt;")=0,"",SUMPRODUCT(((Recommendations[ImplStatus]="Implemented")+(Recommendations[ImplStatus]="Compensated"))*ISNUMBER(MATCH(Recommendations[Id],F55:AS55,0)))/COUNTIF(F55:AS55,"&lt;&gt;"))</f>
        <v/>
      </c>
      <c r="F55" s="217"/>
      <c r="G55" s="217"/>
      <c r="H55" s="217"/>
      <c r="I55" s="217"/>
      <c r="J55" s="217"/>
      <c r="K55" s="217"/>
      <c r="L55" s="217"/>
      <c r="M55" s="217"/>
      <c r="N55" s="217"/>
      <c r="O55" s="217"/>
      <c r="P55" s="217"/>
      <c r="Q55" s="217"/>
      <c r="R55" s="217"/>
      <c r="S55" s="217"/>
      <c r="T55" s="217"/>
      <c r="U55" s="217"/>
      <c r="V55" s="217"/>
      <c r="W55" s="217"/>
      <c r="X55" s="217"/>
      <c r="Y55" s="217"/>
      <c r="Z55" s="217"/>
      <c r="AA55" s="217"/>
      <c r="AB55" s="217"/>
      <c r="AC55" s="217"/>
      <c r="AD55" s="217"/>
      <c r="AE55" s="217"/>
      <c r="AF55" s="217"/>
      <c r="AG55" s="217"/>
      <c r="AH55" s="217"/>
      <c r="AI55" s="217"/>
      <c r="AJ55" s="217"/>
      <c r="AK55" s="217"/>
      <c r="AL55" s="217"/>
      <c r="AM55" s="217"/>
      <c r="AN55" s="217"/>
      <c r="AO55" s="217"/>
      <c r="AP55" s="217"/>
      <c r="AQ55" s="217"/>
      <c r="AR55" s="217"/>
      <c r="AS55" s="227"/>
    </row>
    <row r="56" spans="1:45" ht="60" customHeight="1" x14ac:dyDescent="0.35">
      <c r="A56" s="224" t="s">
        <v>4689</v>
      </c>
      <c r="B56" s="211" t="s">
        <v>4709</v>
      </c>
      <c r="C56" s="212" t="s">
        <v>4710</v>
      </c>
      <c r="D56" s="214" t="s">
        <v>4711</v>
      </c>
      <c r="E56" s="216" t="str">
        <f>IF(COUNTIF(F56:AS56,"&lt;&gt;")=0,"",SUMPRODUCT(((Recommendations[ImplStatus]="Implemented")+(Recommendations[ImplStatus]="Compensated"))*ISNUMBER(MATCH(Recommendations[Id],F56:AS56,0)))/COUNTIF(F56:AS56,"&lt;&gt;"))</f>
        <v/>
      </c>
      <c r="F56" s="217"/>
      <c r="G56" s="217"/>
      <c r="H56" s="217"/>
      <c r="I56" s="217"/>
      <c r="J56" s="217"/>
      <c r="K56" s="217"/>
      <c r="L56" s="217"/>
      <c r="M56" s="217"/>
      <c r="N56" s="217"/>
      <c r="O56" s="217"/>
      <c r="P56" s="217"/>
      <c r="Q56" s="217"/>
      <c r="R56" s="217"/>
      <c r="S56" s="217"/>
      <c r="T56" s="217"/>
      <c r="U56" s="217"/>
      <c r="V56" s="217"/>
      <c r="W56" s="217"/>
      <c r="X56" s="217"/>
      <c r="Y56" s="217"/>
      <c r="Z56" s="217"/>
      <c r="AA56" s="217"/>
      <c r="AB56" s="217"/>
      <c r="AC56" s="217"/>
      <c r="AD56" s="217"/>
      <c r="AE56" s="217"/>
      <c r="AF56" s="217"/>
      <c r="AG56" s="217"/>
      <c r="AH56" s="217"/>
      <c r="AI56" s="217"/>
      <c r="AJ56" s="217"/>
      <c r="AK56" s="217"/>
      <c r="AL56" s="217"/>
      <c r="AM56" s="217"/>
      <c r="AN56" s="217"/>
      <c r="AO56" s="217"/>
      <c r="AP56" s="217"/>
      <c r="AQ56" s="217"/>
      <c r="AR56" s="217"/>
      <c r="AS56" s="227"/>
    </row>
    <row r="57" spans="1:45" ht="60" customHeight="1" x14ac:dyDescent="0.35">
      <c r="A57" s="224" t="s">
        <v>4689</v>
      </c>
      <c r="B57" s="211" t="s">
        <v>4712</v>
      </c>
      <c r="C57" s="212" t="s">
        <v>4713</v>
      </c>
      <c r="D57" s="214" t="s">
        <v>4714</v>
      </c>
      <c r="E57" s="216" t="str">
        <f>IF(COUNTIF(F57:AS57,"&lt;&gt;")=0,"",SUMPRODUCT(((Recommendations[ImplStatus]="Implemented")+(Recommendations[ImplStatus]="Compensated"))*ISNUMBER(MATCH(Recommendations[Id],F57:AS57,0)))/COUNTIF(F57:AS57,"&lt;&gt;"))</f>
        <v/>
      </c>
      <c r="F57" s="217"/>
      <c r="G57" s="217"/>
      <c r="H57" s="217"/>
      <c r="I57" s="217"/>
      <c r="J57" s="217"/>
      <c r="K57" s="217"/>
      <c r="L57" s="217"/>
      <c r="M57" s="217"/>
      <c r="N57" s="217"/>
      <c r="O57" s="217"/>
      <c r="P57" s="217"/>
      <c r="Q57" s="217"/>
      <c r="R57" s="217"/>
      <c r="S57" s="217"/>
      <c r="T57" s="217"/>
      <c r="U57" s="217"/>
      <c r="V57" s="217"/>
      <c r="W57" s="217"/>
      <c r="X57" s="217"/>
      <c r="Y57" s="217"/>
      <c r="Z57" s="217"/>
      <c r="AA57" s="217"/>
      <c r="AB57" s="217"/>
      <c r="AC57" s="217"/>
      <c r="AD57" s="217"/>
      <c r="AE57" s="217"/>
      <c r="AF57" s="217"/>
      <c r="AG57" s="217"/>
      <c r="AH57" s="217"/>
      <c r="AI57" s="217"/>
      <c r="AJ57" s="217"/>
      <c r="AK57" s="217"/>
      <c r="AL57" s="217"/>
      <c r="AM57" s="217"/>
      <c r="AN57" s="217"/>
      <c r="AO57" s="217"/>
      <c r="AP57" s="217"/>
      <c r="AQ57" s="217"/>
      <c r="AR57" s="217"/>
      <c r="AS57" s="227"/>
    </row>
    <row r="58" spans="1:45" ht="60" customHeight="1" x14ac:dyDescent="0.35">
      <c r="A58" s="224" t="s">
        <v>4689</v>
      </c>
      <c r="B58" s="211" t="s">
        <v>4715</v>
      </c>
      <c r="C58" s="212" t="s">
        <v>4716</v>
      </c>
      <c r="D58" s="214" t="s">
        <v>4717</v>
      </c>
      <c r="E58" s="216" t="str">
        <f>IF(COUNTIF(F58:AS58,"&lt;&gt;")=0,"",SUMPRODUCT(((Recommendations[ImplStatus]="Implemented")+(Recommendations[ImplStatus]="Compensated"))*ISNUMBER(MATCH(Recommendations[Id],F58:AS58,0)))/COUNTIF(F58:AS58,"&lt;&gt;"))</f>
        <v/>
      </c>
      <c r="F58" s="217"/>
      <c r="G58" s="217"/>
      <c r="H58" s="217"/>
      <c r="I58" s="217"/>
      <c r="J58" s="217"/>
      <c r="K58" s="217"/>
      <c r="L58" s="217"/>
      <c r="M58" s="217"/>
      <c r="N58" s="217"/>
      <c r="O58" s="217"/>
      <c r="P58" s="217"/>
      <c r="Q58" s="217"/>
      <c r="R58" s="217"/>
      <c r="S58" s="217"/>
      <c r="T58" s="217"/>
      <c r="U58" s="217"/>
      <c r="V58" s="217"/>
      <c r="W58" s="217"/>
      <c r="X58" s="217"/>
      <c r="Y58" s="217"/>
      <c r="Z58" s="217"/>
      <c r="AA58" s="217"/>
      <c r="AB58" s="217"/>
      <c r="AC58" s="217"/>
      <c r="AD58" s="217"/>
      <c r="AE58" s="217"/>
      <c r="AF58" s="217"/>
      <c r="AG58" s="217"/>
      <c r="AH58" s="217"/>
      <c r="AI58" s="217"/>
      <c r="AJ58" s="217"/>
      <c r="AK58" s="217"/>
      <c r="AL58" s="217"/>
      <c r="AM58" s="217"/>
      <c r="AN58" s="217"/>
      <c r="AO58" s="217"/>
      <c r="AP58" s="217"/>
      <c r="AQ58" s="217"/>
      <c r="AR58" s="217"/>
      <c r="AS58" s="227"/>
    </row>
    <row r="59" spans="1:45" ht="60" customHeight="1" x14ac:dyDescent="0.35">
      <c r="A59" s="224" t="s">
        <v>4689</v>
      </c>
      <c r="B59" s="211" t="s">
        <v>4718</v>
      </c>
      <c r="C59" s="212" t="s">
        <v>4719</v>
      </c>
      <c r="D59" s="214" t="s">
        <v>4720</v>
      </c>
      <c r="E59" s="216" t="str">
        <f>IF(COUNTIF(F59:AS59,"&lt;&gt;")=0,"",SUMPRODUCT(((Recommendations[ImplStatus]="Implemented")+(Recommendations[ImplStatus]="Compensated"))*ISNUMBER(MATCH(Recommendations[Id],F59:AS59,0)))/COUNTIF(F59:AS59,"&lt;&gt;"))</f>
        <v/>
      </c>
      <c r="F59" s="217"/>
      <c r="G59" s="217"/>
      <c r="H59" s="217"/>
      <c r="I59" s="217"/>
      <c r="J59" s="217"/>
      <c r="K59" s="217"/>
      <c r="L59" s="217"/>
      <c r="M59" s="217"/>
      <c r="N59" s="217"/>
      <c r="O59" s="217"/>
      <c r="P59" s="217"/>
      <c r="Q59" s="217"/>
      <c r="R59" s="217"/>
      <c r="S59" s="217"/>
      <c r="T59" s="217"/>
      <c r="U59" s="217"/>
      <c r="V59" s="217"/>
      <c r="W59" s="217"/>
      <c r="X59" s="217"/>
      <c r="Y59" s="217"/>
      <c r="Z59" s="217"/>
      <c r="AA59" s="217"/>
      <c r="AB59" s="217"/>
      <c r="AC59" s="217"/>
      <c r="AD59" s="217"/>
      <c r="AE59" s="217"/>
      <c r="AF59" s="217"/>
      <c r="AG59" s="217"/>
      <c r="AH59" s="217"/>
      <c r="AI59" s="217"/>
      <c r="AJ59" s="217"/>
      <c r="AK59" s="217"/>
      <c r="AL59" s="217"/>
      <c r="AM59" s="217"/>
      <c r="AN59" s="217"/>
      <c r="AO59" s="217"/>
      <c r="AP59" s="217"/>
      <c r="AQ59" s="217"/>
      <c r="AR59" s="217"/>
      <c r="AS59" s="227"/>
    </row>
    <row r="60" spans="1:45" ht="60" customHeight="1" x14ac:dyDescent="0.35">
      <c r="A60" s="224" t="s">
        <v>4689</v>
      </c>
      <c r="B60" s="211" t="s">
        <v>4721</v>
      </c>
      <c r="C60" s="212" t="s">
        <v>4722</v>
      </c>
      <c r="D60" s="214" t="s">
        <v>4723</v>
      </c>
      <c r="E60" s="216" t="str">
        <f>IF(COUNTIF(F60:AS60,"&lt;&gt;")=0,"",SUMPRODUCT(((Recommendations[ImplStatus]="Implemented")+(Recommendations[ImplStatus]="Compensated"))*ISNUMBER(MATCH(Recommendations[Id],F60:AS60,0)))/COUNTIF(F60:AS60,"&lt;&gt;"))</f>
        <v/>
      </c>
      <c r="F60" s="217"/>
      <c r="G60" s="217"/>
      <c r="H60" s="217"/>
      <c r="I60" s="217"/>
      <c r="J60" s="217"/>
      <c r="K60" s="217"/>
      <c r="L60" s="217"/>
      <c r="M60" s="217"/>
      <c r="N60" s="217"/>
      <c r="O60" s="217"/>
      <c r="P60" s="217"/>
      <c r="Q60" s="217"/>
      <c r="R60" s="217"/>
      <c r="S60" s="217"/>
      <c r="T60" s="217"/>
      <c r="U60" s="217"/>
      <c r="V60" s="217"/>
      <c r="W60" s="217"/>
      <c r="X60" s="217"/>
      <c r="Y60" s="217"/>
      <c r="Z60" s="217"/>
      <c r="AA60" s="217"/>
      <c r="AB60" s="217"/>
      <c r="AC60" s="217"/>
      <c r="AD60" s="217"/>
      <c r="AE60" s="217"/>
      <c r="AF60" s="217"/>
      <c r="AG60" s="217"/>
      <c r="AH60" s="217"/>
      <c r="AI60" s="217"/>
      <c r="AJ60" s="217"/>
      <c r="AK60" s="217"/>
      <c r="AL60" s="217"/>
      <c r="AM60" s="217"/>
      <c r="AN60" s="217"/>
      <c r="AO60" s="217"/>
      <c r="AP60" s="217"/>
      <c r="AQ60" s="217"/>
      <c r="AR60" s="217"/>
      <c r="AS60" s="227"/>
    </row>
    <row r="61" spans="1:45" ht="60" customHeight="1" x14ac:dyDescent="0.35">
      <c r="A61" s="224" t="s">
        <v>4689</v>
      </c>
      <c r="B61" s="211" t="s">
        <v>4724</v>
      </c>
      <c r="C61" s="212" t="s">
        <v>4725</v>
      </c>
      <c r="D61" s="214" t="s">
        <v>4726</v>
      </c>
      <c r="E61" s="216" t="str">
        <f>IF(COUNTIF(F61:AS61,"&lt;&gt;")=0,"",SUMPRODUCT(((Recommendations[ImplStatus]="Implemented")+(Recommendations[ImplStatus]="Compensated"))*ISNUMBER(MATCH(Recommendations[Id],F61:AS61,0)))/COUNTIF(F61:AS61,"&lt;&gt;"))</f>
        <v/>
      </c>
      <c r="F61" s="217"/>
      <c r="G61" s="217"/>
      <c r="H61" s="217"/>
      <c r="I61" s="217"/>
      <c r="J61" s="217"/>
      <c r="K61" s="217"/>
      <c r="L61" s="217"/>
      <c r="M61" s="217"/>
      <c r="N61" s="217"/>
      <c r="O61" s="217"/>
      <c r="P61" s="217"/>
      <c r="Q61" s="217"/>
      <c r="R61" s="217"/>
      <c r="S61" s="217"/>
      <c r="T61" s="217"/>
      <c r="U61" s="217"/>
      <c r="V61" s="217"/>
      <c r="W61" s="217"/>
      <c r="X61" s="217"/>
      <c r="Y61" s="217"/>
      <c r="Z61" s="217"/>
      <c r="AA61" s="217"/>
      <c r="AB61" s="217"/>
      <c r="AC61" s="217"/>
      <c r="AD61" s="217"/>
      <c r="AE61" s="217"/>
      <c r="AF61" s="217"/>
      <c r="AG61" s="217"/>
      <c r="AH61" s="217"/>
      <c r="AI61" s="217"/>
      <c r="AJ61" s="217"/>
      <c r="AK61" s="217"/>
      <c r="AL61" s="217"/>
      <c r="AM61" s="217"/>
      <c r="AN61" s="217"/>
      <c r="AO61" s="217"/>
      <c r="AP61" s="217"/>
      <c r="AQ61" s="217"/>
      <c r="AR61" s="217"/>
      <c r="AS61" s="227"/>
    </row>
    <row r="62" spans="1:45" ht="60" customHeight="1" x14ac:dyDescent="0.35">
      <c r="A62" s="224" t="s">
        <v>4689</v>
      </c>
      <c r="B62" s="211" t="s">
        <v>4727</v>
      </c>
      <c r="C62" s="212" t="s">
        <v>4728</v>
      </c>
      <c r="D62" s="214" t="s">
        <v>4729</v>
      </c>
      <c r="E62" s="216" t="str">
        <f>IF(COUNTIF(F62:AS62,"&lt;&gt;")=0,"",SUMPRODUCT(((Recommendations[ImplStatus]="Implemented")+(Recommendations[ImplStatus]="Compensated"))*ISNUMBER(MATCH(Recommendations[Id],F62:AS62,0)))/COUNTIF(F62:AS62,"&lt;&gt;"))</f>
        <v/>
      </c>
      <c r="F62" s="217"/>
      <c r="G62" s="217"/>
      <c r="H62" s="217"/>
      <c r="I62" s="217"/>
      <c r="J62" s="217"/>
      <c r="K62" s="217"/>
      <c r="L62" s="217"/>
      <c r="M62" s="217"/>
      <c r="N62" s="217"/>
      <c r="O62" s="217"/>
      <c r="P62" s="217"/>
      <c r="Q62" s="217"/>
      <c r="R62" s="217"/>
      <c r="S62" s="217"/>
      <c r="T62" s="217"/>
      <c r="U62" s="217"/>
      <c r="V62" s="217"/>
      <c r="W62" s="217"/>
      <c r="X62" s="217"/>
      <c r="Y62" s="217"/>
      <c r="Z62" s="217"/>
      <c r="AA62" s="217"/>
      <c r="AB62" s="217"/>
      <c r="AC62" s="217"/>
      <c r="AD62" s="217"/>
      <c r="AE62" s="217"/>
      <c r="AF62" s="217"/>
      <c r="AG62" s="217"/>
      <c r="AH62" s="217"/>
      <c r="AI62" s="217"/>
      <c r="AJ62" s="217"/>
      <c r="AK62" s="217"/>
      <c r="AL62" s="217"/>
      <c r="AM62" s="217"/>
      <c r="AN62" s="217"/>
      <c r="AO62" s="217"/>
      <c r="AP62" s="217"/>
      <c r="AQ62" s="217"/>
      <c r="AR62" s="217"/>
      <c r="AS62" s="227"/>
    </row>
    <row r="63" spans="1:45" ht="60" customHeight="1" x14ac:dyDescent="0.35">
      <c r="A63" s="224" t="s">
        <v>4689</v>
      </c>
      <c r="B63" s="211" t="s">
        <v>4730</v>
      </c>
      <c r="C63" s="212" t="s">
        <v>4731</v>
      </c>
      <c r="D63" s="214" t="s">
        <v>4732</v>
      </c>
      <c r="E63" s="216" t="str">
        <f>IF(COUNTIF(F63:AS63,"&lt;&gt;")=0,"",SUMPRODUCT(((Recommendations[ImplStatus]="Implemented")+(Recommendations[ImplStatus]="Compensated"))*ISNUMBER(MATCH(Recommendations[Id],F63:AS63,0)))/COUNTIF(F63:AS63,"&lt;&gt;"))</f>
        <v/>
      </c>
      <c r="F63" s="217"/>
      <c r="G63" s="217"/>
      <c r="H63" s="217"/>
      <c r="I63" s="217"/>
      <c r="J63" s="217"/>
      <c r="K63" s="217"/>
      <c r="L63" s="217"/>
      <c r="M63" s="217"/>
      <c r="N63" s="217"/>
      <c r="O63" s="217"/>
      <c r="P63" s="217"/>
      <c r="Q63" s="217"/>
      <c r="R63" s="217"/>
      <c r="S63" s="217"/>
      <c r="T63" s="217"/>
      <c r="U63" s="217"/>
      <c r="V63" s="217"/>
      <c r="W63" s="217"/>
      <c r="X63" s="217"/>
      <c r="Y63" s="217"/>
      <c r="Z63" s="217"/>
      <c r="AA63" s="217"/>
      <c r="AB63" s="217"/>
      <c r="AC63" s="217"/>
      <c r="AD63" s="217"/>
      <c r="AE63" s="217"/>
      <c r="AF63" s="217"/>
      <c r="AG63" s="217"/>
      <c r="AH63" s="217"/>
      <c r="AI63" s="217"/>
      <c r="AJ63" s="217"/>
      <c r="AK63" s="217"/>
      <c r="AL63" s="217"/>
      <c r="AM63" s="217"/>
      <c r="AN63" s="217"/>
      <c r="AO63" s="217"/>
      <c r="AP63" s="217"/>
      <c r="AQ63" s="217"/>
      <c r="AR63" s="217"/>
      <c r="AS63" s="227"/>
    </row>
    <row r="64" spans="1:45" ht="60" customHeight="1" outlineLevel="1" x14ac:dyDescent="0.35">
      <c r="A64" s="223" t="s">
        <v>4733</v>
      </c>
      <c r="B64" s="210" t="s">
        <v>4734</v>
      </c>
      <c r="C64" s="209"/>
      <c r="D64" s="213"/>
      <c r="E64" s="215" t="str">
        <f>IF(COUNTIF(F64:AS64,"&lt;&gt;")=0,"",SUMPRODUCT(((Recommendations[ImplStatus]="Implemented")+(Recommendations[ImplStatus]="Compensated"))*ISNUMBER(MATCH(Recommendations[Id],F64:AS64,0)))/COUNTIF(F64:AS64,"&lt;&gt;"))</f>
        <v/>
      </c>
      <c r="F64" s="209"/>
      <c r="G64" s="209"/>
      <c r="H64" s="209"/>
      <c r="I64" s="209"/>
      <c r="J64" s="209"/>
      <c r="K64" s="209"/>
      <c r="L64" s="209"/>
      <c r="M64" s="209"/>
      <c r="N64" s="209"/>
      <c r="O64" s="209"/>
      <c r="P64" s="209"/>
      <c r="Q64" s="209"/>
      <c r="R64" s="209"/>
      <c r="S64" s="209"/>
      <c r="T64" s="209"/>
      <c r="U64" s="209"/>
      <c r="V64" s="209"/>
      <c r="W64" s="209"/>
      <c r="X64" s="209"/>
      <c r="Y64" s="209"/>
      <c r="Z64" s="209"/>
      <c r="AA64" s="209"/>
      <c r="AB64" s="209"/>
      <c r="AC64" s="209"/>
      <c r="AD64" s="209"/>
      <c r="AE64" s="209"/>
      <c r="AF64" s="209"/>
      <c r="AG64" s="209"/>
      <c r="AH64" s="209"/>
      <c r="AI64" s="209"/>
      <c r="AJ64" s="209"/>
      <c r="AK64" s="209"/>
      <c r="AL64" s="209"/>
      <c r="AM64" s="209"/>
      <c r="AN64" s="209"/>
      <c r="AO64" s="209"/>
      <c r="AP64" s="209"/>
      <c r="AQ64" s="209"/>
      <c r="AR64" s="209"/>
      <c r="AS64" s="226"/>
    </row>
    <row r="65" spans="1:45" ht="60" customHeight="1" x14ac:dyDescent="0.35">
      <c r="A65" s="224" t="s">
        <v>4733</v>
      </c>
      <c r="B65" s="211" t="s">
        <v>4735</v>
      </c>
      <c r="C65" s="212" t="s">
        <v>4736</v>
      </c>
      <c r="D65" s="214" t="s">
        <v>4737</v>
      </c>
      <c r="E65" s="216" t="str">
        <f>IF(COUNTIF(F65:AS65,"&lt;&gt;")=0,"",SUMPRODUCT(((Recommendations[ImplStatus]="Implemented")+(Recommendations[ImplStatus]="Compensated"))*ISNUMBER(MATCH(Recommendations[Id],F65:AS65,0)))/COUNTIF(F65:AS65,"&lt;&gt;"))</f>
        <v/>
      </c>
      <c r="F65" s="217"/>
      <c r="G65" s="217"/>
      <c r="H65" s="217"/>
      <c r="I65" s="217"/>
      <c r="J65" s="217"/>
      <c r="K65" s="217"/>
      <c r="L65" s="217"/>
      <c r="M65" s="217"/>
      <c r="N65" s="217"/>
      <c r="O65" s="217"/>
      <c r="P65" s="217"/>
      <c r="Q65" s="217"/>
      <c r="R65" s="217"/>
      <c r="S65" s="217"/>
      <c r="T65" s="217"/>
      <c r="U65" s="217"/>
      <c r="V65" s="217"/>
      <c r="W65" s="217"/>
      <c r="X65" s="217"/>
      <c r="Y65" s="217"/>
      <c r="Z65" s="217"/>
      <c r="AA65" s="217"/>
      <c r="AB65" s="217"/>
      <c r="AC65" s="217"/>
      <c r="AD65" s="217"/>
      <c r="AE65" s="217"/>
      <c r="AF65" s="217"/>
      <c r="AG65" s="217"/>
      <c r="AH65" s="217"/>
      <c r="AI65" s="217"/>
      <c r="AJ65" s="217"/>
      <c r="AK65" s="217"/>
      <c r="AL65" s="217"/>
      <c r="AM65" s="217"/>
      <c r="AN65" s="217"/>
      <c r="AO65" s="217"/>
      <c r="AP65" s="217"/>
      <c r="AQ65" s="217"/>
      <c r="AR65" s="217"/>
      <c r="AS65" s="227"/>
    </row>
    <row r="66" spans="1:45" ht="60" customHeight="1" x14ac:dyDescent="0.35">
      <c r="A66" s="224" t="s">
        <v>4733</v>
      </c>
      <c r="B66" s="211" t="s">
        <v>4738</v>
      </c>
      <c r="C66" s="212" t="s">
        <v>4739</v>
      </c>
      <c r="D66" s="214" t="s">
        <v>4740</v>
      </c>
      <c r="E66" s="216" t="str">
        <f>IF(COUNTIF(F66:AS66,"&lt;&gt;")=0,"",SUMPRODUCT(((Recommendations[ImplStatus]="Implemented")+(Recommendations[ImplStatus]="Compensated"))*ISNUMBER(MATCH(Recommendations[Id],F66:AS66,0)))/COUNTIF(F66:AS66,"&lt;&gt;"))</f>
        <v/>
      </c>
      <c r="F66" s="217"/>
      <c r="G66" s="217"/>
      <c r="H66" s="217"/>
      <c r="I66" s="217"/>
      <c r="J66" s="217"/>
      <c r="K66" s="217"/>
      <c r="L66" s="217"/>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27"/>
    </row>
    <row r="67" spans="1:45" ht="60" customHeight="1" x14ac:dyDescent="0.35">
      <c r="A67" s="224" t="s">
        <v>4733</v>
      </c>
      <c r="B67" s="211" t="s">
        <v>4741</v>
      </c>
      <c r="C67" s="212" t="s">
        <v>4742</v>
      </c>
      <c r="D67" s="214" t="s">
        <v>4743</v>
      </c>
      <c r="E67" s="216" t="str">
        <f>IF(COUNTIF(F67:AS67,"&lt;&gt;")=0,"",SUMPRODUCT(((Recommendations[ImplStatus]="Implemented")+(Recommendations[ImplStatus]="Compensated"))*ISNUMBER(MATCH(Recommendations[Id],F67:AS67,0)))/COUNTIF(F67:AS67,"&lt;&gt;"))</f>
        <v/>
      </c>
      <c r="F67" s="217"/>
      <c r="G67" s="217"/>
      <c r="H67" s="217"/>
      <c r="I67" s="217"/>
      <c r="J67" s="217"/>
      <c r="K67" s="217"/>
      <c r="L67" s="217"/>
      <c r="M67" s="217"/>
      <c r="N67" s="217"/>
      <c r="O67" s="217"/>
      <c r="P67" s="217"/>
      <c r="Q67" s="217"/>
      <c r="R67" s="217"/>
      <c r="S67" s="217"/>
      <c r="T67" s="217"/>
      <c r="U67" s="217"/>
      <c r="V67" s="217"/>
      <c r="W67" s="217"/>
      <c r="X67" s="217"/>
      <c r="Y67" s="217"/>
      <c r="Z67" s="217"/>
      <c r="AA67" s="217"/>
      <c r="AB67" s="217"/>
      <c r="AC67" s="217"/>
      <c r="AD67" s="217"/>
      <c r="AE67" s="217"/>
      <c r="AF67" s="217"/>
      <c r="AG67" s="217"/>
      <c r="AH67" s="217"/>
      <c r="AI67" s="217"/>
      <c r="AJ67" s="217"/>
      <c r="AK67" s="217"/>
      <c r="AL67" s="217"/>
      <c r="AM67" s="217"/>
      <c r="AN67" s="217"/>
      <c r="AO67" s="217"/>
      <c r="AP67" s="217"/>
      <c r="AQ67" s="217"/>
      <c r="AR67" s="217"/>
      <c r="AS67" s="227"/>
    </row>
    <row r="68" spans="1:45" ht="60" customHeight="1" x14ac:dyDescent="0.35">
      <c r="A68" s="224" t="s">
        <v>4733</v>
      </c>
      <c r="B68" s="211" t="s">
        <v>4744</v>
      </c>
      <c r="C68" s="212" t="s">
        <v>4745</v>
      </c>
      <c r="D68" s="214" t="s">
        <v>4746</v>
      </c>
      <c r="E68" s="216" t="str">
        <f>IF(COUNTIF(F68:AS68,"&lt;&gt;")=0,"",SUMPRODUCT(((Recommendations[ImplStatus]="Implemented")+(Recommendations[ImplStatus]="Compensated"))*ISNUMBER(MATCH(Recommendations[Id],F68:AS68,0)))/COUNTIF(F68:AS68,"&lt;&gt;"))</f>
        <v/>
      </c>
      <c r="F68" s="217"/>
      <c r="G68" s="217"/>
      <c r="H68" s="217"/>
      <c r="I68" s="217"/>
      <c r="J68" s="217"/>
      <c r="K68" s="217"/>
      <c r="L68" s="217"/>
      <c r="M68" s="217"/>
      <c r="N68" s="217"/>
      <c r="O68" s="217"/>
      <c r="P68" s="217"/>
      <c r="Q68" s="217"/>
      <c r="R68" s="217"/>
      <c r="S68" s="217"/>
      <c r="T68" s="217"/>
      <c r="U68" s="217"/>
      <c r="V68" s="217"/>
      <c r="W68" s="217"/>
      <c r="X68" s="217"/>
      <c r="Y68" s="217"/>
      <c r="Z68" s="217"/>
      <c r="AA68" s="217"/>
      <c r="AB68" s="217"/>
      <c r="AC68" s="217"/>
      <c r="AD68" s="217"/>
      <c r="AE68" s="217"/>
      <c r="AF68" s="217"/>
      <c r="AG68" s="217"/>
      <c r="AH68" s="217"/>
      <c r="AI68" s="217"/>
      <c r="AJ68" s="217"/>
      <c r="AK68" s="217"/>
      <c r="AL68" s="217"/>
      <c r="AM68" s="217"/>
      <c r="AN68" s="217"/>
      <c r="AO68" s="217"/>
      <c r="AP68" s="217"/>
      <c r="AQ68" s="217"/>
      <c r="AR68" s="217"/>
      <c r="AS68" s="227"/>
    </row>
    <row r="69" spans="1:45" ht="60" customHeight="1" x14ac:dyDescent="0.35">
      <c r="A69" s="224" t="s">
        <v>4733</v>
      </c>
      <c r="B69" s="211" t="s">
        <v>4747</v>
      </c>
      <c r="C69" s="212" t="s">
        <v>4748</v>
      </c>
      <c r="D69" s="214" t="s">
        <v>4749</v>
      </c>
      <c r="E69" s="216" t="str">
        <f>IF(COUNTIF(F69:AS69,"&lt;&gt;")=0,"",SUMPRODUCT(((Recommendations[ImplStatus]="Implemented")+(Recommendations[ImplStatus]="Compensated"))*ISNUMBER(MATCH(Recommendations[Id],F69:AS69,0)))/COUNTIF(F69:AS69,"&lt;&gt;"))</f>
        <v/>
      </c>
      <c r="F69" s="217"/>
      <c r="G69" s="217"/>
      <c r="H69" s="217"/>
      <c r="I69" s="217"/>
      <c r="J69" s="217"/>
      <c r="K69" s="217"/>
      <c r="L69" s="217"/>
      <c r="M69" s="217"/>
      <c r="N69" s="217"/>
      <c r="O69" s="217"/>
      <c r="P69" s="217"/>
      <c r="Q69" s="217"/>
      <c r="R69" s="217"/>
      <c r="S69" s="217"/>
      <c r="T69" s="217"/>
      <c r="U69" s="217"/>
      <c r="V69" s="217"/>
      <c r="W69" s="217"/>
      <c r="X69" s="217"/>
      <c r="Y69" s="217"/>
      <c r="Z69" s="217"/>
      <c r="AA69" s="217"/>
      <c r="AB69" s="217"/>
      <c r="AC69" s="217"/>
      <c r="AD69" s="217"/>
      <c r="AE69" s="217"/>
      <c r="AF69" s="217"/>
      <c r="AG69" s="217"/>
      <c r="AH69" s="217"/>
      <c r="AI69" s="217"/>
      <c r="AJ69" s="217"/>
      <c r="AK69" s="217"/>
      <c r="AL69" s="217"/>
      <c r="AM69" s="217"/>
      <c r="AN69" s="217"/>
      <c r="AO69" s="217"/>
      <c r="AP69" s="217"/>
      <c r="AQ69" s="217"/>
      <c r="AR69" s="217"/>
      <c r="AS69" s="227"/>
    </row>
    <row r="70" spans="1:45" ht="60" customHeight="1" x14ac:dyDescent="0.35">
      <c r="A70" s="224" t="s">
        <v>4733</v>
      </c>
      <c r="B70" s="211" t="s">
        <v>4750</v>
      </c>
      <c r="C70" s="212" t="s">
        <v>4751</v>
      </c>
      <c r="D70" s="214" t="s">
        <v>4752</v>
      </c>
      <c r="E70" s="216" t="str">
        <f>IF(COUNTIF(F70:AS70,"&lt;&gt;")=0,"",SUMPRODUCT(((Recommendations[ImplStatus]="Implemented")+(Recommendations[ImplStatus]="Compensated"))*ISNUMBER(MATCH(Recommendations[Id],F70:AS70,0)))/COUNTIF(F70:AS70,"&lt;&gt;"))</f>
        <v/>
      </c>
      <c r="F70" s="217"/>
      <c r="G70" s="217"/>
      <c r="H70" s="217"/>
      <c r="I70" s="217"/>
      <c r="J70" s="217"/>
      <c r="K70" s="217"/>
      <c r="L70" s="217"/>
      <c r="M70" s="217"/>
      <c r="N70" s="217"/>
      <c r="O70" s="217"/>
      <c r="P70" s="217"/>
      <c r="Q70" s="217"/>
      <c r="R70" s="217"/>
      <c r="S70" s="217"/>
      <c r="T70" s="217"/>
      <c r="U70" s="217"/>
      <c r="V70" s="217"/>
      <c r="W70" s="217"/>
      <c r="X70" s="217"/>
      <c r="Y70" s="217"/>
      <c r="Z70" s="217"/>
      <c r="AA70" s="217"/>
      <c r="AB70" s="217"/>
      <c r="AC70" s="217"/>
      <c r="AD70" s="217"/>
      <c r="AE70" s="217"/>
      <c r="AF70" s="217"/>
      <c r="AG70" s="217"/>
      <c r="AH70" s="217"/>
      <c r="AI70" s="217"/>
      <c r="AJ70" s="217"/>
      <c r="AK70" s="217"/>
      <c r="AL70" s="217"/>
      <c r="AM70" s="217"/>
      <c r="AN70" s="217"/>
      <c r="AO70" s="217"/>
      <c r="AP70" s="217"/>
      <c r="AQ70" s="217"/>
      <c r="AR70" s="217"/>
      <c r="AS70" s="227"/>
    </row>
    <row r="71" spans="1:45" ht="60" customHeight="1" x14ac:dyDescent="0.35">
      <c r="A71" s="224" t="s">
        <v>4733</v>
      </c>
      <c r="B71" s="211" t="s">
        <v>4753</v>
      </c>
      <c r="C71" s="212" t="s">
        <v>4754</v>
      </c>
      <c r="D71" s="214" t="s">
        <v>4755</v>
      </c>
      <c r="E71" s="216" t="str">
        <f>IF(COUNTIF(F71:AS71,"&lt;&gt;")=0,"",SUMPRODUCT(((Recommendations[ImplStatus]="Implemented")+(Recommendations[ImplStatus]="Compensated"))*ISNUMBER(MATCH(Recommendations[Id],F71:AS71,0)))/COUNTIF(F71:AS71,"&lt;&gt;"))</f>
        <v/>
      </c>
      <c r="F71" s="217"/>
      <c r="G71" s="217"/>
      <c r="H71" s="217"/>
      <c r="I71" s="217"/>
      <c r="J71" s="217"/>
      <c r="K71" s="217"/>
      <c r="L71" s="217"/>
      <c r="M71" s="217"/>
      <c r="N71" s="217"/>
      <c r="O71" s="217"/>
      <c r="P71" s="217"/>
      <c r="Q71" s="217"/>
      <c r="R71" s="217"/>
      <c r="S71" s="217"/>
      <c r="T71" s="217"/>
      <c r="U71" s="217"/>
      <c r="V71" s="217"/>
      <c r="W71" s="217"/>
      <c r="X71" s="217"/>
      <c r="Y71" s="217"/>
      <c r="Z71" s="217"/>
      <c r="AA71" s="217"/>
      <c r="AB71" s="217"/>
      <c r="AC71" s="217"/>
      <c r="AD71" s="217"/>
      <c r="AE71" s="217"/>
      <c r="AF71" s="217"/>
      <c r="AG71" s="217"/>
      <c r="AH71" s="217"/>
      <c r="AI71" s="217"/>
      <c r="AJ71" s="217"/>
      <c r="AK71" s="217"/>
      <c r="AL71" s="217"/>
      <c r="AM71" s="217"/>
      <c r="AN71" s="217"/>
      <c r="AO71" s="217"/>
      <c r="AP71" s="217"/>
      <c r="AQ71" s="217"/>
      <c r="AR71" s="217"/>
      <c r="AS71" s="227"/>
    </row>
    <row r="72" spans="1:45" ht="60" customHeight="1" x14ac:dyDescent="0.35">
      <c r="A72" s="224" t="s">
        <v>4733</v>
      </c>
      <c r="B72" s="211" t="s">
        <v>4756</v>
      </c>
      <c r="C72" s="212" t="s">
        <v>4757</v>
      </c>
      <c r="D72" s="214" t="s">
        <v>4758</v>
      </c>
      <c r="E72" s="216" t="str">
        <f>IF(COUNTIF(F72:AS72,"&lt;&gt;")=0,"",SUMPRODUCT(((Recommendations[ImplStatus]="Implemented")+(Recommendations[ImplStatus]="Compensated"))*ISNUMBER(MATCH(Recommendations[Id],F72:AS72,0)))/COUNTIF(F72:AS72,"&lt;&gt;"))</f>
        <v/>
      </c>
      <c r="F72" s="217"/>
      <c r="G72" s="217"/>
      <c r="H72" s="217"/>
      <c r="I72" s="217"/>
      <c r="J72" s="217"/>
      <c r="K72" s="217"/>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27"/>
    </row>
    <row r="73" spans="1:45" ht="60" customHeight="1" x14ac:dyDescent="0.35">
      <c r="A73" s="224" t="s">
        <v>4733</v>
      </c>
      <c r="B73" s="211" t="s">
        <v>4759</v>
      </c>
      <c r="C73" s="212" t="s">
        <v>4760</v>
      </c>
      <c r="D73" s="214" t="s">
        <v>4761</v>
      </c>
      <c r="E73" s="216" t="str">
        <f>IF(COUNTIF(F73:AS73,"&lt;&gt;")=0,"",SUMPRODUCT(((Recommendations[ImplStatus]="Implemented")+(Recommendations[ImplStatus]="Compensated"))*ISNUMBER(MATCH(Recommendations[Id],F73:AS73,0)))/COUNTIF(F73:AS73,"&lt;&gt;"))</f>
        <v/>
      </c>
      <c r="F73" s="217"/>
      <c r="G73" s="217"/>
      <c r="H73" s="217"/>
      <c r="I73" s="217"/>
      <c r="J73" s="217"/>
      <c r="K73" s="217"/>
      <c r="L73" s="217"/>
      <c r="M73" s="217"/>
      <c r="N73" s="217"/>
      <c r="O73" s="217"/>
      <c r="P73" s="217"/>
      <c r="Q73" s="217"/>
      <c r="R73" s="217"/>
      <c r="S73" s="217"/>
      <c r="T73" s="217"/>
      <c r="U73" s="217"/>
      <c r="V73" s="217"/>
      <c r="W73" s="217"/>
      <c r="X73" s="217"/>
      <c r="Y73" s="217"/>
      <c r="Z73" s="217"/>
      <c r="AA73" s="217"/>
      <c r="AB73" s="217"/>
      <c r="AC73" s="217"/>
      <c r="AD73" s="217"/>
      <c r="AE73" s="217"/>
      <c r="AF73" s="217"/>
      <c r="AG73" s="217"/>
      <c r="AH73" s="217"/>
      <c r="AI73" s="217"/>
      <c r="AJ73" s="217"/>
      <c r="AK73" s="217"/>
      <c r="AL73" s="217"/>
      <c r="AM73" s="217"/>
      <c r="AN73" s="217"/>
      <c r="AO73" s="217"/>
      <c r="AP73" s="217"/>
      <c r="AQ73" s="217"/>
      <c r="AR73" s="217"/>
      <c r="AS73" s="227"/>
    </row>
    <row r="74" spans="1:45" ht="60" customHeight="1" x14ac:dyDescent="0.35">
      <c r="A74" s="224" t="s">
        <v>4733</v>
      </c>
      <c r="B74" s="211" t="s">
        <v>4762</v>
      </c>
      <c r="C74" s="212" t="s">
        <v>4763</v>
      </c>
      <c r="D74" s="214" t="s">
        <v>4764</v>
      </c>
      <c r="E74" s="216" t="str">
        <f>IF(COUNTIF(F74:AS74,"&lt;&gt;")=0,"",SUMPRODUCT(((Recommendations[ImplStatus]="Implemented")+(Recommendations[ImplStatus]="Compensated"))*ISNUMBER(MATCH(Recommendations[Id],F74:AS74,0)))/COUNTIF(F74:AS74,"&lt;&gt;"))</f>
        <v/>
      </c>
      <c r="F74" s="217"/>
      <c r="G74" s="217"/>
      <c r="H74" s="217"/>
      <c r="I74" s="217"/>
      <c r="J74" s="217"/>
      <c r="K74" s="217"/>
      <c r="L74" s="217"/>
      <c r="M74" s="217"/>
      <c r="N74" s="217"/>
      <c r="O74" s="217"/>
      <c r="P74" s="217"/>
      <c r="Q74" s="217"/>
      <c r="R74" s="217"/>
      <c r="S74" s="217"/>
      <c r="T74" s="217"/>
      <c r="U74" s="217"/>
      <c r="V74" s="217"/>
      <c r="W74" s="217"/>
      <c r="X74" s="217"/>
      <c r="Y74" s="217"/>
      <c r="Z74" s="217"/>
      <c r="AA74" s="217"/>
      <c r="AB74" s="217"/>
      <c r="AC74" s="217"/>
      <c r="AD74" s="217"/>
      <c r="AE74" s="217"/>
      <c r="AF74" s="217"/>
      <c r="AG74" s="217"/>
      <c r="AH74" s="217"/>
      <c r="AI74" s="217"/>
      <c r="AJ74" s="217"/>
      <c r="AK74" s="217"/>
      <c r="AL74" s="217"/>
      <c r="AM74" s="217"/>
      <c r="AN74" s="217"/>
      <c r="AO74" s="217"/>
      <c r="AP74" s="217"/>
      <c r="AQ74" s="217"/>
      <c r="AR74" s="217"/>
      <c r="AS74" s="227"/>
    </row>
    <row r="75" spans="1:45" ht="60" customHeight="1" x14ac:dyDescent="0.35">
      <c r="A75" s="224" t="s">
        <v>4733</v>
      </c>
      <c r="B75" s="211" t="s">
        <v>4765</v>
      </c>
      <c r="C75" s="212" t="s">
        <v>4766</v>
      </c>
      <c r="D75" s="214" t="s">
        <v>4767</v>
      </c>
      <c r="E75" s="216" t="str">
        <f>IF(COUNTIF(F75:AS75,"&lt;&gt;")=0,"",SUMPRODUCT(((Recommendations[ImplStatus]="Implemented")+(Recommendations[ImplStatus]="Compensated"))*ISNUMBER(MATCH(Recommendations[Id],F75:AS75,0)))/COUNTIF(F75:AS75,"&lt;&gt;"))</f>
        <v/>
      </c>
      <c r="F75" s="217"/>
      <c r="G75" s="217"/>
      <c r="H75" s="217"/>
      <c r="I75" s="217"/>
      <c r="J75" s="217"/>
      <c r="K75" s="217"/>
      <c r="L75" s="217"/>
      <c r="M75" s="217"/>
      <c r="N75" s="217"/>
      <c r="O75" s="217"/>
      <c r="P75" s="217"/>
      <c r="Q75" s="217"/>
      <c r="R75" s="217"/>
      <c r="S75" s="217"/>
      <c r="T75" s="217"/>
      <c r="U75" s="217"/>
      <c r="V75" s="217"/>
      <c r="W75" s="217"/>
      <c r="X75" s="217"/>
      <c r="Y75" s="217"/>
      <c r="Z75" s="217"/>
      <c r="AA75" s="217"/>
      <c r="AB75" s="217"/>
      <c r="AC75" s="217"/>
      <c r="AD75" s="217"/>
      <c r="AE75" s="217"/>
      <c r="AF75" s="217"/>
      <c r="AG75" s="217"/>
      <c r="AH75" s="217"/>
      <c r="AI75" s="217"/>
      <c r="AJ75" s="217"/>
      <c r="AK75" s="217"/>
      <c r="AL75" s="217"/>
      <c r="AM75" s="217"/>
      <c r="AN75" s="217"/>
      <c r="AO75" s="217"/>
      <c r="AP75" s="217"/>
      <c r="AQ75" s="217"/>
      <c r="AR75" s="217"/>
      <c r="AS75" s="227"/>
    </row>
    <row r="76" spans="1:45" ht="60" customHeight="1" x14ac:dyDescent="0.35">
      <c r="A76" s="224" t="s">
        <v>4733</v>
      </c>
      <c r="B76" s="211" t="s">
        <v>4768</v>
      </c>
      <c r="C76" s="212" t="s">
        <v>4769</v>
      </c>
      <c r="D76" s="214" t="s">
        <v>4770</v>
      </c>
      <c r="E76" s="216" t="str">
        <f>IF(COUNTIF(F76:AS76,"&lt;&gt;")=0,"",SUMPRODUCT(((Recommendations[ImplStatus]="Implemented")+(Recommendations[ImplStatus]="Compensated"))*ISNUMBER(MATCH(Recommendations[Id],F76:AS76,0)))/COUNTIF(F76:AS76,"&lt;&gt;"))</f>
        <v/>
      </c>
      <c r="F76" s="217"/>
      <c r="G76" s="217"/>
      <c r="H76" s="217"/>
      <c r="I76" s="217"/>
      <c r="J76" s="217"/>
      <c r="K76" s="217"/>
      <c r="L76" s="217"/>
      <c r="M76" s="217"/>
      <c r="N76" s="217"/>
      <c r="O76" s="217"/>
      <c r="P76" s="217"/>
      <c r="Q76" s="217"/>
      <c r="R76" s="217"/>
      <c r="S76" s="217"/>
      <c r="T76" s="217"/>
      <c r="U76" s="217"/>
      <c r="V76" s="217"/>
      <c r="W76" s="217"/>
      <c r="X76" s="217"/>
      <c r="Y76" s="217"/>
      <c r="Z76" s="217"/>
      <c r="AA76" s="217"/>
      <c r="AB76" s="217"/>
      <c r="AC76" s="217"/>
      <c r="AD76" s="217"/>
      <c r="AE76" s="217"/>
      <c r="AF76" s="217"/>
      <c r="AG76" s="217"/>
      <c r="AH76" s="217"/>
      <c r="AI76" s="217"/>
      <c r="AJ76" s="217"/>
      <c r="AK76" s="217"/>
      <c r="AL76" s="217"/>
      <c r="AM76" s="217"/>
      <c r="AN76" s="217"/>
      <c r="AO76" s="217"/>
      <c r="AP76" s="217"/>
      <c r="AQ76" s="217"/>
      <c r="AR76" s="217"/>
      <c r="AS76" s="227"/>
    </row>
    <row r="77" spans="1:45" ht="60" customHeight="1" x14ac:dyDescent="0.35">
      <c r="A77" s="224" t="s">
        <v>4733</v>
      </c>
      <c r="B77" s="211" t="s">
        <v>4771</v>
      </c>
      <c r="C77" s="212" t="s">
        <v>4772</v>
      </c>
      <c r="D77" s="214" t="s">
        <v>4773</v>
      </c>
      <c r="E77" s="216" t="str">
        <f>IF(COUNTIF(F77:AS77,"&lt;&gt;")=0,"",SUMPRODUCT(((Recommendations[ImplStatus]="Implemented")+(Recommendations[ImplStatus]="Compensated"))*ISNUMBER(MATCH(Recommendations[Id],F77:AS77,0)))/COUNTIF(F77:AS77,"&lt;&gt;"))</f>
        <v/>
      </c>
      <c r="F77" s="217"/>
      <c r="G77" s="217"/>
      <c r="H77" s="217"/>
      <c r="I77" s="217"/>
      <c r="J77" s="217"/>
      <c r="K77" s="217"/>
      <c r="L77" s="217"/>
      <c r="M77" s="217"/>
      <c r="N77" s="217"/>
      <c r="O77" s="217"/>
      <c r="P77" s="217"/>
      <c r="Q77" s="217"/>
      <c r="R77" s="217"/>
      <c r="S77" s="217"/>
      <c r="T77" s="217"/>
      <c r="U77" s="217"/>
      <c r="V77" s="217"/>
      <c r="W77" s="217"/>
      <c r="X77" s="217"/>
      <c r="Y77" s="217"/>
      <c r="Z77" s="217"/>
      <c r="AA77" s="217"/>
      <c r="AB77" s="217"/>
      <c r="AC77" s="217"/>
      <c r="AD77" s="217"/>
      <c r="AE77" s="217"/>
      <c r="AF77" s="217"/>
      <c r="AG77" s="217"/>
      <c r="AH77" s="217"/>
      <c r="AI77" s="217"/>
      <c r="AJ77" s="217"/>
      <c r="AK77" s="217"/>
      <c r="AL77" s="217"/>
      <c r="AM77" s="217"/>
      <c r="AN77" s="217"/>
      <c r="AO77" s="217"/>
      <c r="AP77" s="217"/>
      <c r="AQ77" s="217"/>
      <c r="AR77" s="217"/>
      <c r="AS77" s="227"/>
    </row>
    <row r="78" spans="1:45" ht="60" customHeight="1" x14ac:dyDescent="0.35">
      <c r="A78" s="224" t="s">
        <v>4733</v>
      </c>
      <c r="B78" s="211" t="s">
        <v>4774</v>
      </c>
      <c r="C78" s="212" t="s">
        <v>4775</v>
      </c>
      <c r="D78" s="214" t="s">
        <v>4776</v>
      </c>
      <c r="E78" s="216" t="str">
        <f>IF(COUNTIF(F78:AS78,"&lt;&gt;")=0,"",SUMPRODUCT(((Recommendations[ImplStatus]="Implemented")+(Recommendations[ImplStatus]="Compensated"))*ISNUMBER(MATCH(Recommendations[Id],F78:AS78,0)))/COUNTIF(F78:AS78,"&lt;&gt;"))</f>
        <v/>
      </c>
      <c r="F78" s="217"/>
      <c r="G78" s="217"/>
      <c r="H78" s="217"/>
      <c r="I78" s="217"/>
      <c r="J78" s="217"/>
      <c r="K78" s="217"/>
      <c r="L78" s="217"/>
      <c r="M78" s="217"/>
      <c r="N78" s="217"/>
      <c r="O78" s="217"/>
      <c r="P78" s="217"/>
      <c r="Q78" s="217"/>
      <c r="R78" s="217"/>
      <c r="S78" s="217"/>
      <c r="T78" s="217"/>
      <c r="U78" s="217"/>
      <c r="V78" s="217"/>
      <c r="W78" s="217"/>
      <c r="X78" s="217"/>
      <c r="Y78" s="217"/>
      <c r="Z78" s="217"/>
      <c r="AA78" s="217"/>
      <c r="AB78" s="217"/>
      <c r="AC78" s="217"/>
      <c r="AD78" s="217"/>
      <c r="AE78" s="217"/>
      <c r="AF78" s="217"/>
      <c r="AG78" s="217"/>
      <c r="AH78" s="217"/>
      <c r="AI78" s="217"/>
      <c r="AJ78" s="217"/>
      <c r="AK78" s="217"/>
      <c r="AL78" s="217"/>
      <c r="AM78" s="217"/>
      <c r="AN78" s="217"/>
      <c r="AO78" s="217"/>
      <c r="AP78" s="217"/>
      <c r="AQ78" s="217"/>
      <c r="AR78" s="217"/>
      <c r="AS78" s="227"/>
    </row>
    <row r="79" spans="1:45" ht="60" customHeight="1" x14ac:dyDescent="0.35">
      <c r="A79" s="224" t="s">
        <v>4733</v>
      </c>
      <c r="B79" s="211" t="s">
        <v>4777</v>
      </c>
      <c r="C79" s="212" t="s">
        <v>4778</v>
      </c>
      <c r="D79" s="214" t="s">
        <v>4779</v>
      </c>
      <c r="E79" s="216" t="str">
        <f>IF(COUNTIF(F79:AS79,"&lt;&gt;")=0,"",SUMPRODUCT(((Recommendations[ImplStatus]="Implemented")+(Recommendations[ImplStatus]="Compensated"))*ISNUMBER(MATCH(Recommendations[Id],F79:AS79,0)))/COUNTIF(F79:AS79,"&lt;&gt;"))</f>
        <v/>
      </c>
      <c r="F79" s="217"/>
      <c r="G79" s="217"/>
      <c r="H79" s="217"/>
      <c r="I79" s="217"/>
      <c r="J79" s="217"/>
      <c r="K79" s="217"/>
      <c r="L79" s="217"/>
      <c r="M79" s="217"/>
      <c r="N79" s="217"/>
      <c r="O79" s="217"/>
      <c r="P79" s="217"/>
      <c r="Q79" s="217"/>
      <c r="R79" s="217"/>
      <c r="S79" s="217"/>
      <c r="T79" s="217"/>
      <c r="U79" s="217"/>
      <c r="V79" s="217"/>
      <c r="W79" s="217"/>
      <c r="X79" s="217"/>
      <c r="Y79" s="217"/>
      <c r="Z79" s="217"/>
      <c r="AA79" s="217"/>
      <c r="AB79" s="217"/>
      <c r="AC79" s="217"/>
      <c r="AD79" s="217"/>
      <c r="AE79" s="217"/>
      <c r="AF79" s="217"/>
      <c r="AG79" s="217"/>
      <c r="AH79" s="217"/>
      <c r="AI79" s="217"/>
      <c r="AJ79" s="217"/>
      <c r="AK79" s="217"/>
      <c r="AL79" s="217"/>
      <c r="AM79" s="217"/>
      <c r="AN79" s="217"/>
      <c r="AO79" s="217"/>
      <c r="AP79" s="217"/>
      <c r="AQ79" s="217"/>
      <c r="AR79" s="217"/>
      <c r="AS79" s="227"/>
    </row>
    <row r="80" spans="1:45" ht="60" customHeight="1" x14ac:dyDescent="0.35">
      <c r="A80" s="224" t="s">
        <v>4733</v>
      </c>
      <c r="B80" s="211" t="s">
        <v>4780</v>
      </c>
      <c r="C80" s="212" t="s">
        <v>4781</v>
      </c>
      <c r="D80" s="214" t="s">
        <v>4782</v>
      </c>
      <c r="E80" s="216" t="str">
        <f>IF(COUNTIF(F80:AS80,"&lt;&gt;")=0,"",SUMPRODUCT(((Recommendations[ImplStatus]="Implemented")+(Recommendations[ImplStatus]="Compensated"))*ISNUMBER(MATCH(Recommendations[Id],F80:AS80,0)))/COUNTIF(F80:AS80,"&lt;&gt;"))</f>
        <v/>
      </c>
      <c r="F80" s="217"/>
      <c r="G80" s="217"/>
      <c r="H80" s="217"/>
      <c r="I80" s="217"/>
      <c r="J80" s="217"/>
      <c r="K80" s="217"/>
      <c r="L80" s="217"/>
      <c r="M80" s="217"/>
      <c r="N80" s="217"/>
      <c r="O80" s="217"/>
      <c r="P80" s="217"/>
      <c r="Q80" s="217"/>
      <c r="R80" s="217"/>
      <c r="S80" s="217"/>
      <c r="T80" s="217"/>
      <c r="U80" s="217"/>
      <c r="V80" s="217"/>
      <c r="W80" s="217"/>
      <c r="X80" s="217"/>
      <c r="Y80" s="217"/>
      <c r="Z80" s="217"/>
      <c r="AA80" s="217"/>
      <c r="AB80" s="217"/>
      <c r="AC80" s="217"/>
      <c r="AD80" s="217"/>
      <c r="AE80" s="217"/>
      <c r="AF80" s="217"/>
      <c r="AG80" s="217"/>
      <c r="AH80" s="217"/>
      <c r="AI80" s="217"/>
      <c r="AJ80" s="217"/>
      <c r="AK80" s="217"/>
      <c r="AL80" s="217"/>
      <c r="AM80" s="217"/>
      <c r="AN80" s="217"/>
      <c r="AO80" s="217"/>
      <c r="AP80" s="217"/>
      <c r="AQ80" s="217"/>
      <c r="AR80" s="217"/>
      <c r="AS80" s="227"/>
    </row>
    <row r="81" spans="1:45" ht="60" customHeight="1" x14ac:dyDescent="0.35">
      <c r="A81" s="224" t="s">
        <v>4733</v>
      </c>
      <c r="B81" s="211" t="s">
        <v>4783</v>
      </c>
      <c r="C81" s="212" t="s">
        <v>4784</v>
      </c>
      <c r="D81" s="214" t="s">
        <v>4785</v>
      </c>
      <c r="E81" s="216" t="str">
        <f>IF(COUNTIF(F81:AS81,"&lt;&gt;")=0,"",SUMPRODUCT(((Recommendations[ImplStatus]="Implemented")+(Recommendations[ImplStatus]="Compensated"))*ISNUMBER(MATCH(Recommendations[Id],F81:AS81,0)))/COUNTIF(F81:AS81,"&lt;&gt;"))</f>
        <v/>
      </c>
      <c r="F81" s="217"/>
      <c r="G81" s="217"/>
      <c r="H81" s="217"/>
      <c r="I81" s="217"/>
      <c r="J81" s="217"/>
      <c r="K81" s="217"/>
      <c r="L81" s="217"/>
      <c r="M81" s="217"/>
      <c r="N81" s="217"/>
      <c r="O81" s="217"/>
      <c r="P81" s="217"/>
      <c r="Q81" s="217"/>
      <c r="R81" s="217"/>
      <c r="S81" s="217"/>
      <c r="T81" s="217"/>
      <c r="U81" s="217"/>
      <c r="V81" s="217"/>
      <c r="W81" s="217"/>
      <c r="X81" s="217"/>
      <c r="Y81" s="217"/>
      <c r="Z81" s="217"/>
      <c r="AA81" s="217"/>
      <c r="AB81" s="217"/>
      <c r="AC81" s="217"/>
      <c r="AD81" s="217"/>
      <c r="AE81" s="217"/>
      <c r="AF81" s="217"/>
      <c r="AG81" s="217"/>
      <c r="AH81" s="217"/>
      <c r="AI81" s="217"/>
      <c r="AJ81" s="217"/>
      <c r="AK81" s="217"/>
      <c r="AL81" s="217"/>
      <c r="AM81" s="217"/>
      <c r="AN81" s="217"/>
      <c r="AO81" s="217"/>
      <c r="AP81" s="217"/>
      <c r="AQ81" s="217"/>
      <c r="AR81" s="217"/>
      <c r="AS81" s="227"/>
    </row>
    <row r="82" spans="1:45" ht="60" customHeight="1" x14ac:dyDescent="0.35">
      <c r="A82" s="224" t="s">
        <v>4733</v>
      </c>
      <c r="B82" s="211" t="s">
        <v>4786</v>
      </c>
      <c r="C82" s="212" t="s">
        <v>4787</v>
      </c>
      <c r="D82" s="214" t="s">
        <v>4788</v>
      </c>
      <c r="E82" s="216" t="str">
        <f>IF(COUNTIF(F82:AS82,"&lt;&gt;")=0,"",SUMPRODUCT(((Recommendations[ImplStatus]="Implemented")+(Recommendations[ImplStatus]="Compensated"))*ISNUMBER(MATCH(Recommendations[Id],F82:AS82,0)))/COUNTIF(F82:AS82,"&lt;&gt;"))</f>
        <v/>
      </c>
      <c r="F82" s="217"/>
      <c r="G82" s="217"/>
      <c r="H82" s="217"/>
      <c r="I82" s="217"/>
      <c r="J82" s="217"/>
      <c r="K82" s="217"/>
      <c r="L82" s="217"/>
      <c r="M82" s="217"/>
      <c r="N82" s="217"/>
      <c r="O82" s="217"/>
      <c r="P82" s="217"/>
      <c r="Q82" s="217"/>
      <c r="R82" s="217"/>
      <c r="S82" s="217"/>
      <c r="T82" s="217"/>
      <c r="U82" s="217"/>
      <c r="V82" s="217"/>
      <c r="W82" s="217"/>
      <c r="X82" s="217"/>
      <c r="Y82" s="217"/>
      <c r="Z82" s="217"/>
      <c r="AA82" s="217"/>
      <c r="AB82" s="217"/>
      <c r="AC82" s="217"/>
      <c r="AD82" s="217"/>
      <c r="AE82" s="217"/>
      <c r="AF82" s="217"/>
      <c r="AG82" s="217"/>
      <c r="AH82" s="217"/>
      <c r="AI82" s="217"/>
      <c r="AJ82" s="217"/>
      <c r="AK82" s="217"/>
      <c r="AL82" s="217"/>
      <c r="AM82" s="217"/>
      <c r="AN82" s="217"/>
      <c r="AO82" s="217"/>
      <c r="AP82" s="217"/>
      <c r="AQ82" s="217"/>
      <c r="AR82" s="217"/>
      <c r="AS82" s="227"/>
    </row>
    <row r="83" spans="1:45" ht="60" customHeight="1" x14ac:dyDescent="0.35">
      <c r="A83" s="224" t="s">
        <v>4733</v>
      </c>
      <c r="B83" s="211" t="s">
        <v>4789</v>
      </c>
      <c r="C83" s="212" t="s">
        <v>4790</v>
      </c>
      <c r="D83" s="214" t="s">
        <v>4791</v>
      </c>
      <c r="E83" s="216" t="str">
        <f>IF(COUNTIF(F83:AS83,"&lt;&gt;")=0,"",SUMPRODUCT(((Recommendations[ImplStatus]="Implemented")+(Recommendations[ImplStatus]="Compensated"))*ISNUMBER(MATCH(Recommendations[Id],F83:AS83,0)))/COUNTIF(F83:AS83,"&lt;&gt;"))</f>
        <v/>
      </c>
      <c r="F83" s="217"/>
      <c r="G83" s="217"/>
      <c r="H83" s="217"/>
      <c r="I83" s="217"/>
      <c r="J83" s="217"/>
      <c r="K83" s="217"/>
      <c r="L83" s="217"/>
      <c r="M83" s="217"/>
      <c r="N83" s="217"/>
      <c r="O83" s="217"/>
      <c r="P83" s="217"/>
      <c r="Q83" s="217"/>
      <c r="R83" s="217"/>
      <c r="S83" s="217"/>
      <c r="T83" s="217"/>
      <c r="U83" s="217"/>
      <c r="V83" s="217"/>
      <c r="W83" s="217"/>
      <c r="X83" s="217"/>
      <c r="Y83" s="217"/>
      <c r="Z83" s="217"/>
      <c r="AA83" s="217"/>
      <c r="AB83" s="217"/>
      <c r="AC83" s="217"/>
      <c r="AD83" s="217"/>
      <c r="AE83" s="217"/>
      <c r="AF83" s="217"/>
      <c r="AG83" s="217"/>
      <c r="AH83" s="217"/>
      <c r="AI83" s="217"/>
      <c r="AJ83" s="217"/>
      <c r="AK83" s="217"/>
      <c r="AL83" s="217"/>
      <c r="AM83" s="217"/>
      <c r="AN83" s="217"/>
      <c r="AO83" s="217"/>
      <c r="AP83" s="217"/>
      <c r="AQ83" s="217"/>
      <c r="AR83" s="217"/>
      <c r="AS83" s="227"/>
    </row>
    <row r="84" spans="1:45" ht="60" customHeight="1" x14ac:dyDescent="0.35">
      <c r="A84" s="224" t="s">
        <v>4733</v>
      </c>
      <c r="B84" s="211" t="s">
        <v>4792</v>
      </c>
      <c r="C84" s="212" t="s">
        <v>4793</v>
      </c>
      <c r="D84" s="214" t="s">
        <v>4794</v>
      </c>
      <c r="E84" s="216" t="str">
        <f>IF(COUNTIF(F84:AS84,"&lt;&gt;")=0,"",SUMPRODUCT(((Recommendations[ImplStatus]="Implemented")+(Recommendations[ImplStatus]="Compensated"))*ISNUMBER(MATCH(Recommendations[Id],F84:AS84,0)))/COUNTIF(F84:AS84,"&lt;&gt;"))</f>
        <v/>
      </c>
      <c r="F84" s="217"/>
      <c r="G84" s="217"/>
      <c r="H84" s="217"/>
      <c r="I84" s="217"/>
      <c r="J84" s="217"/>
      <c r="K84" s="217"/>
      <c r="L84" s="217"/>
      <c r="M84" s="217"/>
      <c r="N84" s="217"/>
      <c r="O84" s="217"/>
      <c r="P84" s="217"/>
      <c r="Q84" s="217"/>
      <c r="R84" s="217"/>
      <c r="S84" s="217"/>
      <c r="T84" s="217"/>
      <c r="U84" s="217"/>
      <c r="V84" s="217"/>
      <c r="W84" s="217"/>
      <c r="X84" s="217"/>
      <c r="Y84" s="217"/>
      <c r="Z84" s="217"/>
      <c r="AA84" s="217"/>
      <c r="AB84" s="217"/>
      <c r="AC84" s="217"/>
      <c r="AD84" s="217"/>
      <c r="AE84" s="217"/>
      <c r="AF84" s="217"/>
      <c r="AG84" s="217"/>
      <c r="AH84" s="217"/>
      <c r="AI84" s="217"/>
      <c r="AJ84" s="217"/>
      <c r="AK84" s="217"/>
      <c r="AL84" s="217"/>
      <c r="AM84" s="217"/>
      <c r="AN84" s="217"/>
      <c r="AO84" s="217"/>
      <c r="AP84" s="217"/>
      <c r="AQ84" s="217"/>
      <c r="AR84" s="217"/>
      <c r="AS84" s="227"/>
    </row>
    <row r="85" spans="1:45" ht="60" customHeight="1" x14ac:dyDescent="0.35">
      <c r="A85" s="224" t="s">
        <v>4733</v>
      </c>
      <c r="B85" s="211" t="s">
        <v>4795</v>
      </c>
      <c r="C85" s="212" t="s">
        <v>4796</v>
      </c>
      <c r="D85" s="214" t="s">
        <v>4797</v>
      </c>
      <c r="E85" s="216" t="str">
        <f>IF(COUNTIF(F85:AS85,"&lt;&gt;")=0,"",SUMPRODUCT(((Recommendations[ImplStatus]="Implemented")+(Recommendations[ImplStatus]="Compensated"))*ISNUMBER(MATCH(Recommendations[Id],F85:AS85,0)))/COUNTIF(F85:AS85,"&lt;&gt;"))</f>
        <v/>
      </c>
      <c r="F85" s="217"/>
      <c r="G85" s="217"/>
      <c r="H85" s="217"/>
      <c r="I85" s="217"/>
      <c r="J85" s="217"/>
      <c r="K85" s="217"/>
      <c r="L85" s="217"/>
      <c r="M85" s="217"/>
      <c r="N85" s="217"/>
      <c r="O85" s="217"/>
      <c r="P85" s="217"/>
      <c r="Q85" s="217"/>
      <c r="R85" s="217"/>
      <c r="S85" s="217"/>
      <c r="T85" s="217"/>
      <c r="U85" s="217"/>
      <c r="V85" s="217"/>
      <c r="W85" s="217"/>
      <c r="X85" s="217"/>
      <c r="Y85" s="217"/>
      <c r="Z85" s="217"/>
      <c r="AA85" s="217"/>
      <c r="AB85" s="217"/>
      <c r="AC85" s="217"/>
      <c r="AD85" s="217"/>
      <c r="AE85" s="217"/>
      <c r="AF85" s="217"/>
      <c r="AG85" s="217"/>
      <c r="AH85" s="217"/>
      <c r="AI85" s="217"/>
      <c r="AJ85" s="217"/>
      <c r="AK85" s="217"/>
      <c r="AL85" s="217"/>
      <c r="AM85" s="217"/>
      <c r="AN85" s="217"/>
      <c r="AO85" s="217"/>
      <c r="AP85" s="217"/>
      <c r="AQ85" s="217"/>
      <c r="AR85" s="217"/>
      <c r="AS85" s="227"/>
    </row>
    <row r="86" spans="1:45" ht="60" customHeight="1" x14ac:dyDescent="0.35">
      <c r="A86" s="224" t="s">
        <v>4733</v>
      </c>
      <c r="B86" s="211" t="s">
        <v>4798</v>
      </c>
      <c r="C86" s="212" t="s">
        <v>4799</v>
      </c>
      <c r="D86" s="214" t="s">
        <v>4800</v>
      </c>
      <c r="E86" s="216" t="str">
        <f>IF(COUNTIF(F86:AS86,"&lt;&gt;")=0,"",SUMPRODUCT(((Recommendations[ImplStatus]="Implemented")+(Recommendations[ImplStatus]="Compensated"))*ISNUMBER(MATCH(Recommendations[Id],F86:AS86,0)))/COUNTIF(F86:AS86,"&lt;&gt;"))</f>
        <v/>
      </c>
      <c r="F86" s="217"/>
      <c r="G86" s="217"/>
      <c r="H86" s="217"/>
      <c r="I86" s="217"/>
      <c r="J86" s="217"/>
      <c r="K86" s="217"/>
      <c r="L86" s="217"/>
      <c r="M86" s="217"/>
      <c r="N86" s="217"/>
      <c r="O86" s="217"/>
      <c r="P86" s="217"/>
      <c r="Q86" s="217"/>
      <c r="R86" s="217"/>
      <c r="S86" s="217"/>
      <c r="T86" s="217"/>
      <c r="U86" s="217"/>
      <c r="V86" s="217"/>
      <c r="W86" s="217"/>
      <c r="X86" s="217"/>
      <c r="Y86" s="217"/>
      <c r="Z86" s="217"/>
      <c r="AA86" s="217"/>
      <c r="AB86" s="217"/>
      <c r="AC86" s="217"/>
      <c r="AD86" s="217"/>
      <c r="AE86" s="217"/>
      <c r="AF86" s="217"/>
      <c r="AG86" s="217"/>
      <c r="AH86" s="217"/>
      <c r="AI86" s="217"/>
      <c r="AJ86" s="217"/>
      <c r="AK86" s="217"/>
      <c r="AL86" s="217"/>
      <c r="AM86" s="217"/>
      <c r="AN86" s="217"/>
      <c r="AO86" s="217"/>
      <c r="AP86" s="217"/>
      <c r="AQ86" s="217"/>
      <c r="AR86" s="217"/>
      <c r="AS86" s="227"/>
    </row>
    <row r="87" spans="1:45" ht="60" customHeight="1" x14ac:dyDescent="0.35">
      <c r="A87" s="224" t="s">
        <v>4733</v>
      </c>
      <c r="B87" s="211" t="s">
        <v>4801</v>
      </c>
      <c r="C87" s="212" t="s">
        <v>4802</v>
      </c>
      <c r="D87" s="214" t="s">
        <v>4803</v>
      </c>
      <c r="E87" s="216" t="str">
        <f>IF(COUNTIF(F87:AS87,"&lt;&gt;")=0,"",SUMPRODUCT(((Recommendations[ImplStatus]="Implemented")+(Recommendations[ImplStatus]="Compensated"))*ISNUMBER(MATCH(Recommendations[Id],F87:AS87,0)))/COUNTIF(F87:AS87,"&lt;&gt;"))</f>
        <v/>
      </c>
      <c r="F87" s="217"/>
      <c r="G87" s="217"/>
      <c r="H87" s="217"/>
      <c r="I87" s="217"/>
      <c r="J87" s="217"/>
      <c r="K87" s="217"/>
      <c r="L87" s="217"/>
      <c r="M87" s="217"/>
      <c r="N87" s="217"/>
      <c r="O87" s="217"/>
      <c r="P87" s="217"/>
      <c r="Q87" s="217"/>
      <c r="R87" s="217"/>
      <c r="S87" s="217"/>
      <c r="T87" s="217"/>
      <c r="U87" s="217"/>
      <c r="V87" s="217"/>
      <c r="W87" s="217"/>
      <c r="X87" s="217"/>
      <c r="Y87" s="217"/>
      <c r="Z87" s="217"/>
      <c r="AA87" s="217"/>
      <c r="AB87" s="217"/>
      <c r="AC87" s="217"/>
      <c r="AD87" s="217"/>
      <c r="AE87" s="217"/>
      <c r="AF87" s="217"/>
      <c r="AG87" s="217"/>
      <c r="AH87" s="217"/>
      <c r="AI87" s="217"/>
      <c r="AJ87" s="217"/>
      <c r="AK87" s="217"/>
      <c r="AL87" s="217"/>
      <c r="AM87" s="217"/>
      <c r="AN87" s="217"/>
      <c r="AO87" s="217"/>
      <c r="AP87" s="217"/>
      <c r="AQ87" s="217"/>
      <c r="AR87" s="217"/>
      <c r="AS87" s="227"/>
    </row>
    <row r="88" spans="1:45" ht="60" customHeight="1" x14ac:dyDescent="0.35">
      <c r="A88" s="224" t="s">
        <v>4733</v>
      </c>
      <c r="B88" s="211" t="s">
        <v>4804</v>
      </c>
      <c r="C88" s="212" t="s">
        <v>4805</v>
      </c>
      <c r="D88" s="214" t="s">
        <v>4806</v>
      </c>
      <c r="E88" s="216" t="str">
        <f>IF(COUNTIF(F88:AS88,"&lt;&gt;")=0,"",SUMPRODUCT(((Recommendations[ImplStatus]="Implemented")+(Recommendations[ImplStatus]="Compensated"))*ISNUMBER(MATCH(Recommendations[Id],F88:AS88,0)))/COUNTIF(F88:AS88,"&lt;&gt;"))</f>
        <v/>
      </c>
      <c r="F88" s="217"/>
      <c r="G88" s="217"/>
      <c r="H88" s="217"/>
      <c r="I88" s="217"/>
      <c r="J88" s="217"/>
      <c r="K88" s="217"/>
      <c r="L88" s="217"/>
      <c r="M88" s="217"/>
      <c r="N88" s="217"/>
      <c r="O88" s="217"/>
      <c r="P88" s="217"/>
      <c r="Q88" s="217"/>
      <c r="R88" s="217"/>
      <c r="S88" s="217"/>
      <c r="T88" s="217"/>
      <c r="U88" s="217"/>
      <c r="V88" s="217"/>
      <c r="W88" s="217"/>
      <c r="X88" s="217"/>
      <c r="Y88" s="217"/>
      <c r="Z88" s="217"/>
      <c r="AA88" s="217"/>
      <c r="AB88" s="217"/>
      <c r="AC88" s="217"/>
      <c r="AD88" s="217"/>
      <c r="AE88" s="217"/>
      <c r="AF88" s="217"/>
      <c r="AG88" s="217"/>
      <c r="AH88" s="217"/>
      <c r="AI88" s="217"/>
      <c r="AJ88" s="217"/>
      <c r="AK88" s="217"/>
      <c r="AL88" s="217"/>
      <c r="AM88" s="217"/>
      <c r="AN88" s="217"/>
      <c r="AO88" s="217"/>
      <c r="AP88" s="217"/>
      <c r="AQ88" s="217"/>
      <c r="AR88" s="217"/>
      <c r="AS88" s="227"/>
    </row>
    <row r="89" spans="1:45" ht="60" customHeight="1" x14ac:dyDescent="0.35">
      <c r="A89" s="224" t="s">
        <v>4733</v>
      </c>
      <c r="B89" s="211" t="s">
        <v>4807</v>
      </c>
      <c r="C89" s="212" t="s">
        <v>4808</v>
      </c>
      <c r="D89" s="214" t="s">
        <v>4809</v>
      </c>
      <c r="E89" s="216" t="str">
        <f>IF(COUNTIF(F89:AS89,"&lt;&gt;")=0,"",SUMPRODUCT(((Recommendations[ImplStatus]="Implemented")+(Recommendations[ImplStatus]="Compensated"))*ISNUMBER(MATCH(Recommendations[Id],F89:AS89,0)))/COUNTIF(F89:AS89,"&lt;&gt;"))</f>
        <v/>
      </c>
      <c r="F89" s="217"/>
      <c r="G89" s="217"/>
      <c r="H89" s="217"/>
      <c r="I89" s="217"/>
      <c r="J89" s="217"/>
      <c r="K89" s="217"/>
      <c r="L89" s="217"/>
      <c r="M89" s="217"/>
      <c r="N89" s="217"/>
      <c r="O89" s="217"/>
      <c r="P89" s="217"/>
      <c r="Q89" s="217"/>
      <c r="R89" s="217"/>
      <c r="S89" s="217"/>
      <c r="T89" s="217"/>
      <c r="U89" s="217"/>
      <c r="V89" s="217"/>
      <c r="W89" s="217"/>
      <c r="X89" s="217"/>
      <c r="Y89" s="217"/>
      <c r="Z89" s="217"/>
      <c r="AA89" s="217"/>
      <c r="AB89" s="217"/>
      <c r="AC89" s="217"/>
      <c r="AD89" s="217"/>
      <c r="AE89" s="217"/>
      <c r="AF89" s="217"/>
      <c r="AG89" s="217"/>
      <c r="AH89" s="217"/>
      <c r="AI89" s="217"/>
      <c r="AJ89" s="217"/>
      <c r="AK89" s="217"/>
      <c r="AL89" s="217"/>
      <c r="AM89" s="217"/>
      <c r="AN89" s="217"/>
      <c r="AO89" s="217"/>
      <c r="AP89" s="217"/>
      <c r="AQ89" s="217"/>
      <c r="AR89" s="217"/>
      <c r="AS89" s="227"/>
    </row>
    <row r="90" spans="1:45" ht="60" customHeight="1" x14ac:dyDescent="0.35">
      <c r="A90" s="224" t="s">
        <v>4733</v>
      </c>
      <c r="B90" s="211" t="s">
        <v>4810</v>
      </c>
      <c r="C90" s="212" t="s">
        <v>4811</v>
      </c>
      <c r="D90" s="214" t="s">
        <v>4812</v>
      </c>
      <c r="E90" s="216" t="str">
        <f>IF(COUNTIF(F90:AS90,"&lt;&gt;")=0,"",SUMPRODUCT(((Recommendations[ImplStatus]="Implemented")+(Recommendations[ImplStatus]="Compensated"))*ISNUMBER(MATCH(Recommendations[Id],F90:AS90,0)))/COUNTIF(F90:AS90,"&lt;&gt;"))</f>
        <v/>
      </c>
      <c r="F90" s="217"/>
      <c r="G90" s="217"/>
      <c r="H90" s="217"/>
      <c r="I90" s="217"/>
      <c r="J90" s="217"/>
      <c r="K90" s="217"/>
      <c r="L90" s="217"/>
      <c r="M90" s="217"/>
      <c r="N90" s="217"/>
      <c r="O90" s="217"/>
      <c r="P90" s="217"/>
      <c r="Q90" s="217"/>
      <c r="R90" s="217"/>
      <c r="S90" s="217"/>
      <c r="T90" s="217"/>
      <c r="U90" s="217"/>
      <c r="V90" s="217"/>
      <c r="W90" s="217"/>
      <c r="X90" s="217"/>
      <c r="Y90" s="217"/>
      <c r="Z90" s="217"/>
      <c r="AA90" s="217"/>
      <c r="AB90" s="217"/>
      <c r="AC90" s="217"/>
      <c r="AD90" s="217"/>
      <c r="AE90" s="217"/>
      <c r="AF90" s="217"/>
      <c r="AG90" s="217"/>
      <c r="AH90" s="217"/>
      <c r="AI90" s="217"/>
      <c r="AJ90" s="217"/>
      <c r="AK90" s="217"/>
      <c r="AL90" s="217"/>
      <c r="AM90" s="217"/>
      <c r="AN90" s="217"/>
      <c r="AO90" s="217"/>
      <c r="AP90" s="217"/>
      <c r="AQ90" s="217"/>
      <c r="AR90" s="217"/>
      <c r="AS90" s="227"/>
    </row>
    <row r="91" spans="1:45" ht="60" customHeight="1" x14ac:dyDescent="0.35">
      <c r="A91" s="224" t="s">
        <v>4733</v>
      </c>
      <c r="B91" s="211" t="s">
        <v>4813</v>
      </c>
      <c r="C91" s="212" t="s">
        <v>4814</v>
      </c>
      <c r="D91" s="214" t="s">
        <v>4815</v>
      </c>
      <c r="E91" s="216" t="str">
        <f>IF(COUNTIF(F91:AS91,"&lt;&gt;")=0,"",SUMPRODUCT(((Recommendations[ImplStatus]="Implemented")+(Recommendations[ImplStatus]="Compensated"))*ISNUMBER(MATCH(Recommendations[Id],F91:AS91,0)))/COUNTIF(F91:AS91,"&lt;&gt;"))</f>
        <v/>
      </c>
      <c r="F91" s="217"/>
      <c r="G91" s="217"/>
      <c r="H91" s="217"/>
      <c r="I91" s="217"/>
      <c r="J91" s="217"/>
      <c r="K91" s="217"/>
      <c r="L91" s="217"/>
      <c r="M91" s="217"/>
      <c r="N91" s="217"/>
      <c r="O91" s="217"/>
      <c r="P91" s="217"/>
      <c r="Q91" s="217"/>
      <c r="R91" s="217"/>
      <c r="S91" s="217"/>
      <c r="T91" s="217"/>
      <c r="U91" s="217"/>
      <c r="V91" s="217"/>
      <c r="W91" s="217"/>
      <c r="X91" s="217"/>
      <c r="Y91" s="217"/>
      <c r="Z91" s="217"/>
      <c r="AA91" s="217"/>
      <c r="AB91" s="217"/>
      <c r="AC91" s="217"/>
      <c r="AD91" s="217"/>
      <c r="AE91" s="217"/>
      <c r="AF91" s="217"/>
      <c r="AG91" s="217"/>
      <c r="AH91" s="217"/>
      <c r="AI91" s="217"/>
      <c r="AJ91" s="217"/>
      <c r="AK91" s="217"/>
      <c r="AL91" s="217"/>
      <c r="AM91" s="217"/>
      <c r="AN91" s="217"/>
      <c r="AO91" s="217"/>
      <c r="AP91" s="217"/>
      <c r="AQ91" s="217"/>
      <c r="AR91" s="217"/>
      <c r="AS91" s="227"/>
    </row>
    <row r="92" spans="1:45" ht="60" customHeight="1" x14ac:dyDescent="0.35">
      <c r="A92" s="224" t="s">
        <v>4733</v>
      </c>
      <c r="B92" s="211" t="s">
        <v>4816</v>
      </c>
      <c r="C92" s="212" t="s">
        <v>4817</v>
      </c>
      <c r="D92" s="214" t="s">
        <v>4818</v>
      </c>
      <c r="E92" s="216" t="str">
        <f>IF(COUNTIF(F92:AS92,"&lt;&gt;")=0,"",SUMPRODUCT(((Recommendations[ImplStatus]="Implemented")+(Recommendations[ImplStatus]="Compensated"))*ISNUMBER(MATCH(Recommendations[Id],F92:AS92,0)))/COUNTIF(F92:AS92,"&lt;&gt;"))</f>
        <v/>
      </c>
      <c r="F92" s="217"/>
      <c r="G92" s="217"/>
      <c r="H92" s="217"/>
      <c r="I92" s="217"/>
      <c r="J92" s="217"/>
      <c r="K92" s="217"/>
      <c r="L92" s="217"/>
      <c r="M92" s="217"/>
      <c r="N92" s="217"/>
      <c r="O92" s="217"/>
      <c r="P92" s="217"/>
      <c r="Q92" s="217"/>
      <c r="R92" s="217"/>
      <c r="S92" s="217"/>
      <c r="T92" s="217"/>
      <c r="U92" s="217"/>
      <c r="V92" s="217"/>
      <c r="W92" s="217"/>
      <c r="X92" s="217"/>
      <c r="Y92" s="217"/>
      <c r="Z92" s="217"/>
      <c r="AA92" s="217"/>
      <c r="AB92" s="217"/>
      <c r="AC92" s="217"/>
      <c r="AD92" s="217"/>
      <c r="AE92" s="217"/>
      <c r="AF92" s="217"/>
      <c r="AG92" s="217"/>
      <c r="AH92" s="217"/>
      <c r="AI92" s="217"/>
      <c r="AJ92" s="217"/>
      <c r="AK92" s="217"/>
      <c r="AL92" s="217"/>
      <c r="AM92" s="217"/>
      <c r="AN92" s="217"/>
      <c r="AO92" s="217"/>
      <c r="AP92" s="217"/>
      <c r="AQ92" s="217"/>
      <c r="AR92" s="217"/>
      <c r="AS92" s="227"/>
    </row>
    <row r="93" spans="1:45" ht="60" customHeight="1" x14ac:dyDescent="0.35">
      <c r="A93" s="224" t="s">
        <v>4733</v>
      </c>
      <c r="B93" s="211" t="s">
        <v>4819</v>
      </c>
      <c r="C93" s="212" t="s">
        <v>4820</v>
      </c>
      <c r="D93" s="214" t="s">
        <v>4821</v>
      </c>
      <c r="E93" s="216" t="str">
        <f>IF(COUNTIF(F93:AS93,"&lt;&gt;")=0,"",SUMPRODUCT(((Recommendations[ImplStatus]="Implemented")+(Recommendations[ImplStatus]="Compensated"))*ISNUMBER(MATCH(Recommendations[Id],F93:AS93,0)))/COUNTIF(F93:AS93,"&lt;&gt;"))</f>
        <v/>
      </c>
      <c r="F93" s="217"/>
      <c r="G93" s="217"/>
      <c r="H93" s="217"/>
      <c r="I93" s="217"/>
      <c r="J93" s="217"/>
      <c r="K93" s="217"/>
      <c r="L93" s="217"/>
      <c r="M93" s="217"/>
      <c r="N93" s="217"/>
      <c r="O93" s="217"/>
      <c r="P93" s="217"/>
      <c r="Q93" s="217"/>
      <c r="R93" s="217"/>
      <c r="S93" s="217"/>
      <c r="T93" s="217"/>
      <c r="U93" s="217"/>
      <c r="V93" s="217"/>
      <c r="W93" s="217"/>
      <c r="X93" s="217"/>
      <c r="Y93" s="217"/>
      <c r="Z93" s="217"/>
      <c r="AA93" s="217"/>
      <c r="AB93" s="217"/>
      <c r="AC93" s="217"/>
      <c r="AD93" s="217"/>
      <c r="AE93" s="217"/>
      <c r="AF93" s="217"/>
      <c r="AG93" s="217"/>
      <c r="AH93" s="217"/>
      <c r="AI93" s="217"/>
      <c r="AJ93" s="217"/>
      <c r="AK93" s="217"/>
      <c r="AL93" s="217"/>
      <c r="AM93" s="217"/>
      <c r="AN93" s="217"/>
      <c r="AO93" s="217"/>
      <c r="AP93" s="217"/>
      <c r="AQ93" s="217"/>
      <c r="AR93" s="217"/>
      <c r="AS93" s="227"/>
    </row>
    <row r="94" spans="1:45" ht="60" customHeight="1" x14ac:dyDescent="0.35">
      <c r="A94" s="224" t="s">
        <v>4733</v>
      </c>
      <c r="B94" s="211" t="s">
        <v>4822</v>
      </c>
      <c r="C94" s="212" t="s">
        <v>4823</v>
      </c>
      <c r="D94" s="214" t="s">
        <v>4824</v>
      </c>
      <c r="E94" s="216" t="str">
        <f>IF(COUNTIF(F94:AS94,"&lt;&gt;")=0,"",SUMPRODUCT(((Recommendations[ImplStatus]="Implemented")+(Recommendations[ImplStatus]="Compensated"))*ISNUMBER(MATCH(Recommendations[Id],F94:AS94,0)))/COUNTIF(F94:AS94,"&lt;&gt;"))</f>
        <v/>
      </c>
      <c r="F94" s="217"/>
      <c r="G94" s="217"/>
      <c r="H94" s="217"/>
      <c r="I94" s="217"/>
      <c r="J94" s="217"/>
      <c r="K94" s="217"/>
      <c r="L94" s="217"/>
      <c r="M94" s="217"/>
      <c r="N94" s="217"/>
      <c r="O94" s="217"/>
      <c r="P94" s="217"/>
      <c r="Q94" s="217"/>
      <c r="R94" s="217"/>
      <c r="S94" s="217"/>
      <c r="T94" s="217"/>
      <c r="U94" s="217"/>
      <c r="V94" s="217"/>
      <c r="W94" s="217"/>
      <c r="X94" s="217"/>
      <c r="Y94" s="217"/>
      <c r="Z94" s="217"/>
      <c r="AA94" s="217"/>
      <c r="AB94" s="217"/>
      <c r="AC94" s="217"/>
      <c r="AD94" s="217"/>
      <c r="AE94" s="217"/>
      <c r="AF94" s="217"/>
      <c r="AG94" s="217"/>
      <c r="AH94" s="217"/>
      <c r="AI94" s="217"/>
      <c r="AJ94" s="217"/>
      <c r="AK94" s="217"/>
      <c r="AL94" s="217"/>
      <c r="AM94" s="217"/>
      <c r="AN94" s="217"/>
      <c r="AO94" s="217"/>
      <c r="AP94" s="217"/>
      <c r="AQ94" s="217"/>
      <c r="AR94" s="217"/>
      <c r="AS94" s="227"/>
    </row>
    <row r="95" spans="1:45" ht="60" customHeight="1" x14ac:dyDescent="0.35">
      <c r="A95" s="224" t="s">
        <v>4733</v>
      </c>
      <c r="B95" s="211" t="s">
        <v>4825</v>
      </c>
      <c r="C95" s="212" t="s">
        <v>4826</v>
      </c>
      <c r="D95" s="214" t="s">
        <v>4827</v>
      </c>
      <c r="E95" s="216" t="str">
        <f>IF(COUNTIF(F95:AS95,"&lt;&gt;")=0,"",SUMPRODUCT(((Recommendations[ImplStatus]="Implemented")+(Recommendations[ImplStatus]="Compensated"))*ISNUMBER(MATCH(Recommendations[Id],F95:AS95,0)))/COUNTIF(F95:AS95,"&lt;&gt;"))</f>
        <v/>
      </c>
      <c r="F95" s="217"/>
      <c r="G95" s="217"/>
      <c r="H95" s="217"/>
      <c r="I95" s="217"/>
      <c r="J95" s="217"/>
      <c r="K95" s="217"/>
      <c r="L95" s="217"/>
      <c r="M95" s="217"/>
      <c r="N95" s="217"/>
      <c r="O95" s="217"/>
      <c r="P95" s="217"/>
      <c r="Q95" s="217"/>
      <c r="R95" s="217"/>
      <c r="S95" s="217"/>
      <c r="T95" s="217"/>
      <c r="U95" s="217"/>
      <c r="V95" s="217"/>
      <c r="W95" s="217"/>
      <c r="X95" s="217"/>
      <c r="Y95" s="217"/>
      <c r="Z95" s="217"/>
      <c r="AA95" s="217"/>
      <c r="AB95" s="217"/>
      <c r="AC95" s="217"/>
      <c r="AD95" s="217"/>
      <c r="AE95" s="217"/>
      <c r="AF95" s="217"/>
      <c r="AG95" s="217"/>
      <c r="AH95" s="217"/>
      <c r="AI95" s="217"/>
      <c r="AJ95" s="217"/>
      <c r="AK95" s="217"/>
      <c r="AL95" s="217"/>
      <c r="AM95" s="217"/>
      <c r="AN95" s="217"/>
      <c r="AO95" s="217"/>
      <c r="AP95" s="217"/>
      <c r="AQ95" s="217"/>
      <c r="AR95" s="217"/>
      <c r="AS95" s="227"/>
    </row>
    <row r="96" spans="1:45" ht="60" customHeight="1" x14ac:dyDescent="0.35">
      <c r="A96" s="224" t="s">
        <v>4733</v>
      </c>
      <c r="B96" s="211" t="s">
        <v>4828</v>
      </c>
      <c r="C96" s="212" t="s">
        <v>4829</v>
      </c>
      <c r="D96" s="214" t="s">
        <v>4830</v>
      </c>
      <c r="E96" s="216" t="str">
        <f>IF(COUNTIF(F96:AS96,"&lt;&gt;")=0,"",SUMPRODUCT(((Recommendations[ImplStatus]="Implemented")+(Recommendations[ImplStatus]="Compensated"))*ISNUMBER(MATCH(Recommendations[Id],F96:AS96,0)))/COUNTIF(F96:AS96,"&lt;&gt;"))</f>
        <v/>
      </c>
      <c r="F96" s="217"/>
      <c r="G96" s="217"/>
      <c r="H96" s="217"/>
      <c r="I96" s="217"/>
      <c r="J96" s="217"/>
      <c r="K96" s="217"/>
      <c r="L96" s="217"/>
      <c r="M96" s="217"/>
      <c r="N96" s="217"/>
      <c r="O96" s="217"/>
      <c r="P96" s="217"/>
      <c r="Q96" s="217"/>
      <c r="R96" s="217"/>
      <c r="S96" s="217"/>
      <c r="T96" s="217"/>
      <c r="U96" s="217"/>
      <c r="V96" s="217"/>
      <c r="W96" s="217"/>
      <c r="X96" s="217"/>
      <c r="Y96" s="217"/>
      <c r="Z96" s="217"/>
      <c r="AA96" s="217"/>
      <c r="AB96" s="217"/>
      <c r="AC96" s="217"/>
      <c r="AD96" s="217"/>
      <c r="AE96" s="217"/>
      <c r="AF96" s="217"/>
      <c r="AG96" s="217"/>
      <c r="AH96" s="217"/>
      <c r="AI96" s="217"/>
      <c r="AJ96" s="217"/>
      <c r="AK96" s="217"/>
      <c r="AL96" s="217"/>
      <c r="AM96" s="217"/>
      <c r="AN96" s="217"/>
      <c r="AO96" s="217"/>
      <c r="AP96" s="217"/>
      <c r="AQ96" s="217"/>
      <c r="AR96" s="217"/>
      <c r="AS96" s="227"/>
    </row>
    <row r="97" spans="1:45" ht="60" customHeight="1" x14ac:dyDescent="0.35">
      <c r="A97" s="224" t="s">
        <v>4733</v>
      </c>
      <c r="B97" s="211" t="s">
        <v>4831</v>
      </c>
      <c r="C97" s="212" t="s">
        <v>4832</v>
      </c>
      <c r="D97" s="214" t="s">
        <v>4833</v>
      </c>
      <c r="E97" s="216" t="str">
        <f>IF(COUNTIF(F97:AS97,"&lt;&gt;")=0,"",SUMPRODUCT(((Recommendations[ImplStatus]="Implemented")+(Recommendations[ImplStatus]="Compensated"))*ISNUMBER(MATCH(Recommendations[Id],F97:AS97,0)))/COUNTIF(F97:AS97,"&lt;&gt;"))</f>
        <v/>
      </c>
      <c r="F97" s="217"/>
      <c r="G97" s="217"/>
      <c r="H97" s="217"/>
      <c r="I97" s="217"/>
      <c r="J97" s="217"/>
      <c r="K97" s="217"/>
      <c r="L97" s="217"/>
      <c r="M97" s="217"/>
      <c r="N97" s="217"/>
      <c r="O97" s="217"/>
      <c r="P97" s="217"/>
      <c r="Q97" s="217"/>
      <c r="R97" s="217"/>
      <c r="S97" s="217"/>
      <c r="T97" s="217"/>
      <c r="U97" s="217"/>
      <c r="V97" s="217"/>
      <c r="W97" s="217"/>
      <c r="X97" s="217"/>
      <c r="Y97" s="217"/>
      <c r="Z97" s="217"/>
      <c r="AA97" s="217"/>
      <c r="AB97" s="217"/>
      <c r="AC97" s="217"/>
      <c r="AD97" s="217"/>
      <c r="AE97" s="217"/>
      <c r="AF97" s="217"/>
      <c r="AG97" s="217"/>
      <c r="AH97" s="217"/>
      <c r="AI97" s="217"/>
      <c r="AJ97" s="217"/>
      <c r="AK97" s="217"/>
      <c r="AL97" s="217"/>
      <c r="AM97" s="217"/>
      <c r="AN97" s="217"/>
      <c r="AO97" s="217"/>
      <c r="AP97" s="217"/>
      <c r="AQ97" s="217"/>
      <c r="AR97" s="217"/>
      <c r="AS97" s="227"/>
    </row>
    <row r="98" spans="1:45" ht="60" customHeight="1" x14ac:dyDescent="0.35">
      <c r="A98" s="225" t="s">
        <v>4733</v>
      </c>
      <c r="B98" s="218" t="s">
        <v>4834</v>
      </c>
      <c r="C98" s="219" t="s">
        <v>4835</v>
      </c>
      <c r="D98" s="220" t="s">
        <v>4836</v>
      </c>
      <c r="E98" s="221" t="str">
        <f>IF(COUNTIF(F98:AS98,"&lt;&gt;")=0,"",SUMPRODUCT(((Recommendations[ImplStatus]="Implemented")+(Recommendations[ImplStatus]="Compensated"))*ISNUMBER(MATCH(Recommendations[Id],F98:AS98,0)))/COUNTIF(F98:AS98,"&lt;&gt;"))</f>
        <v/>
      </c>
      <c r="F98" s="222"/>
      <c r="G98" s="222"/>
      <c r="H98" s="222"/>
      <c r="I98" s="222"/>
      <c r="J98" s="222"/>
      <c r="K98" s="222"/>
      <c r="L98" s="222"/>
      <c r="M98" s="222"/>
      <c r="N98" s="222"/>
      <c r="O98" s="222"/>
      <c r="P98" s="222"/>
      <c r="Q98" s="222"/>
      <c r="R98" s="222"/>
      <c r="S98" s="222"/>
      <c r="T98" s="222"/>
      <c r="U98" s="222"/>
      <c r="V98" s="222"/>
      <c r="W98" s="222"/>
      <c r="X98" s="222"/>
      <c r="Y98" s="222"/>
      <c r="Z98" s="222"/>
      <c r="AA98" s="222"/>
      <c r="AB98" s="222"/>
      <c r="AC98" s="222"/>
      <c r="AD98" s="222"/>
      <c r="AE98" s="222"/>
      <c r="AF98" s="222"/>
      <c r="AG98" s="222"/>
      <c r="AH98" s="222"/>
      <c r="AI98" s="222"/>
      <c r="AJ98" s="222"/>
      <c r="AK98" s="222"/>
      <c r="AL98" s="222"/>
      <c r="AM98" s="222"/>
      <c r="AN98" s="222"/>
      <c r="AO98" s="222"/>
      <c r="AP98" s="222"/>
      <c r="AQ98" s="222"/>
      <c r="AR98" s="222"/>
      <c r="AS98" s="228"/>
    </row>
    <row r="102" spans="1:45" ht="32" customHeight="1" x14ac:dyDescent="0.35">
      <c r="A102" s="288" t="s">
        <v>1787</v>
      </c>
      <c r="B102" s="288"/>
      <c r="C102" s="288"/>
      <c r="D102" s="288"/>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IFERROR(INDEX('Recommendations'!$G$2:$G$376, MATCH(F2,'Recommendations'!$A$2:$A$376,0))="Implemented", FALSE))</xm:f>
            <x14:dxf>
              <font>
                <color rgb="FF000000"/>
              </font>
              <fill>
                <patternFill>
                  <bgColor rgb="FF3C7D22"/>
                </patternFill>
              </fill>
            </x14:dxf>
          </x14:cfRule>
          <x14:cfRule type="expression" priority="2" id="{00000000-000E-0000-0900-000002000000}">
            <xm:f>AND(F2&lt;&gt;"", IFERROR(INDEX('Recommendations'!$G$2:$G$376, MATCH(F2,'Recommendations'!$A$2:$A$376,0))="Compensated", FALSE))</xm:f>
            <x14:dxf>
              <font>
                <color rgb="FF000000"/>
              </font>
              <fill>
                <patternFill>
                  <bgColor rgb="FFC6E0B4"/>
                </patternFill>
              </fill>
            </x14:dxf>
          </x14:cfRule>
          <x14:cfRule type="expression" priority="3" id="{00000000-000E-0000-0900-000003000000}">
            <xm:f>AND(F2&lt;&gt;"", IFERROR(INDEX('Recommendations'!$G$2:$G$376, MATCH(F2,'Recommendations'!$A$2:$A$376,0))="Testing", FALSE))</xm:f>
            <x14:dxf>
              <font>
                <color rgb="FF000000"/>
              </font>
              <fill>
                <patternFill>
                  <bgColor rgb="FFFFC000"/>
                </patternFill>
              </fill>
            </x14:dxf>
          </x14:cfRule>
          <x14:cfRule type="expression" priority="4" id="{00000000-000E-0000-0900-000004000000}">
            <xm:f>AND(F2&lt;&gt;"", IFERROR(INDEX('Recommendations'!$G$2:$G$376, MATCH(F2,'Recommendations'!$A$2:$A$376,0))="Failed", FALSE))</xm:f>
            <x14:dxf>
              <font>
                <color rgb="FF000000"/>
              </font>
              <fill>
                <patternFill>
                  <bgColor rgb="FFD82891"/>
                </patternFill>
              </fill>
            </x14:dxf>
          </x14:cfRule>
          <x14:cfRule type="expression" priority="5" id="{00000000-000E-0000-0900-000005000000}">
            <xm:f>AND(F2&lt;&gt;"", IFERROR(INDEX('Recommendations'!$G$2:$G$376, MATCH(F2,'Recommendations'!$A$2:$A$376,0))="Risk Accepted", FALSE))</xm:f>
            <x14:dxf>
              <font>
                <color rgb="FF000000"/>
              </font>
              <fill>
                <patternFill>
                  <bgColor rgb="FFD9D9D9"/>
                </patternFill>
              </fill>
            </x14:dxf>
          </x14:cfRule>
          <x14:cfRule type="expression" priority="6" id="{00000000-000E-0000-0900-000006000000}">
            <xm:f>AND(F2&lt;&gt;"", IFERROR(INDEX('Recommendations'!$G$2:$G$376, MATCH(F2,'Recommendations'!$A$2:$A$376,0))="N/A",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2" t="s">
        <v>0</v>
      </c>
      <c r="B1" s="253" t="s">
        <v>4837</v>
      </c>
      <c r="C1" s="253" t="s">
        <v>4838</v>
      </c>
      <c r="D1" s="253" t="s">
        <v>4839</v>
      </c>
      <c r="E1" s="253" t="s">
        <v>4840</v>
      </c>
      <c r="F1" s="253" t="s">
        <v>3666</v>
      </c>
      <c r="G1" s="253" t="s">
        <v>4841</v>
      </c>
      <c r="H1" s="253" t="s">
        <v>4842</v>
      </c>
      <c r="I1" s="253" t="s">
        <v>4843</v>
      </c>
      <c r="J1" s="253" t="s">
        <v>10</v>
      </c>
      <c r="K1" s="253" t="s">
        <v>2032</v>
      </c>
      <c r="L1" s="253" t="s">
        <v>2033</v>
      </c>
      <c r="M1" s="253" t="s">
        <v>2034</v>
      </c>
      <c r="N1" s="253" t="s">
        <v>2035</v>
      </c>
      <c r="O1" s="253" t="s">
        <v>2036</v>
      </c>
      <c r="P1" s="253" t="s">
        <v>2037</v>
      </c>
      <c r="Q1" s="253" t="s">
        <v>2038</v>
      </c>
      <c r="R1" s="253" t="s">
        <v>2039</v>
      </c>
      <c r="S1" s="253" t="s">
        <v>2040</v>
      </c>
      <c r="T1" s="253" t="s">
        <v>2041</v>
      </c>
      <c r="U1" s="253" t="s">
        <v>2042</v>
      </c>
      <c r="V1" s="253" t="s">
        <v>2043</v>
      </c>
      <c r="W1" s="253" t="s">
        <v>2044</v>
      </c>
      <c r="X1" s="253" t="s">
        <v>2045</v>
      </c>
      <c r="Y1" s="253" t="s">
        <v>2046</v>
      </c>
      <c r="Z1" s="253" t="s">
        <v>2047</v>
      </c>
      <c r="AA1" s="253" t="s">
        <v>2048</v>
      </c>
      <c r="AB1" s="253" t="s">
        <v>2049</v>
      </c>
      <c r="AC1" s="253" t="s">
        <v>2050</v>
      </c>
      <c r="AD1" s="253" t="s">
        <v>2051</v>
      </c>
      <c r="AE1" s="253" t="s">
        <v>2052</v>
      </c>
      <c r="AF1" s="253" t="s">
        <v>2053</v>
      </c>
      <c r="AG1" s="253" t="s">
        <v>2054</v>
      </c>
      <c r="AH1" s="253" t="s">
        <v>2055</v>
      </c>
      <c r="AI1" s="253" t="s">
        <v>2056</v>
      </c>
      <c r="AJ1" s="253" t="s">
        <v>2057</v>
      </c>
      <c r="AK1" s="253" t="s">
        <v>2058</v>
      </c>
      <c r="AL1" s="253" t="s">
        <v>2059</v>
      </c>
      <c r="AM1" s="253" t="s">
        <v>2060</v>
      </c>
      <c r="AN1" s="253" t="s">
        <v>2061</v>
      </c>
      <c r="AO1" s="253" t="s">
        <v>2062</v>
      </c>
      <c r="AP1" s="253" t="s">
        <v>2063</v>
      </c>
      <c r="AQ1" s="253" t="s">
        <v>2064</v>
      </c>
      <c r="AR1" s="253" t="s">
        <v>2065</v>
      </c>
      <c r="AS1" s="253" t="s">
        <v>2066</v>
      </c>
      <c r="AT1" s="253" t="s">
        <v>2067</v>
      </c>
      <c r="AU1" s="253" t="s">
        <v>2068</v>
      </c>
      <c r="AV1" s="253" t="s">
        <v>2069</v>
      </c>
      <c r="AW1" s="253" t="s">
        <v>2070</v>
      </c>
      <c r="AX1" s="253" t="s">
        <v>2071</v>
      </c>
      <c r="AY1" s="254" t="s">
        <v>2072</v>
      </c>
    </row>
    <row r="2" spans="1:51" ht="60" customHeight="1" outlineLevel="1" x14ac:dyDescent="0.35">
      <c r="A2" s="244" t="s">
        <v>4844</v>
      </c>
      <c r="B2" s="232" t="s">
        <v>4845</v>
      </c>
      <c r="C2" s="232"/>
      <c r="D2" s="232"/>
      <c r="E2" s="232"/>
      <c r="F2" s="232"/>
      <c r="G2" s="232"/>
      <c r="H2" s="232"/>
      <c r="I2" s="232"/>
      <c r="J2" s="232"/>
      <c r="K2" s="235" t="str">
        <f>IF(COUNTIF(L2:AY2,"&lt;&gt;")=0,"",SUMPRODUCT(((Recommendations[ImplStatus]="Implemented")+(Recommendations[ImplStatus]="Compensated"))*ISNUMBER(MATCH(Recommendations[Id],L2:AY2,0)))/COUNTIF(L2:AY2,"&lt;&gt;"))</f>
        <v/>
      </c>
      <c r="L2" s="238"/>
      <c r="M2" s="238"/>
      <c r="N2" s="238"/>
      <c r="O2" s="238"/>
      <c r="P2" s="238"/>
      <c r="Q2" s="238"/>
      <c r="R2" s="238"/>
      <c r="S2" s="238"/>
      <c r="T2" s="238"/>
      <c r="U2" s="238"/>
      <c r="V2" s="238"/>
      <c r="W2" s="238"/>
      <c r="X2" s="238"/>
      <c r="Y2" s="238"/>
      <c r="Z2" s="238"/>
      <c r="AA2" s="238"/>
      <c r="AB2" s="238"/>
      <c r="AC2" s="238"/>
      <c r="AD2" s="238"/>
      <c r="AE2" s="238"/>
      <c r="AF2" s="238"/>
      <c r="AG2" s="238"/>
      <c r="AH2" s="238"/>
      <c r="AI2" s="238"/>
      <c r="AJ2" s="238"/>
      <c r="AK2" s="238"/>
      <c r="AL2" s="238"/>
      <c r="AM2" s="238"/>
      <c r="AN2" s="238"/>
      <c r="AO2" s="238"/>
      <c r="AP2" s="238"/>
      <c r="AQ2" s="238"/>
      <c r="AR2" s="238"/>
      <c r="AS2" s="238"/>
      <c r="AT2" s="238"/>
      <c r="AU2" s="238"/>
      <c r="AV2" s="238"/>
      <c r="AW2" s="238"/>
      <c r="AX2" s="238"/>
      <c r="AY2" s="248"/>
    </row>
    <row r="3" spans="1:51" ht="60" customHeight="1" outlineLevel="1" x14ac:dyDescent="0.35">
      <c r="A3" s="245" t="s">
        <v>2075</v>
      </c>
      <c r="B3" s="233" t="s">
        <v>4846</v>
      </c>
      <c r="C3" s="233"/>
      <c r="D3" s="233"/>
      <c r="E3" s="233"/>
      <c r="F3" s="233"/>
      <c r="G3" s="233"/>
      <c r="H3" s="233"/>
      <c r="I3" s="233"/>
      <c r="J3" s="233"/>
      <c r="K3" s="236" t="str">
        <f>IF(COUNTIF(L3:AY3,"&lt;&gt;")=0,"",SUMPRODUCT(((Recommendations[ImplStatus]="Implemented")+(Recommendations[ImplStatus]="Compensated"))*ISNUMBER(MATCH(Recommendations[Id],L3:AY3,0)))/COUNTIF(L3:AY3,"&lt;&gt;"))</f>
        <v/>
      </c>
      <c r="L3" s="239"/>
      <c r="M3" s="239"/>
      <c r="N3" s="239"/>
      <c r="O3" s="239"/>
      <c r="P3" s="239"/>
      <c r="Q3" s="239"/>
      <c r="R3" s="239"/>
      <c r="S3" s="239"/>
      <c r="T3" s="239"/>
      <c r="U3" s="239"/>
      <c r="V3" s="239"/>
      <c r="W3" s="239"/>
      <c r="X3" s="239"/>
      <c r="Y3" s="239"/>
      <c r="Z3" s="239"/>
      <c r="AA3" s="239"/>
      <c r="AB3" s="239"/>
      <c r="AC3" s="239"/>
      <c r="AD3" s="239"/>
      <c r="AE3" s="239"/>
      <c r="AF3" s="239"/>
      <c r="AG3" s="239"/>
      <c r="AH3" s="239"/>
      <c r="AI3" s="239"/>
      <c r="AJ3" s="239"/>
      <c r="AK3" s="239"/>
      <c r="AL3" s="239"/>
      <c r="AM3" s="239"/>
      <c r="AN3" s="239"/>
      <c r="AO3" s="239"/>
      <c r="AP3" s="239"/>
      <c r="AQ3" s="239"/>
      <c r="AR3" s="239"/>
      <c r="AS3" s="239"/>
      <c r="AT3" s="239"/>
      <c r="AU3" s="239"/>
      <c r="AV3" s="239"/>
      <c r="AW3" s="239"/>
      <c r="AX3" s="239"/>
      <c r="AY3" s="249"/>
    </row>
    <row r="4" spans="1:51" ht="60" customHeight="1" x14ac:dyDescent="0.35">
      <c r="A4" s="246" t="s">
        <v>4847</v>
      </c>
      <c r="B4" s="234" t="s">
        <v>4848</v>
      </c>
      <c r="C4" s="234" t="s">
        <v>4849</v>
      </c>
      <c r="D4" s="234" t="s">
        <v>4850</v>
      </c>
      <c r="E4" s="234" t="s">
        <v>4851</v>
      </c>
      <c r="F4" s="234" t="s">
        <v>19</v>
      </c>
      <c r="G4" s="234" t="s">
        <v>19</v>
      </c>
      <c r="H4" s="234" t="s">
        <v>4852</v>
      </c>
      <c r="I4" s="234" t="s">
        <v>19</v>
      </c>
      <c r="J4" s="234" t="s">
        <v>4853</v>
      </c>
      <c r="K4" s="237" t="str">
        <f>IF(COUNTIF(L4:AY4,"&lt;&gt;")=0,"",SUMPRODUCT(((Recommendations[ImplStatus]="Implemented")+(Recommendations[ImplStatus]="Compensated"))*ISNUMBER(MATCH(Recommendations[Id],L4:AY4,0)))/COUNTIF(L4:AY4,"&lt;&gt;"))</f>
        <v/>
      </c>
      <c r="L4" s="240"/>
      <c r="M4" s="240"/>
      <c r="N4" s="240"/>
      <c r="O4" s="240"/>
      <c r="P4" s="240"/>
      <c r="Q4" s="240"/>
      <c r="R4" s="240"/>
      <c r="S4" s="240"/>
      <c r="T4" s="240"/>
      <c r="U4" s="240"/>
      <c r="V4" s="240"/>
      <c r="W4" s="240"/>
      <c r="X4" s="240"/>
      <c r="Y4" s="240"/>
      <c r="Z4" s="240"/>
      <c r="AA4" s="240"/>
      <c r="AB4" s="240"/>
      <c r="AC4" s="240"/>
      <c r="AD4" s="240"/>
      <c r="AE4" s="240"/>
      <c r="AF4" s="240"/>
      <c r="AG4" s="240"/>
      <c r="AH4" s="240"/>
      <c r="AI4" s="240"/>
      <c r="AJ4" s="240"/>
      <c r="AK4" s="240"/>
      <c r="AL4" s="240"/>
      <c r="AM4" s="240"/>
      <c r="AN4" s="240"/>
      <c r="AO4" s="240"/>
      <c r="AP4" s="240"/>
      <c r="AQ4" s="240"/>
      <c r="AR4" s="240"/>
      <c r="AS4" s="240"/>
      <c r="AT4" s="240"/>
      <c r="AU4" s="240"/>
      <c r="AV4" s="240"/>
      <c r="AW4" s="240"/>
      <c r="AX4" s="240"/>
      <c r="AY4" s="250"/>
    </row>
    <row r="5" spans="1:51" ht="60" customHeight="1" x14ac:dyDescent="0.35">
      <c r="A5" s="246" t="s">
        <v>4854</v>
      </c>
      <c r="B5" s="234" t="s">
        <v>4855</v>
      </c>
      <c r="C5" s="234" t="s">
        <v>4856</v>
      </c>
      <c r="D5" s="234" t="s">
        <v>4857</v>
      </c>
      <c r="E5" s="234" t="s">
        <v>4858</v>
      </c>
      <c r="F5" s="234" t="s">
        <v>4859</v>
      </c>
      <c r="G5" s="234" t="s">
        <v>19</v>
      </c>
      <c r="H5" s="234" t="s">
        <v>4860</v>
      </c>
      <c r="I5" s="234" t="s">
        <v>19</v>
      </c>
      <c r="J5" s="234" t="s">
        <v>4861</v>
      </c>
      <c r="K5" s="237" t="str">
        <f>IF(COUNTIF(L5:AY5,"&lt;&gt;")=0,"",SUMPRODUCT(((Recommendations[ImplStatus]="Implemented")+(Recommendations[ImplStatus]="Compensated"))*ISNUMBER(MATCH(Recommendations[Id],L5:AY5,0)))/COUNTIF(L5:AY5,"&lt;&gt;"))</f>
        <v/>
      </c>
      <c r="L5" s="240"/>
      <c r="M5" s="240"/>
      <c r="N5" s="240"/>
      <c r="O5" s="240"/>
      <c r="P5" s="240"/>
      <c r="Q5" s="240"/>
      <c r="R5" s="240"/>
      <c r="S5" s="240"/>
      <c r="T5" s="240"/>
      <c r="U5" s="240"/>
      <c r="V5" s="240"/>
      <c r="W5" s="240"/>
      <c r="X5" s="240"/>
      <c r="Y5" s="240"/>
      <c r="Z5" s="240"/>
      <c r="AA5" s="240"/>
      <c r="AB5" s="240"/>
      <c r="AC5" s="240"/>
      <c r="AD5" s="240"/>
      <c r="AE5" s="240"/>
      <c r="AF5" s="240"/>
      <c r="AG5" s="240"/>
      <c r="AH5" s="240"/>
      <c r="AI5" s="240"/>
      <c r="AJ5" s="240"/>
      <c r="AK5" s="240"/>
      <c r="AL5" s="240"/>
      <c r="AM5" s="240"/>
      <c r="AN5" s="240"/>
      <c r="AO5" s="240"/>
      <c r="AP5" s="240"/>
      <c r="AQ5" s="240"/>
      <c r="AR5" s="240"/>
      <c r="AS5" s="240"/>
      <c r="AT5" s="240"/>
      <c r="AU5" s="240"/>
      <c r="AV5" s="240"/>
      <c r="AW5" s="240"/>
      <c r="AX5" s="240"/>
      <c r="AY5" s="250"/>
    </row>
    <row r="6" spans="1:51" ht="60" customHeight="1" outlineLevel="1" x14ac:dyDescent="0.35">
      <c r="A6" s="245" t="s">
        <v>2081</v>
      </c>
      <c r="B6" s="233" t="s">
        <v>4862</v>
      </c>
      <c r="C6" s="233"/>
      <c r="D6" s="233"/>
      <c r="E6" s="233"/>
      <c r="F6" s="233"/>
      <c r="G6" s="233"/>
      <c r="H6" s="233"/>
      <c r="I6" s="233"/>
      <c r="J6" s="233"/>
      <c r="K6" s="236" t="str">
        <f>IF(COUNTIF(L6:AY6,"&lt;&gt;")=0,"",SUMPRODUCT(((Recommendations[ImplStatus]="Implemented")+(Recommendations[ImplStatus]="Compensated"))*ISNUMBER(MATCH(Recommendations[Id],L6:AY6,0)))/COUNTIF(L6:AY6,"&lt;&gt;"))</f>
        <v/>
      </c>
      <c r="L6" s="239"/>
      <c r="M6" s="239"/>
      <c r="N6" s="239"/>
      <c r="O6" s="239"/>
      <c r="P6" s="239"/>
      <c r="Q6" s="239"/>
      <c r="R6" s="239"/>
      <c r="S6" s="239"/>
      <c r="T6" s="239"/>
      <c r="U6" s="239"/>
      <c r="V6" s="239"/>
      <c r="W6" s="239"/>
      <c r="X6" s="239"/>
      <c r="Y6" s="239"/>
      <c r="Z6" s="239"/>
      <c r="AA6" s="239"/>
      <c r="AB6" s="239"/>
      <c r="AC6" s="239"/>
      <c r="AD6" s="239"/>
      <c r="AE6" s="239"/>
      <c r="AF6" s="239"/>
      <c r="AG6" s="239"/>
      <c r="AH6" s="239"/>
      <c r="AI6" s="239"/>
      <c r="AJ6" s="239"/>
      <c r="AK6" s="239"/>
      <c r="AL6" s="239"/>
      <c r="AM6" s="239"/>
      <c r="AN6" s="239"/>
      <c r="AO6" s="239"/>
      <c r="AP6" s="239"/>
      <c r="AQ6" s="239"/>
      <c r="AR6" s="239"/>
      <c r="AS6" s="239"/>
      <c r="AT6" s="239"/>
      <c r="AU6" s="239"/>
      <c r="AV6" s="239"/>
      <c r="AW6" s="239"/>
      <c r="AX6" s="239"/>
      <c r="AY6" s="249"/>
    </row>
    <row r="7" spans="1:51" ht="60" customHeight="1" x14ac:dyDescent="0.35">
      <c r="A7" s="246" t="s">
        <v>4863</v>
      </c>
      <c r="B7" s="234" t="s">
        <v>4864</v>
      </c>
      <c r="C7" s="234" t="s">
        <v>4865</v>
      </c>
      <c r="D7" s="234" t="s">
        <v>4866</v>
      </c>
      <c r="E7" s="234" t="s">
        <v>4858</v>
      </c>
      <c r="F7" s="234" t="s">
        <v>4867</v>
      </c>
      <c r="G7" s="234" t="s">
        <v>19</v>
      </c>
      <c r="H7" s="234" t="s">
        <v>4868</v>
      </c>
      <c r="I7" s="234" t="s">
        <v>19</v>
      </c>
      <c r="J7" s="234" t="s">
        <v>4869</v>
      </c>
      <c r="K7" s="237" t="str">
        <f>IF(COUNTIF(L7:AY7,"&lt;&gt;")=0,"",SUMPRODUCT(((Recommendations[ImplStatus]="Implemented")+(Recommendations[ImplStatus]="Compensated"))*ISNUMBER(MATCH(Recommendations[Id],L7:AY7,0)))/COUNTIF(L7:AY7,"&lt;&gt;"))</f>
        <v/>
      </c>
      <c r="L7" s="240"/>
      <c r="M7" s="240"/>
      <c r="N7" s="240"/>
      <c r="O7" s="240"/>
      <c r="P7" s="240"/>
      <c r="Q7" s="240"/>
      <c r="R7" s="240"/>
      <c r="S7" s="240"/>
      <c r="T7" s="240"/>
      <c r="U7" s="240"/>
      <c r="V7" s="240"/>
      <c r="W7" s="240"/>
      <c r="X7" s="240"/>
      <c r="Y7" s="240"/>
      <c r="Z7" s="240"/>
      <c r="AA7" s="240"/>
      <c r="AB7" s="240"/>
      <c r="AC7" s="240"/>
      <c r="AD7" s="240"/>
      <c r="AE7" s="240"/>
      <c r="AF7" s="240"/>
      <c r="AG7" s="240"/>
      <c r="AH7" s="240"/>
      <c r="AI7" s="240"/>
      <c r="AJ7" s="240"/>
      <c r="AK7" s="240"/>
      <c r="AL7" s="240"/>
      <c r="AM7" s="240"/>
      <c r="AN7" s="240"/>
      <c r="AO7" s="240"/>
      <c r="AP7" s="240"/>
      <c r="AQ7" s="240"/>
      <c r="AR7" s="240"/>
      <c r="AS7" s="240"/>
      <c r="AT7" s="240"/>
      <c r="AU7" s="240"/>
      <c r="AV7" s="240"/>
      <c r="AW7" s="240"/>
      <c r="AX7" s="240"/>
      <c r="AY7" s="250"/>
    </row>
    <row r="8" spans="1:51" ht="60" customHeight="1" x14ac:dyDescent="0.35">
      <c r="A8" s="246" t="s">
        <v>4870</v>
      </c>
      <c r="B8" s="234" t="s">
        <v>4871</v>
      </c>
      <c r="C8" s="234" t="s">
        <v>4872</v>
      </c>
      <c r="D8" s="234" t="s">
        <v>4873</v>
      </c>
      <c r="E8" s="234" t="s">
        <v>19</v>
      </c>
      <c r="F8" s="234" t="s">
        <v>19</v>
      </c>
      <c r="G8" s="234" t="s">
        <v>19</v>
      </c>
      <c r="H8" s="234" t="s">
        <v>4874</v>
      </c>
      <c r="I8" s="234" t="s">
        <v>4875</v>
      </c>
      <c r="J8" s="234" t="s">
        <v>4876</v>
      </c>
      <c r="K8" s="237" t="str">
        <f>IF(COUNTIF(L8:AY8,"&lt;&gt;")=0,"",SUMPRODUCT(((Recommendations[ImplStatus]="Implemented")+(Recommendations[ImplStatus]="Compensated"))*ISNUMBER(MATCH(Recommendations[Id],L8:AY8,0)))/COUNTIF(L8:AY8,"&lt;&gt;"))</f>
        <v/>
      </c>
      <c r="L8" s="240"/>
      <c r="M8" s="240"/>
      <c r="N8" s="240"/>
      <c r="O8" s="240"/>
      <c r="P8" s="240"/>
      <c r="Q8" s="240"/>
      <c r="R8" s="240"/>
      <c r="S8" s="240"/>
      <c r="T8" s="240"/>
      <c r="U8" s="240"/>
      <c r="V8" s="240"/>
      <c r="W8" s="240"/>
      <c r="X8" s="240"/>
      <c r="Y8" s="240"/>
      <c r="Z8" s="240"/>
      <c r="AA8" s="240"/>
      <c r="AB8" s="240"/>
      <c r="AC8" s="240"/>
      <c r="AD8" s="240"/>
      <c r="AE8" s="240"/>
      <c r="AF8" s="240"/>
      <c r="AG8" s="240"/>
      <c r="AH8" s="240"/>
      <c r="AI8" s="240"/>
      <c r="AJ8" s="240"/>
      <c r="AK8" s="240"/>
      <c r="AL8" s="240"/>
      <c r="AM8" s="240"/>
      <c r="AN8" s="240"/>
      <c r="AO8" s="240"/>
      <c r="AP8" s="240"/>
      <c r="AQ8" s="240"/>
      <c r="AR8" s="240"/>
      <c r="AS8" s="240"/>
      <c r="AT8" s="240"/>
      <c r="AU8" s="240"/>
      <c r="AV8" s="240"/>
      <c r="AW8" s="240"/>
      <c r="AX8" s="240"/>
      <c r="AY8" s="250"/>
    </row>
    <row r="9" spans="1:51" ht="60" customHeight="1" x14ac:dyDescent="0.35">
      <c r="A9" s="246" t="s">
        <v>4877</v>
      </c>
      <c r="B9" s="234" t="s">
        <v>4878</v>
      </c>
      <c r="C9" s="234" t="s">
        <v>4879</v>
      </c>
      <c r="D9" s="234" t="s">
        <v>4880</v>
      </c>
      <c r="E9" s="234" t="s">
        <v>19</v>
      </c>
      <c r="F9" s="234" t="s">
        <v>19</v>
      </c>
      <c r="G9" s="234" t="s">
        <v>19</v>
      </c>
      <c r="H9" s="234" t="s">
        <v>4881</v>
      </c>
      <c r="I9" s="234" t="s">
        <v>4882</v>
      </c>
      <c r="J9" s="234" t="s">
        <v>4883</v>
      </c>
      <c r="K9" s="237" t="str">
        <f>IF(COUNTIF(L9:AY9,"&lt;&gt;")=0,"",SUMPRODUCT(((Recommendations[ImplStatus]="Implemented")+(Recommendations[ImplStatus]="Compensated"))*ISNUMBER(MATCH(Recommendations[Id],L9:AY9,0)))/COUNTIF(L9:AY9,"&lt;&gt;"))</f>
        <v/>
      </c>
      <c r="L9" s="240"/>
      <c r="M9" s="240"/>
      <c r="N9" s="240"/>
      <c r="O9" s="240"/>
      <c r="P9" s="240"/>
      <c r="Q9" s="240"/>
      <c r="R9" s="240"/>
      <c r="S9" s="240"/>
      <c r="T9" s="240"/>
      <c r="U9" s="240"/>
      <c r="V9" s="240"/>
      <c r="W9" s="240"/>
      <c r="X9" s="240"/>
      <c r="Y9" s="240"/>
      <c r="Z9" s="240"/>
      <c r="AA9" s="240"/>
      <c r="AB9" s="240"/>
      <c r="AC9" s="240"/>
      <c r="AD9" s="240"/>
      <c r="AE9" s="240"/>
      <c r="AF9" s="240"/>
      <c r="AG9" s="240"/>
      <c r="AH9" s="240"/>
      <c r="AI9" s="240"/>
      <c r="AJ9" s="240"/>
      <c r="AK9" s="240"/>
      <c r="AL9" s="240"/>
      <c r="AM9" s="240"/>
      <c r="AN9" s="240"/>
      <c r="AO9" s="240"/>
      <c r="AP9" s="240"/>
      <c r="AQ9" s="240"/>
      <c r="AR9" s="240"/>
      <c r="AS9" s="240"/>
      <c r="AT9" s="240"/>
      <c r="AU9" s="240"/>
      <c r="AV9" s="240"/>
      <c r="AW9" s="240"/>
      <c r="AX9" s="240"/>
      <c r="AY9" s="250"/>
    </row>
    <row r="10" spans="1:51" ht="60" customHeight="1" x14ac:dyDescent="0.35">
      <c r="A10" s="246" t="s">
        <v>4884</v>
      </c>
      <c r="B10" s="234" t="s">
        <v>4885</v>
      </c>
      <c r="C10" s="234" t="s">
        <v>4886</v>
      </c>
      <c r="D10" s="234" t="s">
        <v>4887</v>
      </c>
      <c r="E10" s="234" t="s">
        <v>19</v>
      </c>
      <c r="F10" s="234" t="s">
        <v>19</v>
      </c>
      <c r="G10" s="234" t="s">
        <v>19</v>
      </c>
      <c r="H10" s="234" t="s">
        <v>4888</v>
      </c>
      <c r="I10" s="234" t="s">
        <v>4889</v>
      </c>
      <c r="J10" s="234" t="s">
        <v>4890</v>
      </c>
      <c r="K10" s="237" t="str">
        <f>IF(COUNTIF(L10:AY10,"&lt;&gt;")=0,"",SUMPRODUCT(((Recommendations[ImplStatus]="Implemented")+(Recommendations[ImplStatus]="Compensated"))*ISNUMBER(MATCH(Recommendations[Id],L10:AY10,0)))/COUNTIF(L10:AY10,"&lt;&gt;"))</f>
        <v/>
      </c>
      <c r="L10" s="240"/>
      <c r="M10" s="240"/>
      <c r="N10" s="240"/>
      <c r="O10" s="240"/>
      <c r="P10" s="240"/>
      <c r="Q10" s="240"/>
      <c r="R10" s="240"/>
      <c r="S10" s="240"/>
      <c r="T10" s="240"/>
      <c r="U10" s="240"/>
      <c r="V10" s="240"/>
      <c r="W10" s="240"/>
      <c r="X10" s="240"/>
      <c r="Y10" s="240"/>
      <c r="Z10" s="240"/>
      <c r="AA10" s="240"/>
      <c r="AB10" s="240"/>
      <c r="AC10" s="240"/>
      <c r="AD10" s="240"/>
      <c r="AE10" s="240"/>
      <c r="AF10" s="240"/>
      <c r="AG10" s="240"/>
      <c r="AH10" s="240"/>
      <c r="AI10" s="240"/>
      <c r="AJ10" s="240"/>
      <c r="AK10" s="240"/>
      <c r="AL10" s="240"/>
      <c r="AM10" s="240"/>
      <c r="AN10" s="240"/>
      <c r="AO10" s="240"/>
      <c r="AP10" s="240"/>
      <c r="AQ10" s="240"/>
      <c r="AR10" s="240"/>
      <c r="AS10" s="240"/>
      <c r="AT10" s="240"/>
      <c r="AU10" s="240"/>
      <c r="AV10" s="240"/>
      <c r="AW10" s="240"/>
      <c r="AX10" s="240"/>
      <c r="AY10" s="250"/>
    </row>
    <row r="11" spans="1:51" ht="60" customHeight="1" x14ac:dyDescent="0.35">
      <c r="A11" s="246" t="s">
        <v>4891</v>
      </c>
      <c r="B11" s="234" t="s">
        <v>4892</v>
      </c>
      <c r="C11" s="234" t="s">
        <v>4893</v>
      </c>
      <c r="D11" s="234" t="s">
        <v>4894</v>
      </c>
      <c r="E11" s="234" t="s">
        <v>19</v>
      </c>
      <c r="F11" s="234" t="s">
        <v>19</v>
      </c>
      <c r="G11" s="234" t="s">
        <v>19</v>
      </c>
      <c r="H11" s="234" t="s">
        <v>4895</v>
      </c>
      <c r="I11" s="234" t="s">
        <v>19</v>
      </c>
      <c r="J11" s="234" t="s">
        <v>4896</v>
      </c>
      <c r="K11" s="237">
        <f>IF(COUNTIF(L11:AY11,"&lt;&gt;")=0,"",SUMPRODUCT(((Recommendations[ImplStatus]="Implemented")+(Recommendations[ImplStatus]="Compensated"))*ISNUMBER(MATCH(Recommendations[Id],L11:AY11,0)))/COUNTIF(L11:AY11,"&lt;&gt;"))</f>
        <v>0</v>
      </c>
      <c r="L11" s="240" t="s">
        <v>1449</v>
      </c>
      <c r="M11" s="240"/>
      <c r="N11" s="240"/>
      <c r="O11" s="240"/>
      <c r="P11" s="240"/>
      <c r="Q11" s="240"/>
      <c r="R11" s="240"/>
      <c r="S11" s="240"/>
      <c r="T11" s="240"/>
      <c r="U11" s="240"/>
      <c r="V11" s="240"/>
      <c r="W11" s="240"/>
      <c r="X11" s="240"/>
      <c r="Y11" s="240"/>
      <c r="Z11" s="240"/>
      <c r="AA11" s="240"/>
      <c r="AB11" s="240"/>
      <c r="AC11" s="240"/>
      <c r="AD11" s="240"/>
      <c r="AE11" s="240"/>
      <c r="AF11" s="240"/>
      <c r="AG11" s="240"/>
      <c r="AH11" s="240"/>
      <c r="AI11" s="240"/>
      <c r="AJ11" s="240"/>
      <c r="AK11" s="240"/>
      <c r="AL11" s="240"/>
      <c r="AM11" s="240"/>
      <c r="AN11" s="240"/>
      <c r="AO11" s="240"/>
      <c r="AP11" s="240"/>
      <c r="AQ11" s="240"/>
      <c r="AR11" s="240"/>
      <c r="AS11" s="240"/>
      <c r="AT11" s="240"/>
      <c r="AU11" s="240"/>
      <c r="AV11" s="240"/>
      <c r="AW11" s="240"/>
      <c r="AX11" s="240"/>
      <c r="AY11" s="250"/>
    </row>
    <row r="12" spans="1:51" ht="60" customHeight="1" x14ac:dyDescent="0.35">
      <c r="A12" s="246" t="s">
        <v>4897</v>
      </c>
      <c r="B12" s="234" t="s">
        <v>4898</v>
      </c>
      <c r="C12" s="234" t="s">
        <v>4899</v>
      </c>
      <c r="D12" s="234" t="s">
        <v>4900</v>
      </c>
      <c r="E12" s="234" t="s">
        <v>19</v>
      </c>
      <c r="F12" s="234" t="s">
        <v>19</v>
      </c>
      <c r="G12" s="234" t="s">
        <v>4901</v>
      </c>
      <c r="H12" s="234" t="s">
        <v>4902</v>
      </c>
      <c r="I12" s="234" t="s">
        <v>19</v>
      </c>
      <c r="J12" s="234" t="s">
        <v>4903</v>
      </c>
      <c r="K12" s="237" t="str">
        <f>IF(COUNTIF(L12:AY12,"&lt;&gt;")=0,"",SUMPRODUCT(((Recommendations[ImplStatus]="Implemented")+(Recommendations[ImplStatus]="Compensated"))*ISNUMBER(MATCH(Recommendations[Id],L12:AY12,0)))/COUNTIF(L12:AY12,"&lt;&gt;"))</f>
        <v/>
      </c>
      <c r="L12" s="240"/>
      <c r="M12" s="240"/>
      <c r="N12" s="240"/>
      <c r="O12" s="240"/>
      <c r="P12" s="240"/>
      <c r="Q12" s="240"/>
      <c r="R12" s="240"/>
      <c r="S12" s="240"/>
      <c r="T12" s="240"/>
      <c r="U12" s="240"/>
      <c r="V12" s="240"/>
      <c r="W12" s="240"/>
      <c r="X12" s="240"/>
      <c r="Y12" s="240"/>
      <c r="Z12" s="240"/>
      <c r="AA12" s="240"/>
      <c r="AB12" s="240"/>
      <c r="AC12" s="240"/>
      <c r="AD12" s="240"/>
      <c r="AE12" s="240"/>
      <c r="AF12" s="240"/>
      <c r="AG12" s="240"/>
      <c r="AH12" s="240"/>
      <c r="AI12" s="240"/>
      <c r="AJ12" s="240"/>
      <c r="AK12" s="240"/>
      <c r="AL12" s="240"/>
      <c r="AM12" s="240"/>
      <c r="AN12" s="240"/>
      <c r="AO12" s="240"/>
      <c r="AP12" s="240"/>
      <c r="AQ12" s="240"/>
      <c r="AR12" s="240"/>
      <c r="AS12" s="240"/>
      <c r="AT12" s="240"/>
      <c r="AU12" s="240"/>
      <c r="AV12" s="240"/>
      <c r="AW12" s="240"/>
      <c r="AX12" s="240"/>
      <c r="AY12" s="250"/>
    </row>
    <row r="13" spans="1:51" ht="60" customHeight="1" x14ac:dyDescent="0.35">
      <c r="A13" s="246" t="s">
        <v>4904</v>
      </c>
      <c r="B13" s="234" t="s">
        <v>4905</v>
      </c>
      <c r="C13" s="234" t="s">
        <v>4906</v>
      </c>
      <c r="D13" s="234" t="s">
        <v>4907</v>
      </c>
      <c r="E13" s="234" t="s">
        <v>19</v>
      </c>
      <c r="F13" s="234" t="s">
        <v>19</v>
      </c>
      <c r="G13" s="234" t="s">
        <v>19</v>
      </c>
      <c r="H13" s="234" t="s">
        <v>4908</v>
      </c>
      <c r="I13" s="234" t="s">
        <v>19</v>
      </c>
      <c r="J13" s="234" t="s">
        <v>4909</v>
      </c>
      <c r="K13" s="237" t="str">
        <f>IF(COUNTIF(L13:AY13,"&lt;&gt;")=0,"",SUMPRODUCT(((Recommendations[ImplStatus]="Implemented")+(Recommendations[ImplStatus]="Compensated"))*ISNUMBER(MATCH(Recommendations[Id],L13:AY13,0)))/COUNTIF(L13:AY13,"&lt;&gt;"))</f>
        <v/>
      </c>
      <c r="L13" s="240"/>
      <c r="M13" s="240"/>
      <c r="N13" s="240"/>
      <c r="O13" s="240"/>
      <c r="P13" s="240"/>
      <c r="Q13" s="240"/>
      <c r="R13" s="240"/>
      <c r="S13" s="240"/>
      <c r="T13" s="240"/>
      <c r="U13" s="240"/>
      <c r="V13" s="240"/>
      <c r="W13" s="240"/>
      <c r="X13" s="240"/>
      <c r="Y13" s="240"/>
      <c r="Z13" s="240"/>
      <c r="AA13" s="240"/>
      <c r="AB13" s="240"/>
      <c r="AC13" s="240"/>
      <c r="AD13" s="240"/>
      <c r="AE13" s="240"/>
      <c r="AF13" s="240"/>
      <c r="AG13" s="240"/>
      <c r="AH13" s="240"/>
      <c r="AI13" s="240"/>
      <c r="AJ13" s="240"/>
      <c r="AK13" s="240"/>
      <c r="AL13" s="240"/>
      <c r="AM13" s="240"/>
      <c r="AN13" s="240"/>
      <c r="AO13" s="240"/>
      <c r="AP13" s="240"/>
      <c r="AQ13" s="240"/>
      <c r="AR13" s="240"/>
      <c r="AS13" s="240"/>
      <c r="AT13" s="240"/>
      <c r="AU13" s="240"/>
      <c r="AV13" s="240"/>
      <c r="AW13" s="240"/>
      <c r="AX13" s="240"/>
      <c r="AY13" s="250"/>
    </row>
    <row r="14" spans="1:51" ht="60" customHeight="1" x14ac:dyDescent="0.35">
      <c r="A14" s="246" t="s">
        <v>4910</v>
      </c>
      <c r="B14" s="234" t="s">
        <v>4911</v>
      </c>
      <c r="C14" s="234" t="s">
        <v>4912</v>
      </c>
      <c r="D14" s="234" t="s">
        <v>4913</v>
      </c>
      <c r="E14" s="234" t="s">
        <v>19</v>
      </c>
      <c r="F14" s="234" t="s">
        <v>4914</v>
      </c>
      <c r="G14" s="234" t="s">
        <v>19</v>
      </c>
      <c r="H14" s="234" t="s">
        <v>4915</v>
      </c>
      <c r="I14" s="234" t="s">
        <v>4916</v>
      </c>
      <c r="J14" s="234" t="s">
        <v>4917</v>
      </c>
      <c r="K14" s="237" t="str">
        <f>IF(COUNTIF(L14:AY14,"&lt;&gt;")=0,"",SUMPRODUCT(((Recommendations[ImplStatus]="Implemented")+(Recommendations[ImplStatus]="Compensated"))*ISNUMBER(MATCH(Recommendations[Id],L14:AY14,0)))/COUNTIF(L14:AY14,"&lt;&gt;"))</f>
        <v/>
      </c>
      <c r="L14" s="240"/>
      <c r="M14" s="240"/>
      <c r="N14" s="240"/>
      <c r="O14" s="240"/>
      <c r="P14" s="240"/>
      <c r="Q14" s="240"/>
      <c r="R14" s="240"/>
      <c r="S14" s="240"/>
      <c r="T14" s="240"/>
      <c r="U14" s="240"/>
      <c r="V14" s="240"/>
      <c r="W14" s="240"/>
      <c r="X14" s="240"/>
      <c r="Y14" s="240"/>
      <c r="Z14" s="240"/>
      <c r="AA14" s="240"/>
      <c r="AB14" s="240"/>
      <c r="AC14" s="240"/>
      <c r="AD14" s="240"/>
      <c r="AE14" s="240"/>
      <c r="AF14" s="240"/>
      <c r="AG14" s="240"/>
      <c r="AH14" s="240"/>
      <c r="AI14" s="240"/>
      <c r="AJ14" s="240"/>
      <c r="AK14" s="240"/>
      <c r="AL14" s="240"/>
      <c r="AM14" s="240"/>
      <c r="AN14" s="240"/>
      <c r="AO14" s="240"/>
      <c r="AP14" s="240"/>
      <c r="AQ14" s="240"/>
      <c r="AR14" s="240"/>
      <c r="AS14" s="240"/>
      <c r="AT14" s="240"/>
      <c r="AU14" s="240"/>
      <c r="AV14" s="240"/>
      <c r="AW14" s="240"/>
      <c r="AX14" s="240"/>
      <c r="AY14" s="250"/>
    </row>
    <row r="15" spans="1:51" ht="60" customHeight="1" outlineLevel="1" x14ac:dyDescent="0.35">
      <c r="A15" s="245" t="s">
        <v>2086</v>
      </c>
      <c r="B15" s="233" t="s">
        <v>4918</v>
      </c>
      <c r="C15" s="233"/>
      <c r="D15" s="233"/>
      <c r="E15" s="233"/>
      <c r="F15" s="233"/>
      <c r="G15" s="233"/>
      <c r="H15" s="233"/>
      <c r="I15" s="233"/>
      <c r="J15" s="233"/>
      <c r="K15" s="236" t="str">
        <f>IF(COUNTIF(L15:AY15,"&lt;&gt;")=0,"",SUMPRODUCT(((Recommendations[ImplStatus]="Implemented")+(Recommendations[ImplStatus]="Compensated"))*ISNUMBER(MATCH(Recommendations[Id],L15:AY15,0)))/COUNTIF(L15:AY15,"&lt;&gt;"))</f>
        <v/>
      </c>
      <c r="L15" s="239"/>
      <c r="M15" s="239"/>
      <c r="N15" s="239"/>
      <c r="O15" s="239"/>
      <c r="P15" s="239"/>
      <c r="Q15" s="239"/>
      <c r="R15" s="239"/>
      <c r="S15" s="239"/>
      <c r="T15" s="239"/>
      <c r="U15" s="239"/>
      <c r="V15" s="239"/>
      <c r="W15" s="239"/>
      <c r="X15" s="239"/>
      <c r="Y15" s="239"/>
      <c r="Z15" s="239"/>
      <c r="AA15" s="239"/>
      <c r="AB15" s="239"/>
      <c r="AC15" s="239"/>
      <c r="AD15" s="239"/>
      <c r="AE15" s="239"/>
      <c r="AF15" s="239"/>
      <c r="AG15" s="239"/>
      <c r="AH15" s="239"/>
      <c r="AI15" s="239"/>
      <c r="AJ15" s="239"/>
      <c r="AK15" s="239"/>
      <c r="AL15" s="239"/>
      <c r="AM15" s="239"/>
      <c r="AN15" s="239"/>
      <c r="AO15" s="239"/>
      <c r="AP15" s="239"/>
      <c r="AQ15" s="239"/>
      <c r="AR15" s="239"/>
      <c r="AS15" s="239"/>
      <c r="AT15" s="239"/>
      <c r="AU15" s="239"/>
      <c r="AV15" s="239"/>
      <c r="AW15" s="239"/>
      <c r="AX15" s="239"/>
      <c r="AY15" s="249"/>
    </row>
    <row r="16" spans="1:51" ht="60" customHeight="1" x14ac:dyDescent="0.35">
      <c r="A16" s="246" t="s">
        <v>4919</v>
      </c>
      <c r="B16" s="234" t="s">
        <v>4920</v>
      </c>
      <c r="C16" s="234" t="s">
        <v>4921</v>
      </c>
      <c r="D16" s="234" t="s">
        <v>4913</v>
      </c>
      <c r="E16" s="234" t="s">
        <v>19</v>
      </c>
      <c r="F16" s="234" t="s">
        <v>4922</v>
      </c>
      <c r="G16" s="234" t="s">
        <v>19</v>
      </c>
      <c r="H16" s="234" t="s">
        <v>4923</v>
      </c>
      <c r="I16" s="234" t="s">
        <v>19</v>
      </c>
      <c r="J16" s="234" t="s">
        <v>4924</v>
      </c>
      <c r="K16" s="237">
        <f>IF(COUNTIF(L16:AY16,"&lt;&gt;")=0,"",SUMPRODUCT(((Recommendations[ImplStatus]="Implemented")+(Recommendations[ImplStatus]="Compensated"))*ISNUMBER(MATCH(Recommendations[Id],L16:AY16,0)))/COUNTIF(L16:AY16,"&lt;&gt;"))</f>
        <v>0</v>
      </c>
      <c r="L16" s="240" t="s">
        <v>1337</v>
      </c>
      <c r="M16" s="240"/>
      <c r="N16" s="240"/>
      <c r="O16" s="240"/>
      <c r="P16" s="240"/>
      <c r="Q16" s="240"/>
      <c r="R16" s="240"/>
      <c r="S16" s="240"/>
      <c r="T16" s="240"/>
      <c r="U16" s="240"/>
      <c r="V16" s="240"/>
      <c r="W16" s="240"/>
      <c r="X16" s="240"/>
      <c r="Y16" s="240"/>
      <c r="Z16" s="240"/>
      <c r="AA16" s="240"/>
      <c r="AB16" s="240"/>
      <c r="AC16" s="240"/>
      <c r="AD16" s="240"/>
      <c r="AE16" s="240"/>
      <c r="AF16" s="240"/>
      <c r="AG16" s="240"/>
      <c r="AH16" s="240"/>
      <c r="AI16" s="240"/>
      <c r="AJ16" s="240"/>
      <c r="AK16" s="240"/>
      <c r="AL16" s="240"/>
      <c r="AM16" s="240"/>
      <c r="AN16" s="240"/>
      <c r="AO16" s="240"/>
      <c r="AP16" s="240"/>
      <c r="AQ16" s="240"/>
      <c r="AR16" s="240"/>
      <c r="AS16" s="240"/>
      <c r="AT16" s="240"/>
      <c r="AU16" s="240"/>
      <c r="AV16" s="240"/>
      <c r="AW16" s="240"/>
      <c r="AX16" s="240"/>
      <c r="AY16" s="250"/>
    </row>
    <row r="17" spans="1:51" ht="60" customHeight="1" x14ac:dyDescent="0.35">
      <c r="A17" s="246" t="s">
        <v>4925</v>
      </c>
      <c r="B17" s="234" t="s">
        <v>4926</v>
      </c>
      <c r="C17" s="234" t="s">
        <v>4927</v>
      </c>
      <c r="D17" s="234" t="s">
        <v>4928</v>
      </c>
      <c r="E17" s="234" t="s">
        <v>19</v>
      </c>
      <c r="F17" s="234" t="s">
        <v>4922</v>
      </c>
      <c r="G17" s="234" t="s">
        <v>19</v>
      </c>
      <c r="H17" s="234" t="s">
        <v>4929</v>
      </c>
      <c r="I17" s="234" t="s">
        <v>19</v>
      </c>
      <c r="J17" s="234" t="s">
        <v>4930</v>
      </c>
      <c r="K17" s="237" t="str">
        <f>IF(COUNTIF(L17:AY17,"&lt;&gt;")=0,"",SUMPRODUCT(((Recommendations[ImplStatus]="Implemented")+(Recommendations[ImplStatus]="Compensated"))*ISNUMBER(MATCH(Recommendations[Id],L17:AY17,0)))/COUNTIF(L17:AY17,"&lt;&gt;"))</f>
        <v/>
      </c>
      <c r="L17" s="240"/>
      <c r="M17" s="240"/>
      <c r="N17" s="240"/>
      <c r="O17" s="240"/>
      <c r="P17" s="240"/>
      <c r="Q17" s="240"/>
      <c r="R17" s="240"/>
      <c r="S17" s="240"/>
      <c r="T17" s="240"/>
      <c r="U17" s="240"/>
      <c r="V17" s="240"/>
      <c r="W17" s="240"/>
      <c r="X17" s="240"/>
      <c r="Y17" s="240"/>
      <c r="Z17" s="240"/>
      <c r="AA17" s="240"/>
      <c r="AB17" s="240"/>
      <c r="AC17" s="240"/>
      <c r="AD17" s="240"/>
      <c r="AE17" s="240"/>
      <c r="AF17" s="240"/>
      <c r="AG17" s="240"/>
      <c r="AH17" s="240"/>
      <c r="AI17" s="240"/>
      <c r="AJ17" s="240"/>
      <c r="AK17" s="240"/>
      <c r="AL17" s="240"/>
      <c r="AM17" s="240"/>
      <c r="AN17" s="240"/>
      <c r="AO17" s="240"/>
      <c r="AP17" s="240"/>
      <c r="AQ17" s="240"/>
      <c r="AR17" s="240"/>
      <c r="AS17" s="240"/>
      <c r="AT17" s="240"/>
      <c r="AU17" s="240"/>
      <c r="AV17" s="240"/>
      <c r="AW17" s="240"/>
      <c r="AX17" s="240"/>
      <c r="AY17" s="250"/>
    </row>
    <row r="18" spans="1:51" ht="60" customHeight="1" x14ac:dyDescent="0.35">
      <c r="A18" s="246" t="s">
        <v>4931</v>
      </c>
      <c r="B18" s="234" t="s">
        <v>4932</v>
      </c>
      <c r="C18" s="234" t="s">
        <v>4933</v>
      </c>
      <c r="D18" s="234" t="s">
        <v>19</v>
      </c>
      <c r="E18" s="234" t="s">
        <v>19</v>
      </c>
      <c r="F18" s="234" t="s">
        <v>19</v>
      </c>
      <c r="G18" s="234" t="s">
        <v>19</v>
      </c>
      <c r="H18" s="234" t="s">
        <v>4934</v>
      </c>
      <c r="I18" s="234" t="s">
        <v>19</v>
      </c>
      <c r="J18" s="234" t="s">
        <v>4935</v>
      </c>
      <c r="K18" s="237" t="str">
        <f>IF(COUNTIF(L18:AY18,"&lt;&gt;")=0,"",SUMPRODUCT(((Recommendations[ImplStatus]="Implemented")+(Recommendations[ImplStatus]="Compensated"))*ISNUMBER(MATCH(Recommendations[Id],L18:AY18,0)))/COUNTIF(L18:AY18,"&lt;&gt;"))</f>
        <v/>
      </c>
      <c r="L18" s="240"/>
      <c r="M18" s="240"/>
      <c r="N18" s="240"/>
      <c r="O18" s="240"/>
      <c r="P18" s="240"/>
      <c r="Q18" s="240"/>
      <c r="R18" s="240"/>
      <c r="S18" s="240"/>
      <c r="T18" s="240"/>
      <c r="U18" s="240"/>
      <c r="V18" s="240"/>
      <c r="W18" s="240"/>
      <c r="X18" s="240"/>
      <c r="Y18" s="240"/>
      <c r="Z18" s="240"/>
      <c r="AA18" s="240"/>
      <c r="AB18" s="240"/>
      <c r="AC18" s="240"/>
      <c r="AD18" s="240"/>
      <c r="AE18" s="240"/>
      <c r="AF18" s="240"/>
      <c r="AG18" s="240"/>
      <c r="AH18" s="240"/>
      <c r="AI18" s="240"/>
      <c r="AJ18" s="240"/>
      <c r="AK18" s="240"/>
      <c r="AL18" s="240"/>
      <c r="AM18" s="240"/>
      <c r="AN18" s="240"/>
      <c r="AO18" s="240"/>
      <c r="AP18" s="240"/>
      <c r="AQ18" s="240"/>
      <c r="AR18" s="240"/>
      <c r="AS18" s="240"/>
      <c r="AT18" s="240"/>
      <c r="AU18" s="240"/>
      <c r="AV18" s="240"/>
      <c r="AW18" s="240"/>
      <c r="AX18" s="240"/>
      <c r="AY18" s="250"/>
    </row>
    <row r="19" spans="1:51" ht="60" customHeight="1" outlineLevel="1" x14ac:dyDescent="0.35">
      <c r="A19" s="245" t="s">
        <v>2091</v>
      </c>
      <c r="B19" s="233" t="s">
        <v>4936</v>
      </c>
      <c r="C19" s="233"/>
      <c r="D19" s="233"/>
      <c r="E19" s="233"/>
      <c r="F19" s="233"/>
      <c r="G19" s="233"/>
      <c r="H19" s="233"/>
      <c r="I19" s="233"/>
      <c r="J19" s="233"/>
      <c r="K19" s="236" t="str">
        <f>IF(COUNTIF(L19:AY19,"&lt;&gt;")=0,"",SUMPRODUCT(((Recommendations[ImplStatus]="Implemented")+(Recommendations[ImplStatus]="Compensated"))*ISNUMBER(MATCH(Recommendations[Id],L19:AY19,0)))/COUNTIF(L19:AY19,"&lt;&gt;"))</f>
        <v/>
      </c>
      <c r="L19" s="239"/>
      <c r="M19" s="239"/>
      <c r="N19" s="239"/>
      <c r="O19" s="239"/>
      <c r="P19" s="239"/>
      <c r="Q19" s="239"/>
      <c r="R19" s="239"/>
      <c r="S19" s="239"/>
      <c r="T19" s="239"/>
      <c r="U19" s="239"/>
      <c r="V19" s="239"/>
      <c r="W19" s="239"/>
      <c r="X19" s="239"/>
      <c r="Y19" s="239"/>
      <c r="Z19" s="239"/>
      <c r="AA19" s="239"/>
      <c r="AB19" s="239"/>
      <c r="AC19" s="239"/>
      <c r="AD19" s="239"/>
      <c r="AE19" s="239"/>
      <c r="AF19" s="239"/>
      <c r="AG19" s="239"/>
      <c r="AH19" s="239"/>
      <c r="AI19" s="239"/>
      <c r="AJ19" s="239"/>
      <c r="AK19" s="239"/>
      <c r="AL19" s="239"/>
      <c r="AM19" s="239"/>
      <c r="AN19" s="239"/>
      <c r="AO19" s="239"/>
      <c r="AP19" s="239"/>
      <c r="AQ19" s="239"/>
      <c r="AR19" s="239"/>
      <c r="AS19" s="239"/>
      <c r="AT19" s="239"/>
      <c r="AU19" s="239"/>
      <c r="AV19" s="239"/>
      <c r="AW19" s="239"/>
      <c r="AX19" s="239"/>
      <c r="AY19" s="249"/>
    </row>
    <row r="20" spans="1:51" ht="60" customHeight="1" x14ac:dyDescent="0.35">
      <c r="A20" s="246" t="s">
        <v>4937</v>
      </c>
      <c r="B20" s="234" t="s">
        <v>4938</v>
      </c>
      <c r="C20" s="234" t="s">
        <v>4939</v>
      </c>
      <c r="D20" s="234" t="s">
        <v>4940</v>
      </c>
      <c r="E20" s="234" t="s">
        <v>19</v>
      </c>
      <c r="F20" s="234" t="s">
        <v>4941</v>
      </c>
      <c r="G20" s="234" t="s">
        <v>19</v>
      </c>
      <c r="H20" s="234" t="s">
        <v>4942</v>
      </c>
      <c r="I20" s="234" t="s">
        <v>19</v>
      </c>
      <c r="J20" s="234" t="s">
        <v>4943</v>
      </c>
      <c r="K20" s="237">
        <f>IF(COUNTIF(L20:AY20,"&lt;&gt;")=0,"",SUMPRODUCT(((Recommendations[ImplStatus]="Implemented")+(Recommendations[ImplStatus]="Compensated"))*ISNUMBER(MATCH(Recommendations[Id],L20:AY20,0)))/COUNTIF(L20:AY20,"&lt;&gt;"))</f>
        <v>0</v>
      </c>
      <c r="L20" s="240" t="s">
        <v>1342</v>
      </c>
      <c r="M20" s="240" t="s">
        <v>1347</v>
      </c>
      <c r="N20" s="240"/>
      <c r="O20" s="240"/>
      <c r="P20" s="240"/>
      <c r="Q20" s="240"/>
      <c r="R20" s="240"/>
      <c r="S20" s="240"/>
      <c r="T20" s="240"/>
      <c r="U20" s="240"/>
      <c r="V20" s="240"/>
      <c r="W20" s="240"/>
      <c r="X20" s="240"/>
      <c r="Y20" s="240"/>
      <c r="Z20" s="240"/>
      <c r="AA20" s="240"/>
      <c r="AB20" s="240"/>
      <c r="AC20" s="240"/>
      <c r="AD20" s="240"/>
      <c r="AE20" s="240"/>
      <c r="AF20" s="240"/>
      <c r="AG20" s="240"/>
      <c r="AH20" s="240"/>
      <c r="AI20" s="240"/>
      <c r="AJ20" s="240"/>
      <c r="AK20" s="240"/>
      <c r="AL20" s="240"/>
      <c r="AM20" s="240"/>
      <c r="AN20" s="240"/>
      <c r="AO20" s="240"/>
      <c r="AP20" s="240"/>
      <c r="AQ20" s="240"/>
      <c r="AR20" s="240"/>
      <c r="AS20" s="240"/>
      <c r="AT20" s="240"/>
      <c r="AU20" s="240"/>
      <c r="AV20" s="240"/>
      <c r="AW20" s="240"/>
      <c r="AX20" s="240"/>
      <c r="AY20" s="250"/>
    </row>
    <row r="21" spans="1:51" ht="60" customHeight="1" x14ac:dyDescent="0.35">
      <c r="A21" s="246" t="s">
        <v>4944</v>
      </c>
      <c r="B21" s="234" t="s">
        <v>4945</v>
      </c>
      <c r="C21" s="234" t="s">
        <v>4946</v>
      </c>
      <c r="D21" s="234" t="s">
        <v>4947</v>
      </c>
      <c r="E21" s="234" t="s">
        <v>4948</v>
      </c>
      <c r="F21" s="234" t="s">
        <v>19</v>
      </c>
      <c r="G21" s="234" t="s">
        <v>19</v>
      </c>
      <c r="H21" s="234" t="s">
        <v>4949</v>
      </c>
      <c r="I21" s="234" t="s">
        <v>4950</v>
      </c>
      <c r="J21" s="234" t="s">
        <v>4951</v>
      </c>
      <c r="K21" s="237" t="str">
        <f>IF(COUNTIF(L21:AY21,"&lt;&gt;")=0,"",SUMPRODUCT(((Recommendations[ImplStatus]="Implemented")+(Recommendations[ImplStatus]="Compensated"))*ISNUMBER(MATCH(Recommendations[Id],L21:AY21,0)))/COUNTIF(L21:AY21,"&lt;&gt;"))</f>
        <v/>
      </c>
      <c r="L21" s="240"/>
      <c r="M21" s="240"/>
      <c r="N21" s="240"/>
      <c r="O21" s="240"/>
      <c r="P21" s="240"/>
      <c r="Q21" s="240"/>
      <c r="R21" s="240"/>
      <c r="S21" s="240"/>
      <c r="T21" s="240"/>
      <c r="U21" s="240"/>
      <c r="V21" s="240"/>
      <c r="W21" s="240"/>
      <c r="X21" s="240"/>
      <c r="Y21" s="240"/>
      <c r="Z21" s="240"/>
      <c r="AA21" s="240"/>
      <c r="AB21" s="240"/>
      <c r="AC21" s="240"/>
      <c r="AD21" s="240"/>
      <c r="AE21" s="240"/>
      <c r="AF21" s="240"/>
      <c r="AG21" s="240"/>
      <c r="AH21" s="240"/>
      <c r="AI21" s="240"/>
      <c r="AJ21" s="240"/>
      <c r="AK21" s="240"/>
      <c r="AL21" s="240"/>
      <c r="AM21" s="240"/>
      <c r="AN21" s="240"/>
      <c r="AO21" s="240"/>
      <c r="AP21" s="240"/>
      <c r="AQ21" s="240"/>
      <c r="AR21" s="240"/>
      <c r="AS21" s="240"/>
      <c r="AT21" s="240"/>
      <c r="AU21" s="240"/>
      <c r="AV21" s="240"/>
      <c r="AW21" s="240"/>
      <c r="AX21" s="240"/>
      <c r="AY21" s="250"/>
    </row>
    <row r="22" spans="1:51" ht="60" customHeight="1" x14ac:dyDescent="0.35">
      <c r="A22" s="246" t="s">
        <v>4952</v>
      </c>
      <c r="B22" s="234" t="s">
        <v>4953</v>
      </c>
      <c r="C22" s="234" t="s">
        <v>4954</v>
      </c>
      <c r="D22" s="234" t="s">
        <v>4955</v>
      </c>
      <c r="E22" s="234" t="s">
        <v>19</v>
      </c>
      <c r="F22" s="234" t="s">
        <v>4956</v>
      </c>
      <c r="G22" s="234" t="s">
        <v>19</v>
      </c>
      <c r="H22" s="234" t="s">
        <v>4957</v>
      </c>
      <c r="I22" s="234" t="s">
        <v>19</v>
      </c>
      <c r="J22" s="234" t="s">
        <v>4958</v>
      </c>
      <c r="K22" s="237">
        <f>IF(COUNTIF(L22:AY22,"&lt;&gt;")=0,"",SUMPRODUCT(((Recommendations[ImplStatus]="Implemented")+(Recommendations[ImplStatus]="Compensated"))*ISNUMBER(MATCH(Recommendations[Id],L22:AY22,0)))/COUNTIF(L22:AY22,"&lt;&gt;"))</f>
        <v>0</v>
      </c>
      <c r="L22" s="240" t="s">
        <v>1578</v>
      </c>
      <c r="M22" s="240"/>
      <c r="N22" s="240"/>
      <c r="O22" s="240"/>
      <c r="P22" s="240"/>
      <c r="Q22" s="240"/>
      <c r="R22" s="240"/>
      <c r="S22" s="240"/>
      <c r="T22" s="240"/>
      <c r="U22" s="240"/>
      <c r="V22" s="240"/>
      <c r="W22" s="240"/>
      <c r="X22" s="240"/>
      <c r="Y22" s="240"/>
      <c r="Z22" s="240"/>
      <c r="AA22" s="240"/>
      <c r="AB22" s="240"/>
      <c r="AC22" s="240"/>
      <c r="AD22" s="240"/>
      <c r="AE22" s="240"/>
      <c r="AF22" s="240"/>
      <c r="AG22" s="240"/>
      <c r="AH22" s="240"/>
      <c r="AI22" s="240"/>
      <c r="AJ22" s="240"/>
      <c r="AK22" s="240"/>
      <c r="AL22" s="240"/>
      <c r="AM22" s="240"/>
      <c r="AN22" s="240"/>
      <c r="AO22" s="240"/>
      <c r="AP22" s="240"/>
      <c r="AQ22" s="240"/>
      <c r="AR22" s="240"/>
      <c r="AS22" s="240"/>
      <c r="AT22" s="240"/>
      <c r="AU22" s="240"/>
      <c r="AV22" s="240"/>
      <c r="AW22" s="240"/>
      <c r="AX22" s="240"/>
      <c r="AY22" s="250"/>
    </row>
    <row r="23" spans="1:51" ht="60" customHeight="1" x14ac:dyDescent="0.35">
      <c r="A23" s="246" t="s">
        <v>4959</v>
      </c>
      <c r="B23" s="234" t="s">
        <v>4960</v>
      </c>
      <c r="C23" s="234" t="s">
        <v>4961</v>
      </c>
      <c r="D23" s="234" t="s">
        <v>4962</v>
      </c>
      <c r="E23" s="234" t="s">
        <v>19</v>
      </c>
      <c r="F23" s="234" t="s">
        <v>19</v>
      </c>
      <c r="G23" s="234" t="s">
        <v>19</v>
      </c>
      <c r="H23" s="234" t="s">
        <v>4963</v>
      </c>
      <c r="I23" s="234" t="s">
        <v>4964</v>
      </c>
      <c r="J23" s="234" t="s">
        <v>4965</v>
      </c>
      <c r="K23" s="237" t="str">
        <f>IF(COUNTIF(L23:AY23,"&lt;&gt;")=0,"",SUMPRODUCT(((Recommendations[ImplStatus]="Implemented")+(Recommendations[ImplStatus]="Compensated"))*ISNUMBER(MATCH(Recommendations[Id],L23:AY23,0)))/COUNTIF(L23:AY23,"&lt;&gt;"))</f>
        <v/>
      </c>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40"/>
      <c r="AJ23" s="240"/>
      <c r="AK23" s="240"/>
      <c r="AL23" s="240"/>
      <c r="AM23" s="240"/>
      <c r="AN23" s="240"/>
      <c r="AO23" s="240"/>
      <c r="AP23" s="240"/>
      <c r="AQ23" s="240"/>
      <c r="AR23" s="240"/>
      <c r="AS23" s="240"/>
      <c r="AT23" s="240"/>
      <c r="AU23" s="240"/>
      <c r="AV23" s="240"/>
      <c r="AW23" s="240"/>
      <c r="AX23" s="240"/>
      <c r="AY23" s="250"/>
    </row>
    <row r="24" spans="1:51" ht="60" customHeight="1" x14ac:dyDescent="0.35">
      <c r="A24" s="246" t="s">
        <v>4966</v>
      </c>
      <c r="B24" s="234" t="s">
        <v>4967</v>
      </c>
      <c r="C24" s="234" t="s">
        <v>4968</v>
      </c>
      <c r="D24" s="234" t="s">
        <v>4962</v>
      </c>
      <c r="E24" s="234" t="s">
        <v>19</v>
      </c>
      <c r="F24" s="234" t="s">
        <v>4969</v>
      </c>
      <c r="G24" s="234" t="s">
        <v>19</v>
      </c>
      <c r="H24" s="234" t="s">
        <v>4970</v>
      </c>
      <c r="I24" s="234" t="s">
        <v>19</v>
      </c>
      <c r="J24" s="234" t="s">
        <v>4971</v>
      </c>
      <c r="K24" s="237" t="str">
        <f>IF(COUNTIF(L24:AY24,"&lt;&gt;")=0,"",SUMPRODUCT(((Recommendations[ImplStatus]="Implemented")+(Recommendations[ImplStatus]="Compensated"))*ISNUMBER(MATCH(Recommendations[Id],L24:AY24,0)))/COUNTIF(L24:AY24,"&lt;&gt;"))</f>
        <v/>
      </c>
      <c r="L24" s="240"/>
      <c r="M24" s="240"/>
      <c r="N24" s="240"/>
      <c r="O24" s="240"/>
      <c r="P24" s="240"/>
      <c r="Q24" s="240"/>
      <c r="R24" s="240"/>
      <c r="S24" s="240"/>
      <c r="T24" s="240"/>
      <c r="U24" s="240"/>
      <c r="V24" s="240"/>
      <c r="W24" s="240"/>
      <c r="X24" s="240"/>
      <c r="Y24" s="240"/>
      <c r="Z24" s="240"/>
      <c r="AA24" s="240"/>
      <c r="AB24" s="240"/>
      <c r="AC24" s="240"/>
      <c r="AD24" s="240"/>
      <c r="AE24" s="240"/>
      <c r="AF24" s="240"/>
      <c r="AG24" s="240"/>
      <c r="AH24" s="240"/>
      <c r="AI24" s="240"/>
      <c r="AJ24" s="240"/>
      <c r="AK24" s="240"/>
      <c r="AL24" s="240"/>
      <c r="AM24" s="240"/>
      <c r="AN24" s="240"/>
      <c r="AO24" s="240"/>
      <c r="AP24" s="240"/>
      <c r="AQ24" s="240"/>
      <c r="AR24" s="240"/>
      <c r="AS24" s="240"/>
      <c r="AT24" s="240"/>
      <c r="AU24" s="240"/>
      <c r="AV24" s="240"/>
      <c r="AW24" s="240"/>
      <c r="AX24" s="240"/>
      <c r="AY24" s="250"/>
    </row>
    <row r="25" spans="1:51" ht="60" customHeight="1" outlineLevel="1" x14ac:dyDescent="0.35">
      <c r="A25" s="245" t="s">
        <v>2095</v>
      </c>
      <c r="B25" s="233" t="s">
        <v>4972</v>
      </c>
      <c r="C25" s="233"/>
      <c r="D25" s="233"/>
      <c r="E25" s="233"/>
      <c r="F25" s="233"/>
      <c r="G25" s="233"/>
      <c r="H25" s="233"/>
      <c r="I25" s="233"/>
      <c r="J25" s="233"/>
      <c r="K25" s="236" t="str">
        <f>IF(COUNTIF(L25:AY25,"&lt;&gt;")=0,"",SUMPRODUCT(((Recommendations[ImplStatus]="Implemented")+(Recommendations[ImplStatus]="Compensated"))*ISNUMBER(MATCH(Recommendations[Id],L25:AY25,0)))/COUNTIF(L25:AY25,"&lt;&gt;"))</f>
        <v/>
      </c>
      <c r="L25" s="239"/>
      <c r="M25" s="239"/>
      <c r="N25" s="239"/>
      <c r="O25" s="239"/>
      <c r="P25" s="239"/>
      <c r="Q25" s="239"/>
      <c r="R25" s="239"/>
      <c r="S25" s="239"/>
      <c r="T25" s="239"/>
      <c r="U25" s="239"/>
      <c r="V25" s="239"/>
      <c r="W25" s="239"/>
      <c r="X25" s="239"/>
      <c r="Y25" s="239"/>
      <c r="Z25" s="239"/>
      <c r="AA25" s="239"/>
      <c r="AB25" s="239"/>
      <c r="AC25" s="239"/>
      <c r="AD25" s="239"/>
      <c r="AE25" s="239"/>
      <c r="AF25" s="239"/>
      <c r="AG25" s="239"/>
      <c r="AH25" s="239"/>
      <c r="AI25" s="239"/>
      <c r="AJ25" s="239"/>
      <c r="AK25" s="239"/>
      <c r="AL25" s="239"/>
      <c r="AM25" s="239"/>
      <c r="AN25" s="239"/>
      <c r="AO25" s="239"/>
      <c r="AP25" s="239"/>
      <c r="AQ25" s="239"/>
      <c r="AR25" s="239"/>
      <c r="AS25" s="239"/>
      <c r="AT25" s="239"/>
      <c r="AU25" s="239"/>
      <c r="AV25" s="239"/>
      <c r="AW25" s="239"/>
      <c r="AX25" s="239"/>
      <c r="AY25" s="249"/>
    </row>
    <row r="26" spans="1:51" ht="60" customHeight="1" x14ac:dyDescent="0.35">
      <c r="A26" s="246" t="s">
        <v>4973</v>
      </c>
      <c r="B26" s="234" t="s">
        <v>4974</v>
      </c>
      <c r="C26" s="234" t="s">
        <v>4975</v>
      </c>
      <c r="D26" s="234" t="s">
        <v>4976</v>
      </c>
      <c r="E26" s="234" t="s">
        <v>19</v>
      </c>
      <c r="F26" s="234" t="s">
        <v>4977</v>
      </c>
      <c r="G26" s="234" t="s">
        <v>19</v>
      </c>
      <c r="H26" s="234" t="s">
        <v>4978</v>
      </c>
      <c r="I26" s="234" t="s">
        <v>19</v>
      </c>
      <c r="J26" s="234" t="s">
        <v>4979</v>
      </c>
      <c r="K26" s="237" t="str">
        <f>IF(COUNTIF(L26:AY26,"&lt;&gt;")=0,"",SUMPRODUCT(((Recommendations[ImplStatus]="Implemented")+(Recommendations[ImplStatus]="Compensated"))*ISNUMBER(MATCH(Recommendations[Id],L26:AY26,0)))/COUNTIF(L26:AY26,"&lt;&gt;"))</f>
        <v/>
      </c>
      <c r="L26" s="240"/>
      <c r="M26" s="240"/>
      <c r="N26" s="240"/>
      <c r="O26" s="240"/>
      <c r="P26" s="240"/>
      <c r="Q26" s="240"/>
      <c r="R26" s="240"/>
      <c r="S26" s="240"/>
      <c r="T26" s="240"/>
      <c r="U26" s="240"/>
      <c r="V26" s="240"/>
      <c r="W26" s="240"/>
      <c r="X26" s="240"/>
      <c r="Y26" s="240"/>
      <c r="Z26" s="240"/>
      <c r="AA26" s="240"/>
      <c r="AB26" s="240"/>
      <c r="AC26" s="240"/>
      <c r="AD26" s="240"/>
      <c r="AE26" s="240"/>
      <c r="AF26" s="240"/>
      <c r="AG26" s="240"/>
      <c r="AH26" s="240"/>
      <c r="AI26" s="240"/>
      <c r="AJ26" s="240"/>
      <c r="AK26" s="240"/>
      <c r="AL26" s="240"/>
      <c r="AM26" s="240"/>
      <c r="AN26" s="240"/>
      <c r="AO26" s="240"/>
      <c r="AP26" s="240"/>
      <c r="AQ26" s="240"/>
      <c r="AR26" s="240"/>
      <c r="AS26" s="240"/>
      <c r="AT26" s="240"/>
      <c r="AU26" s="240"/>
      <c r="AV26" s="240"/>
      <c r="AW26" s="240"/>
      <c r="AX26" s="240"/>
      <c r="AY26" s="250"/>
    </row>
    <row r="27" spans="1:51" ht="60" customHeight="1" outlineLevel="1" x14ac:dyDescent="0.35">
      <c r="A27" s="244" t="s">
        <v>4980</v>
      </c>
      <c r="B27" s="232" t="s">
        <v>4981</v>
      </c>
      <c r="C27" s="232"/>
      <c r="D27" s="232"/>
      <c r="E27" s="232"/>
      <c r="F27" s="232"/>
      <c r="G27" s="232"/>
      <c r="H27" s="232"/>
      <c r="I27" s="232"/>
      <c r="J27" s="232"/>
      <c r="K27" s="235" t="str">
        <f>IF(COUNTIF(L27:AY27,"&lt;&gt;")=0,"",SUMPRODUCT(((Recommendations[ImplStatus]="Implemented")+(Recommendations[ImplStatus]="Compensated"))*ISNUMBER(MATCH(Recommendations[Id],L27:AY27,0)))/COUNTIF(L27:AY27,"&lt;&gt;"))</f>
        <v/>
      </c>
      <c r="L27" s="238"/>
      <c r="M27" s="238"/>
      <c r="N27" s="238"/>
      <c r="O27" s="238"/>
      <c r="P27" s="238"/>
      <c r="Q27" s="238"/>
      <c r="R27" s="238"/>
      <c r="S27" s="238"/>
      <c r="T27" s="238"/>
      <c r="U27" s="238"/>
      <c r="V27" s="238"/>
      <c r="W27" s="238"/>
      <c r="X27" s="238"/>
      <c r="Y27" s="238"/>
      <c r="Z27" s="238"/>
      <c r="AA27" s="238"/>
      <c r="AB27" s="238"/>
      <c r="AC27" s="238"/>
      <c r="AD27" s="238"/>
      <c r="AE27" s="238"/>
      <c r="AF27" s="238"/>
      <c r="AG27" s="238"/>
      <c r="AH27" s="238"/>
      <c r="AI27" s="238"/>
      <c r="AJ27" s="238"/>
      <c r="AK27" s="238"/>
      <c r="AL27" s="238"/>
      <c r="AM27" s="238"/>
      <c r="AN27" s="238"/>
      <c r="AO27" s="238"/>
      <c r="AP27" s="238"/>
      <c r="AQ27" s="238"/>
      <c r="AR27" s="238"/>
      <c r="AS27" s="238"/>
      <c r="AT27" s="238"/>
      <c r="AU27" s="238"/>
      <c r="AV27" s="238"/>
      <c r="AW27" s="238"/>
      <c r="AX27" s="238"/>
      <c r="AY27" s="248"/>
    </row>
    <row r="28" spans="1:51" ht="60" customHeight="1" outlineLevel="1" x14ac:dyDescent="0.35">
      <c r="A28" s="245" t="s">
        <v>2101</v>
      </c>
      <c r="B28" s="233" t="s">
        <v>4982</v>
      </c>
      <c r="C28" s="233"/>
      <c r="D28" s="233"/>
      <c r="E28" s="233"/>
      <c r="F28" s="233"/>
      <c r="G28" s="233"/>
      <c r="H28" s="233"/>
      <c r="I28" s="233"/>
      <c r="J28" s="233"/>
      <c r="K28" s="236" t="str">
        <f>IF(COUNTIF(L28:AY28,"&lt;&gt;")=0,"",SUMPRODUCT(((Recommendations[ImplStatus]="Implemented")+(Recommendations[ImplStatus]="Compensated"))*ISNUMBER(MATCH(Recommendations[Id],L28:AY28,0)))/COUNTIF(L28:AY28,"&lt;&gt;"))</f>
        <v/>
      </c>
      <c r="L28" s="239"/>
      <c r="M28" s="239"/>
      <c r="N28" s="239"/>
      <c r="O28" s="239"/>
      <c r="P28" s="239"/>
      <c r="Q28" s="239"/>
      <c r="R28" s="239"/>
      <c r="S28" s="239"/>
      <c r="T28" s="239"/>
      <c r="U28" s="239"/>
      <c r="V28" s="239"/>
      <c r="W28" s="239"/>
      <c r="X28" s="239"/>
      <c r="Y28" s="239"/>
      <c r="Z28" s="239"/>
      <c r="AA28" s="239"/>
      <c r="AB28" s="239"/>
      <c r="AC28" s="239"/>
      <c r="AD28" s="239"/>
      <c r="AE28" s="239"/>
      <c r="AF28" s="239"/>
      <c r="AG28" s="239"/>
      <c r="AH28" s="239"/>
      <c r="AI28" s="239"/>
      <c r="AJ28" s="239"/>
      <c r="AK28" s="239"/>
      <c r="AL28" s="239"/>
      <c r="AM28" s="239"/>
      <c r="AN28" s="239"/>
      <c r="AO28" s="239"/>
      <c r="AP28" s="239"/>
      <c r="AQ28" s="239"/>
      <c r="AR28" s="239"/>
      <c r="AS28" s="239"/>
      <c r="AT28" s="239"/>
      <c r="AU28" s="239"/>
      <c r="AV28" s="239"/>
      <c r="AW28" s="239"/>
      <c r="AX28" s="239"/>
      <c r="AY28" s="249"/>
    </row>
    <row r="29" spans="1:51" ht="60" customHeight="1" x14ac:dyDescent="0.35">
      <c r="A29" s="246" t="s">
        <v>4983</v>
      </c>
      <c r="B29" s="234" t="s">
        <v>4984</v>
      </c>
      <c r="C29" s="234" t="s">
        <v>4985</v>
      </c>
      <c r="D29" s="234" t="s">
        <v>4986</v>
      </c>
      <c r="E29" s="234" t="s">
        <v>4987</v>
      </c>
      <c r="F29" s="234" t="s">
        <v>19</v>
      </c>
      <c r="G29" s="234" t="s">
        <v>19</v>
      </c>
      <c r="H29" s="234" t="s">
        <v>4988</v>
      </c>
      <c r="I29" s="234" t="s">
        <v>19</v>
      </c>
      <c r="J29" s="234" t="s">
        <v>4989</v>
      </c>
      <c r="K29" s="237" t="str">
        <f>IF(COUNTIF(L29:AY29,"&lt;&gt;")=0,"",SUMPRODUCT(((Recommendations[ImplStatus]="Implemented")+(Recommendations[ImplStatus]="Compensated"))*ISNUMBER(MATCH(Recommendations[Id],L29:AY29,0)))/COUNTIF(L29:AY29,"&lt;&gt;"))</f>
        <v/>
      </c>
      <c r="L29" s="240"/>
      <c r="M29" s="240"/>
      <c r="N29" s="240"/>
      <c r="O29" s="240"/>
      <c r="P29" s="240"/>
      <c r="Q29" s="240"/>
      <c r="R29" s="240"/>
      <c r="S29" s="240"/>
      <c r="T29" s="240"/>
      <c r="U29" s="240"/>
      <c r="V29" s="240"/>
      <c r="W29" s="240"/>
      <c r="X29" s="240"/>
      <c r="Y29" s="240"/>
      <c r="Z29" s="240"/>
      <c r="AA29" s="240"/>
      <c r="AB29" s="240"/>
      <c r="AC29" s="240"/>
      <c r="AD29" s="240"/>
      <c r="AE29" s="240"/>
      <c r="AF29" s="240"/>
      <c r="AG29" s="240"/>
      <c r="AH29" s="240"/>
      <c r="AI29" s="240"/>
      <c r="AJ29" s="240"/>
      <c r="AK29" s="240"/>
      <c r="AL29" s="240"/>
      <c r="AM29" s="240"/>
      <c r="AN29" s="240"/>
      <c r="AO29" s="240"/>
      <c r="AP29" s="240"/>
      <c r="AQ29" s="240"/>
      <c r="AR29" s="240"/>
      <c r="AS29" s="240"/>
      <c r="AT29" s="240"/>
      <c r="AU29" s="240"/>
      <c r="AV29" s="240"/>
      <c r="AW29" s="240"/>
      <c r="AX29" s="240"/>
      <c r="AY29" s="250"/>
    </row>
    <row r="30" spans="1:51" ht="60" customHeight="1" x14ac:dyDescent="0.35">
      <c r="A30" s="246" t="s">
        <v>4990</v>
      </c>
      <c r="B30" s="234" t="s">
        <v>4991</v>
      </c>
      <c r="C30" s="234" t="s">
        <v>4856</v>
      </c>
      <c r="D30" s="234" t="s">
        <v>4857</v>
      </c>
      <c r="E30" s="234" t="s">
        <v>19</v>
      </c>
      <c r="F30" s="234" t="s">
        <v>4859</v>
      </c>
      <c r="G30" s="234" t="s">
        <v>19</v>
      </c>
      <c r="H30" s="234" t="s">
        <v>4992</v>
      </c>
      <c r="I30" s="234" t="s">
        <v>19</v>
      </c>
      <c r="J30" s="234" t="s">
        <v>4993</v>
      </c>
      <c r="K30" s="237" t="str">
        <f>IF(COUNTIF(L30:AY30,"&lt;&gt;")=0,"",SUMPRODUCT(((Recommendations[ImplStatus]="Implemented")+(Recommendations[ImplStatus]="Compensated"))*ISNUMBER(MATCH(Recommendations[Id],L30:AY30,0)))/COUNTIF(L30:AY30,"&lt;&gt;"))</f>
        <v/>
      </c>
      <c r="L30" s="240"/>
      <c r="M30" s="240"/>
      <c r="N30" s="240"/>
      <c r="O30" s="240"/>
      <c r="P30" s="240"/>
      <c r="Q30" s="240"/>
      <c r="R30" s="240"/>
      <c r="S30" s="240"/>
      <c r="T30" s="240"/>
      <c r="U30" s="240"/>
      <c r="V30" s="240"/>
      <c r="W30" s="24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0"/>
      <c r="AX30" s="240"/>
      <c r="AY30" s="250"/>
    </row>
    <row r="31" spans="1:51" ht="60" customHeight="1" outlineLevel="1" x14ac:dyDescent="0.35">
      <c r="A31" s="245" t="s">
        <v>2106</v>
      </c>
      <c r="B31" s="233" t="s">
        <v>4994</v>
      </c>
      <c r="C31" s="233"/>
      <c r="D31" s="233"/>
      <c r="E31" s="233"/>
      <c r="F31" s="233"/>
      <c r="G31" s="233"/>
      <c r="H31" s="233"/>
      <c r="I31" s="233"/>
      <c r="J31" s="233"/>
      <c r="K31" s="236" t="str">
        <f>IF(COUNTIF(L31:AY31,"&lt;&gt;")=0,"",SUMPRODUCT(((Recommendations[ImplStatus]="Implemented")+(Recommendations[ImplStatus]="Compensated"))*ISNUMBER(MATCH(Recommendations[Id],L31:AY31,0)))/COUNTIF(L31:AY31,"&lt;&gt;"))</f>
        <v/>
      </c>
      <c r="L31" s="239"/>
      <c r="M31" s="239"/>
      <c r="N31" s="239"/>
      <c r="O31" s="239"/>
      <c r="P31" s="239"/>
      <c r="Q31" s="239"/>
      <c r="R31" s="239"/>
      <c r="S31" s="239"/>
      <c r="T31" s="239"/>
      <c r="U31" s="239"/>
      <c r="V31" s="239"/>
      <c r="W31" s="239"/>
      <c r="X31" s="239"/>
      <c r="Y31" s="239"/>
      <c r="Z31" s="239"/>
      <c r="AA31" s="239"/>
      <c r="AB31" s="239"/>
      <c r="AC31" s="239"/>
      <c r="AD31" s="239"/>
      <c r="AE31" s="239"/>
      <c r="AF31" s="239"/>
      <c r="AG31" s="239"/>
      <c r="AH31" s="239"/>
      <c r="AI31" s="239"/>
      <c r="AJ31" s="239"/>
      <c r="AK31" s="239"/>
      <c r="AL31" s="239"/>
      <c r="AM31" s="239"/>
      <c r="AN31" s="239"/>
      <c r="AO31" s="239"/>
      <c r="AP31" s="239"/>
      <c r="AQ31" s="239"/>
      <c r="AR31" s="239"/>
      <c r="AS31" s="239"/>
      <c r="AT31" s="239"/>
      <c r="AU31" s="239"/>
      <c r="AV31" s="239"/>
      <c r="AW31" s="239"/>
      <c r="AX31" s="239"/>
      <c r="AY31" s="249"/>
    </row>
    <row r="32" spans="1:51" ht="60" customHeight="1" x14ac:dyDescent="0.35">
      <c r="A32" s="246" t="s">
        <v>4995</v>
      </c>
      <c r="B32" s="234" t="s">
        <v>4996</v>
      </c>
      <c r="C32" s="234" t="s">
        <v>4997</v>
      </c>
      <c r="D32" s="234" t="s">
        <v>4998</v>
      </c>
      <c r="E32" s="234" t="s">
        <v>19</v>
      </c>
      <c r="F32" s="234" t="s">
        <v>19</v>
      </c>
      <c r="G32" s="234" t="s">
        <v>4999</v>
      </c>
      <c r="H32" s="234" t="s">
        <v>5000</v>
      </c>
      <c r="I32" s="234" t="s">
        <v>19</v>
      </c>
      <c r="J32" s="234" t="s">
        <v>5001</v>
      </c>
      <c r="K32" s="237">
        <f>IF(COUNTIF(L32:AY32,"&lt;&gt;")=0,"",SUMPRODUCT(((Recommendations[ImplStatus]="Implemented")+(Recommendations[ImplStatus]="Compensated"))*ISNUMBER(MATCH(Recommendations[Id],L32:AY32,0)))/COUNTIF(L32:AY32,"&lt;&gt;"))</f>
        <v>0</v>
      </c>
      <c r="L32" s="240" t="s">
        <v>148</v>
      </c>
      <c r="M32" s="240" t="s">
        <v>396</v>
      </c>
      <c r="N32" s="240" t="s">
        <v>401</v>
      </c>
      <c r="O32" s="240" t="s">
        <v>409</v>
      </c>
      <c r="P32" s="240" t="s">
        <v>413</v>
      </c>
      <c r="Q32" s="240"/>
      <c r="R32" s="240"/>
      <c r="S32" s="240"/>
      <c r="T32" s="240"/>
      <c r="U32" s="240"/>
      <c r="V32" s="240"/>
      <c r="W32" s="240"/>
      <c r="X32" s="240"/>
      <c r="Y32" s="240"/>
      <c r="Z32" s="240"/>
      <c r="AA32" s="240"/>
      <c r="AB32" s="240"/>
      <c r="AC32" s="240"/>
      <c r="AD32" s="240"/>
      <c r="AE32" s="240"/>
      <c r="AF32" s="240"/>
      <c r="AG32" s="240"/>
      <c r="AH32" s="240"/>
      <c r="AI32" s="240"/>
      <c r="AJ32" s="240"/>
      <c r="AK32" s="240"/>
      <c r="AL32" s="240"/>
      <c r="AM32" s="240"/>
      <c r="AN32" s="240"/>
      <c r="AO32" s="240"/>
      <c r="AP32" s="240"/>
      <c r="AQ32" s="240"/>
      <c r="AR32" s="240"/>
      <c r="AS32" s="240"/>
      <c r="AT32" s="240"/>
      <c r="AU32" s="240"/>
      <c r="AV32" s="240"/>
      <c r="AW32" s="240"/>
      <c r="AX32" s="240"/>
      <c r="AY32" s="250"/>
    </row>
    <row r="33" spans="1:51" ht="60" customHeight="1" x14ac:dyDescent="0.35">
      <c r="A33" s="246" t="s">
        <v>5002</v>
      </c>
      <c r="B33" s="234" t="s">
        <v>5003</v>
      </c>
      <c r="C33" s="234" t="s">
        <v>5004</v>
      </c>
      <c r="D33" s="234" t="s">
        <v>5005</v>
      </c>
      <c r="E33" s="234" t="s">
        <v>19</v>
      </c>
      <c r="F33" s="234" t="s">
        <v>5006</v>
      </c>
      <c r="G33" s="234" t="s">
        <v>19</v>
      </c>
      <c r="H33" s="234" t="s">
        <v>5007</v>
      </c>
      <c r="I33" s="234" t="s">
        <v>5008</v>
      </c>
      <c r="J33" s="234" t="s">
        <v>5009</v>
      </c>
      <c r="K33" s="237" t="str">
        <f>IF(COUNTIF(L33:AY33,"&lt;&gt;")=0,"",SUMPRODUCT(((Recommendations[ImplStatus]="Implemented")+(Recommendations[ImplStatus]="Compensated"))*ISNUMBER(MATCH(Recommendations[Id],L33:AY33,0)))/COUNTIF(L33:AY33,"&lt;&gt;"))</f>
        <v/>
      </c>
      <c r="L33" s="240"/>
      <c r="M33" s="240"/>
      <c r="N33" s="240"/>
      <c r="O33" s="240"/>
      <c r="P33" s="240"/>
      <c r="Q33" s="240"/>
      <c r="R33" s="240"/>
      <c r="S33" s="240"/>
      <c r="T33" s="240"/>
      <c r="U33" s="240"/>
      <c r="V33" s="240"/>
      <c r="W33" s="240"/>
      <c r="X33" s="240"/>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240"/>
      <c r="AU33" s="240"/>
      <c r="AV33" s="240"/>
      <c r="AW33" s="240"/>
      <c r="AX33" s="240"/>
      <c r="AY33" s="250"/>
    </row>
    <row r="34" spans="1:51" ht="60" customHeight="1" x14ac:dyDescent="0.35">
      <c r="A34" s="246" t="s">
        <v>5010</v>
      </c>
      <c r="B34" s="234" t="s">
        <v>5011</v>
      </c>
      <c r="C34" s="234" t="s">
        <v>5012</v>
      </c>
      <c r="D34" s="234" t="s">
        <v>5013</v>
      </c>
      <c r="E34" s="234" t="s">
        <v>19</v>
      </c>
      <c r="F34" s="234" t="s">
        <v>19</v>
      </c>
      <c r="G34" s="234" t="s">
        <v>19</v>
      </c>
      <c r="H34" s="234" t="s">
        <v>5014</v>
      </c>
      <c r="I34" s="234" t="s">
        <v>19</v>
      </c>
      <c r="J34" s="234" t="s">
        <v>5015</v>
      </c>
      <c r="K34" s="237" t="str">
        <f>IF(COUNTIF(L34:AY34,"&lt;&gt;")=0,"",SUMPRODUCT(((Recommendations[ImplStatus]="Implemented")+(Recommendations[ImplStatus]="Compensated"))*ISNUMBER(MATCH(Recommendations[Id],L34:AY34,0)))/COUNTIF(L34:AY34,"&lt;&gt;"))</f>
        <v/>
      </c>
      <c r="L34" s="240"/>
      <c r="M34" s="240"/>
      <c r="N34" s="240"/>
      <c r="O34" s="240"/>
      <c r="P34" s="240"/>
      <c r="Q34" s="240"/>
      <c r="R34" s="240"/>
      <c r="S34" s="240"/>
      <c r="T34" s="240"/>
      <c r="U34" s="240"/>
      <c r="V34" s="240"/>
      <c r="W34" s="240"/>
      <c r="X34" s="240"/>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240"/>
      <c r="AU34" s="240"/>
      <c r="AV34" s="240"/>
      <c r="AW34" s="240"/>
      <c r="AX34" s="240"/>
      <c r="AY34" s="250"/>
    </row>
    <row r="35" spans="1:51" ht="60" customHeight="1" x14ac:dyDescent="0.35">
      <c r="A35" s="246" t="s">
        <v>5016</v>
      </c>
      <c r="B35" s="234" t="s">
        <v>5017</v>
      </c>
      <c r="C35" s="234" t="s">
        <v>5018</v>
      </c>
      <c r="D35" s="234" t="s">
        <v>5019</v>
      </c>
      <c r="E35" s="234" t="s">
        <v>19</v>
      </c>
      <c r="F35" s="234" t="s">
        <v>5020</v>
      </c>
      <c r="G35" s="234" t="s">
        <v>19</v>
      </c>
      <c r="H35" s="234" t="s">
        <v>5021</v>
      </c>
      <c r="I35" s="234" t="s">
        <v>19</v>
      </c>
      <c r="J35" s="234" t="s">
        <v>5022</v>
      </c>
      <c r="K35" s="237">
        <f>IF(COUNTIF(L35:AY35,"&lt;&gt;")=0,"",SUMPRODUCT(((Recommendations[ImplStatus]="Implemented")+(Recommendations[ImplStatus]="Compensated"))*ISNUMBER(MATCH(Recommendations[Id],L35:AY35,0)))/COUNTIF(L35:AY35,"&lt;&gt;"))</f>
        <v>0</v>
      </c>
      <c r="L35" s="240" t="s">
        <v>134</v>
      </c>
      <c r="M35" s="240" t="s">
        <v>244</v>
      </c>
      <c r="N35" s="240" t="s">
        <v>249</v>
      </c>
      <c r="O35" s="240" t="s">
        <v>254</v>
      </c>
      <c r="P35" s="240" t="s">
        <v>259</v>
      </c>
      <c r="Q35" s="240" t="s">
        <v>264</v>
      </c>
      <c r="R35" s="240" t="s">
        <v>338</v>
      </c>
      <c r="S35" s="240" t="s">
        <v>432</v>
      </c>
      <c r="T35" s="240" t="s">
        <v>436</v>
      </c>
      <c r="U35" s="240" t="s">
        <v>460</v>
      </c>
      <c r="V35" s="240" t="s">
        <v>474</v>
      </c>
      <c r="W35" s="240" t="s">
        <v>483</v>
      </c>
      <c r="X35" s="240" t="s">
        <v>488</v>
      </c>
      <c r="Y35" s="240" t="s">
        <v>493</v>
      </c>
      <c r="Z35" s="240" t="s">
        <v>498</v>
      </c>
      <c r="AA35" s="240" t="s">
        <v>502</v>
      </c>
      <c r="AB35" s="240" t="s">
        <v>578</v>
      </c>
      <c r="AC35" s="240" t="s">
        <v>687</v>
      </c>
      <c r="AD35" s="240" t="s">
        <v>1263</v>
      </c>
      <c r="AE35" s="240" t="s">
        <v>1282</v>
      </c>
      <c r="AF35" s="240" t="s">
        <v>1287</v>
      </c>
      <c r="AG35" s="240" t="s">
        <v>1292</v>
      </c>
      <c r="AH35" s="240" t="s">
        <v>1297</v>
      </c>
      <c r="AI35" s="240" t="s">
        <v>1302</v>
      </c>
      <c r="AJ35" s="240" t="s">
        <v>1307</v>
      </c>
      <c r="AK35" s="240" t="s">
        <v>1312</v>
      </c>
      <c r="AL35" s="240" t="s">
        <v>1317</v>
      </c>
      <c r="AM35" s="240" t="s">
        <v>1327</v>
      </c>
      <c r="AN35" s="240" t="s">
        <v>1332</v>
      </c>
      <c r="AO35" s="240" t="s">
        <v>1351</v>
      </c>
      <c r="AP35" s="240" t="s">
        <v>1356</v>
      </c>
      <c r="AQ35" s="240" t="s">
        <v>1361</v>
      </c>
      <c r="AR35" s="240" t="s">
        <v>1366</v>
      </c>
      <c r="AS35" s="240" t="s">
        <v>1370</v>
      </c>
      <c r="AT35" s="240" t="s">
        <v>1374</v>
      </c>
      <c r="AU35" s="240" t="s">
        <v>1378</v>
      </c>
      <c r="AV35" s="240" t="s">
        <v>1382</v>
      </c>
      <c r="AW35" s="240" t="s">
        <v>1386</v>
      </c>
      <c r="AX35" s="240" t="s">
        <v>1390</v>
      </c>
      <c r="AY35" s="250" t="s">
        <v>1394</v>
      </c>
    </row>
    <row r="36" spans="1:51" ht="60" customHeight="1" x14ac:dyDescent="0.35">
      <c r="A36" s="246" t="s">
        <v>5023</v>
      </c>
      <c r="B36" s="234" t="s">
        <v>5024</v>
      </c>
      <c r="C36" s="234" t="s">
        <v>5025</v>
      </c>
      <c r="D36" s="234" t="s">
        <v>5026</v>
      </c>
      <c r="E36" s="234" t="s">
        <v>19</v>
      </c>
      <c r="F36" s="234" t="s">
        <v>19</v>
      </c>
      <c r="G36" s="234" t="s">
        <v>5027</v>
      </c>
      <c r="H36" s="234" t="s">
        <v>5028</v>
      </c>
      <c r="I36" s="234" t="s">
        <v>19</v>
      </c>
      <c r="J36" s="234" t="s">
        <v>5029</v>
      </c>
      <c r="K36" s="237" t="str">
        <f>IF(COUNTIF(L36:AY36,"&lt;&gt;")=0,"",SUMPRODUCT(((Recommendations[ImplStatus]="Implemented")+(Recommendations[ImplStatus]="Compensated"))*ISNUMBER(MATCH(Recommendations[Id],L36:AY36,0)))/COUNTIF(L36:AY36,"&lt;&gt;"))</f>
        <v/>
      </c>
      <c r="L36" s="240"/>
      <c r="M36" s="240"/>
      <c r="N36" s="240"/>
      <c r="O36" s="240"/>
      <c r="P36" s="240"/>
      <c r="Q36" s="240"/>
      <c r="R36" s="240"/>
      <c r="S36" s="240"/>
      <c r="T36" s="240"/>
      <c r="U36" s="240"/>
      <c r="V36" s="240"/>
      <c r="W36" s="240"/>
      <c r="X36" s="240"/>
      <c r="Y36" s="240"/>
      <c r="Z36" s="240"/>
      <c r="AA36" s="240"/>
      <c r="AB36" s="240"/>
      <c r="AC36" s="240"/>
      <c r="AD36" s="240"/>
      <c r="AE36" s="240"/>
      <c r="AF36" s="240"/>
      <c r="AG36" s="240"/>
      <c r="AH36" s="240"/>
      <c r="AI36" s="240"/>
      <c r="AJ36" s="240"/>
      <c r="AK36" s="240"/>
      <c r="AL36" s="240"/>
      <c r="AM36" s="240"/>
      <c r="AN36" s="240"/>
      <c r="AO36" s="240"/>
      <c r="AP36" s="240"/>
      <c r="AQ36" s="240"/>
      <c r="AR36" s="240"/>
      <c r="AS36" s="240"/>
      <c r="AT36" s="240"/>
      <c r="AU36" s="240"/>
      <c r="AV36" s="240"/>
      <c r="AW36" s="240"/>
      <c r="AX36" s="240"/>
      <c r="AY36" s="250"/>
    </row>
    <row r="37" spans="1:51" ht="60" customHeight="1" x14ac:dyDescent="0.35">
      <c r="A37" s="246" t="s">
        <v>5030</v>
      </c>
      <c r="B37" s="234" t="s">
        <v>5031</v>
      </c>
      <c r="C37" s="234" t="s">
        <v>5032</v>
      </c>
      <c r="D37" s="234" t="s">
        <v>5033</v>
      </c>
      <c r="E37" s="234" t="s">
        <v>19</v>
      </c>
      <c r="F37" s="234" t="s">
        <v>5034</v>
      </c>
      <c r="G37" s="234" t="s">
        <v>5035</v>
      </c>
      <c r="H37" s="234" t="s">
        <v>5036</v>
      </c>
      <c r="I37" s="234" t="s">
        <v>19</v>
      </c>
      <c r="J37" s="234" t="s">
        <v>5037</v>
      </c>
      <c r="K37" s="237">
        <f>IF(COUNTIF(L37:AY37,"&lt;&gt;")=0,"",SUMPRODUCT(((Recommendations[ImplStatus]="Implemented")+(Recommendations[ImplStatus]="Compensated"))*ISNUMBER(MATCH(Recommendations[Id],L37:AY37,0)))/COUNTIF(L37:AY37,"&lt;&gt;"))</f>
        <v>0</v>
      </c>
      <c r="L37" s="240" t="s">
        <v>97</v>
      </c>
      <c r="M37" s="240" t="s">
        <v>112</v>
      </c>
      <c r="N37" s="240" t="s">
        <v>121</v>
      </c>
      <c r="O37" s="240" t="s">
        <v>159</v>
      </c>
      <c r="P37" s="240" t="s">
        <v>204</v>
      </c>
      <c r="Q37" s="240" t="s">
        <v>209</v>
      </c>
      <c r="R37" s="240" t="s">
        <v>213</v>
      </c>
      <c r="S37" s="240" t="s">
        <v>217</v>
      </c>
      <c r="T37" s="240" t="s">
        <v>221</v>
      </c>
      <c r="U37" s="240" t="s">
        <v>225</v>
      </c>
      <c r="V37" s="240" t="s">
        <v>313</v>
      </c>
      <c r="W37" s="240" t="s">
        <v>323</v>
      </c>
      <c r="X37" s="240" t="s">
        <v>333</v>
      </c>
      <c r="Y37" s="240" t="s">
        <v>343</v>
      </c>
      <c r="Z37" s="240" t="s">
        <v>368</v>
      </c>
      <c r="AA37" s="240" t="s">
        <v>373</v>
      </c>
      <c r="AB37" s="240" t="s">
        <v>378</v>
      </c>
      <c r="AC37" s="240" t="s">
        <v>427</v>
      </c>
      <c r="AD37" s="240" t="s">
        <v>446</v>
      </c>
      <c r="AE37" s="240" t="s">
        <v>464</v>
      </c>
      <c r="AF37" s="240" t="s">
        <v>469</v>
      </c>
      <c r="AG37" s="240" t="s">
        <v>511</v>
      </c>
      <c r="AH37" s="240" t="s">
        <v>516</v>
      </c>
      <c r="AI37" s="240" t="s">
        <v>521</v>
      </c>
      <c r="AJ37" s="240" t="s">
        <v>526</v>
      </c>
      <c r="AK37" s="240" t="s">
        <v>531</v>
      </c>
      <c r="AL37" s="240" t="s">
        <v>536</v>
      </c>
      <c r="AM37" s="240" t="s">
        <v>540</v>
      </c>
      <c r="AN37" s="240" t="s">
        <v>545</v>
      </c>
      <c r="AO37" s="240" t="s">
        <v>550</v>
      </c>
      <c r="AP37" s="240" t="s">
        <v>555</v>
      </c>
      <c r="AQ37" s="240" t="s">
        <v>574</v>
      </c>
      <c r="AR37" s="240" t="s">
        <v>583</v>
      </c>
      <c r="AS37" s="240" t="s">
        <v>667</v>
      </c>
      <c r="AT37" s="240" t="s">
        <v>672</v>
      </c>
      <c r="AU37" s="240" t="s">
        <v>864</v>
      </c>
      <c r="AV37" s="240" t="s">
        <v>869</v>
      </c>
      <c r="AW37" s="240" t="s">
        <v>874</v>
      </c>
      <c r="AX37" s="240" t="s">
        <v>1277</v>
      </c>
      <c r="AY37" s="250" t="s">
        <v>1565</v>
      </c>
    </row>
    <row r="38" spans="1:51" ht="60" customHeight="1" x14ac:dyDescent="0.35">
      <c r="A38" s="246" t="s">
        <v>5038</v>
      </c>
      <c r="B38" s="234" t="s">
        <v>5039</v>
      </c>
      <c r="C38" s="234" t="s">
        <v>5040</v>
      </c>
      <c r="D38" s="234" t="s">
        <v>5041</v>
      </c>
      <c r="E38" s="234" t="s">
        <v>19</v>
      </c>
      <c r="F38" s="234" t="s">
        <v>5034</v>
      </c>
      <c r="G38" s="234" t="s">
        <v>5042</v>
      </c>
      <c r="H38" s="234" t="s">
        <v>5043</v>
      </c>
      <c r="I38" s="234" t="s">
        <v>5044</v>
      </c>
      <c r="J38" s="234" t="s">
        <v>5045</v>
      </c>
      <c r="K38" s="237">
        <f>IF(COUNTIF(L38:AY38,"&lt;&gt;")=0,"",SUMPRODUCT(((Recommendations[ImplStatus]="Implemented")+(Recommendations[ImplStatus]="Compensated"))*ISNUMBER(MATCH(Recommendations[Id],L38:AY38,0)))/COUNTIF(L38:AY38,"&lt;&gt;"))</f>
        <v>0</v>
      </c>
      <c r="L38" s="240" t="s">
        <v>1263</v>
      </c>
      <c r="M38" s="240" t="s">
        <v>1774</v>
      </c>
      <c r="N38" s="240"/>
      <c r="O38" s="240"/>
      <c r="P38" s="240"/>
      <c r="Q38" s="240"/>
      <c r="R38" s="240"/>
      <c r="S38" s="240"/>
      <c r="T38" s="240"/>
      <c r="U38" s="240"/>
      <c r="V38" s="240"/>
      <c r="W38" s="240"/>
      <c r="X38" s="240"/>
      <c r="Y38" s="240"/>
      <c r="Z38" s="240"/>
      <c r="AA38" s="240"/>
      <c r="AB38" s="240"/>
      <c r="AC38" s="240"/>
      <c r="AD38" s="240"/>
      <c r="AE38" s="240"/>
      <c r="AF38" s="240"/>
      <c r="AG38" s="240"/>
      <c r="AH38" s="240"/>
      <c r="AI38" s="240"/>
      <c r="AJ38" s="240"/>
      <c r="AK38" s="240"/>
      <c r="AL38" s="240"/>
      <c r="AM38" s="240"/>
      <c r="AN38" s="240"/>
      <c r="AO38" s="240"/>
      <c r="AP38" s="240"/>
      <c r="AQ38" s="240"/>
      <c r="AR38" s="240"/>
      <c r="AS38" s="240"/>
      <c r="AT38" s="240"/>
      <c r="AU38" s="240"/>
      <c r="AV38" s="240"/>
      <c r="AW38" s="240"/>
      <c r="AX38" s="240"/>
      <c r="AY38" s="250"/>
    </row>
    <row r="39" spans="1:51" ht="60" customHeight="1" outlineLevel="1" x14ac:dyDescent="0.35">
      <c r="A39" s="245" t="s">
        <v>2110</v>
      </c>
      <c r="B39" s="233" t="s">
        <v>5046</v>
      </c>
      <c r="C39" s="233"/>
      <c r="D39" s="233"/>
      <c r="E39" s="233"/>
      <c r="F39" s="233"/>
      <c r="G39" s="233"/>
      <c r="H39" s="233"/>
      <c r="I39" s="233"/>
      <c r="J39" s="233"/>
      <c r="K39" s="236" t="str">
        <f>IF(COUNTIF(L39:AY39,"&lt;&gt;")=0,"",SUMPRODUCT(((Recommendations[ImplStatus]="Implemented")+(Recommendations[ImplStatus]="Compensated"))*ISNUMBER(MATCH(Recommendations[Id],L39:AY39,0)))/COUNTIF(L39:AY39,"&lt;&gt;"))</f>
        <v/>
      </c>
      <c r="L39" s="239"/>
      <c r="M39" s="239"/>
      <c r="N39" s="239"/>
      <c r="O39" s="239"/>
      <c r="P39" s="239"/>
      <c r="Q39" s="239"/>
      <c r="R39" s="239"/>
      <c r="S39" s="239"/>
      <c r="T39" s="239"/>
      <c r="U39" s="239"/>
      <c r="V39" s="239"/>
      <c r="W39" s="239"/>
      <c r="X39" s="239"/>
      <c r="Y39" s="239"/>
      <c r="Z39" s="239"/>
      <c r="AA39" s="239"/>
      <c r="AB39" s="239"/>
      <c r="AC39" s="239"/>
      <c r="AD39" s="239"/>
      <c r="AE39" s="239"/>
      <c r="AF39" s="239"/>
      <c r="AG39" s="239"/>
      <c r="AH39" s="239"/>
      <c r="AI39" s="239"/>
      <c r="AJ39" s="239"/>
      <c r="AK39" s="239"/>
      <c r="AL39" s="239"/>
      <c r="AM39" s="239"/>
      <c r="AN39" s="239"/>
      <c r="AO39" s="239"/>
      <c r="AP39" s="239"/>
      <c r="AQ39" s="239"/>
      <c r="AR39" s="239"/>
      <c r="AS39" s="239"/>
      <c r="AT39" s="239"/>
      <c r="AU39" s="239"/>
      <c r="AV39" s="239"/>
      <c r="AW39" s="239"/>
      <c r="AX39" s="239"/>
      <c r="AY39" s="249"/>
    </row>
    <row r="40" spans="1:51" ht="60" customHeight="1" x14ac:dyDescent="0.35">
      <c r="A40" s="246" t="s">
        <v>5047</v>
      </c>
      <c r="B40" s="234" t="s">
        <v>5048</v>
      </c>
      <c r="C40" s="234" t="s">
        <v>5049</v>
      </c>
      <c r="D40" s="234" t="s">
        <v>5050</v>
      </c>
      <c r="E40" s="234" t="s">
        <v>19</v>
      </c>
      <c r="F40" s="234" t="s">
        <v>19</v>
      </c>
      <c r="G40" s="234" t="s">
        <v>19</v>
      </c>
      <c r="H40" s="234" t="s">
        <v>5051</v>
      </c>
      <c r="I40" s="234" t="s">
        <v>5052</v>
      </c>
      <c r="J40" s="234" t="s">
        <v>5053</v>
      </c>
      <c r="K40" s="237" t="str">
        <f>IF(COUNTIF(L40:AY40,"&lt;&gt;")=0,"",SUMPRODUCT(((Recommendations[ImplStatus]="Implemented")+(Recommendations[ImplStatus]="Compensated"))*ISNUMBER(MATCH(Recommendations[Id],L40:AY40,0)))/COUNTIF(L40:AY40,"&lt;&gt;"))</f>
        <v/>
      </c>
      <c r="L40" s="240"/>
      <c r="M40" s="240"/>
      <c r="N40" s="240"/>
      <c r="O40" s="240"/>
      <c r="P40" s="240"/>
      <c r="Q40" s="240"/>
      <c r="R40" s="240"/>
      <c r="S40" s="240"/>
      <c r="T40" s="240"/>
      <c r="U40" s="240"/>
      <c r="V40" s="240"/>
      <c r="W40" s="240"/>
      <c r="X40" s="240"/>
      <c r="Y40" s="240"/>
      <c r="Z40" s="240"/>
      <c r="AA40" s="240"/>
      <c r="AB40" s="240"/>
      <c r="AC40" s="240"/>
      <c r="AD40" s="240"/>
      <c r="AE40" s="240"/>
      <c r="AF40" s="240"/>
      <c r="AG40" s="240"/>
      <c r="AH40" s="240"/>
      <c r="AI40" s="240"/>
      <c r="AJ40" s="240"/>
      <c r="AK40" s="240"/>
      <c r="AL40" s="240"/>
      <c r="AM40" s="240"/>
      <c r="AN40" s="240"/>
      <c r="AO40" s="240"/>
      <c r="AP40" s="240"/>
      <c r="AQ40" s="240"/>
      <c r="AR40" s="240"/>
      <c r="AS40" s="240"/>
      <c r="AT40" s="240"/>
      <c r="AU40" s="240"/>
      <c r="AV40" s="240"/>
      <c r="AW40" s="240"/>
      <c r="AX40" s="240"/>
      <c r="AY40" s="250"/>
    </row>
    <row r="41" spans="1:51" ht="60" customHeight="1" x14ac:dyDescent="0.35">
      <c r="A41" s="246" t="s">
        <v>5054</v>
      </c>
      <c r="B41" s="234" t="s">
        <v>5055</v>
      </c>
      <c r="C41" s="234" t="s">
        <v>5056</v>
      </c>
      <c r="D41" s="234" t="s">
        <v>19</v>
      </c>
      <c r="E41" s="234" t="s">
        <v>19</v>
      </c>
      <c r="F41" s="234" t="s">
        <v>19</v>
      </c>
      <c r="G41" s="234" t="s">
        <v>19</v>
      </c>
      <c r="H41" s="234" t="s">
        <v>5057</v>
      </c>
      <c r="I41" s="234" t="s">
        <v>19</v>
      </c>
      <c r="J41" s="234" t="s">
        <v>5058</v>
      </c>
      <c r="K41" s="237" t="str">
        <f>IF(COUNTIF(L41:AY41,"&lt;&gt;")=0,"",SUMPRODUCT(((Recommendations[ImplStatus]="Implemented")+(Recommendations[ImplStatus]="Compensated"))*ISNUMBER(MATCH(Recommendations[Id],L41:AY41,0)))/COUNTIF(L41:AY41,"&lt;&gt;"))</f>
        <v/>
      </c>
      <c r="L41" s="240"/>
      <c r="M41" s="240"/>
      <c r="N41" s="240"/>
      <c r="O41" s="240"/>
      <c r="P41" s="240"/>
      <c r="Q41" s="240"/>
      <c r="R41" s="240"/>
      <c r="S41" s="240"/>
      <c r="T41" s="240"/>
      <c r="U41" s="240"/>
      <c r="V41" s="240"/>
      <c r="W41" s="240"/>
      <c r="X41" s="240"/>
      <c r="Y41" s="240"/>
      <c r="Z41" s="240"/>
      <c r="AA41" s="240"/>
      <c r="AB41" s="240"/>
      <c r="AC41" s="240"/>
      <c r="AD41" s="240"/>
      <c r="AE41" s="240"/>
      <c r="AF41" s="240"/>
      <c r="AG41" s="240"/>
      <c r="AH41" s="240"/>
      <c r="AI41" s="240"/>
      <c r="AJ41" s="240"/>
      <c r="AK41" s="240"/>
      <c r="AL41" s="240"/>
      <c r="AM41" s="240"/>
      <c r="AN41" s="240"/>
      <c r="AO41" s="240"/>
      <c r="AP41" s="240"/>
      <c r="AQ41" s="240"/>
      <c r="AR41" s="240"/>
      <c r="AS41" s="240"/>
      <c r="AT41" s="240"/>
      <c r="AU41" s="240"/>
      <c r="AV41" s="240"/>
      <c r="AW41" s="240"/>
      <c r="AX41" s="240"/>
      <c r="AY41" s="250"/>
    </row>
    <row r="42" spans="1:51" ht="60" customHeight="1" outlineLevel="1" x14ac:dyDescent="0.35">
      <c r="A42" s="244" t="s">
        <v>5059</v>
      </c>
      <c r="B42" s="232" t="s">
        <v>5060</v>
      </c>
      <c r="C42" s="232"/>
      <c r="D42" s="232"/>
      <c r="E42" s="232"/>
      <c r="F42" s="232"/>
      <c r="G42" s="232"/>
      <c r="H42" s="232"/>
      <c r="I42" s="232"/>
      <c r="J42" s="232"/>
      <c r="K42" s="235" t="str">
        <f>IF(COUNTIF(L42:AY42,"&lt;&gt;")=0,"",SUMPRODUCT(((Recommendations[ImplStatus]="Implemented")+(Recommendations[ImplStatus]="Compensated"))*ISNUMBER(MATCH(Recommendations[Id],L42:AY42,0)))/COUNTIF(L42:AY42,"&lt;&gt;"))</f>
        <v/>
      </c>
      <c r="L42" s="238"/>
      <c r="M42" s="238"/>
      <c r="N42" s="238"/>
      <c r="O42" s="238"/>
      <c r="P42" s="238"/>
      <c r="Q42" s="238"/>
      <c r="R42" s="238"/>
      <c r="S42" s="238"/>
      <c r="T42" s="238"/>
      <c r="U42" s="238"/>
      <c r="V42" s="238"/>
      <c r="W42" s="238"/>
      <c r="X42" s="238"/>
      <c r="Y42" s="238"/>
      <c r="Z42" s="238"/>
      <c r="AA42" s="238"/>
      <c r="AB42" s="238"/>
      <c r="AC42" s="238"/>
      <c r="AD42" s="238"/>
      <c r="AE42" s="238"/>
      <c r="AF42" s="238"/>
      <c r="AG42" s="238"/>
      <c r="AH42" s="238"/>
      <c r="AI42" s="238"/>
      <c r="AJ42" s="238"/>
      <c r="AK42" s="238"/>
      <c r="AL42" s="238"/>
      <c r="AM42" s="238"/>
      <c r="AN42" s="238"/>
      <c r="AO42" s="238"/>
      <c r="AP42" s="238"/>
      <c r="AQ42" s="238"/>
      <c r="AR42" s="238"/>
      <c r="AS42" s="238"/>
      <c r="AT42" s="238"/>
      <c r="AU42" s="238"/>
      <c r="AV42" s="238"/>
      <c r="AW42" s="238"/>
      <c r="AX42" s="238"/>
      <c r="AY42" s="248"/>
    </row>
    <row r="43" spans="1:51" ht="60" customHeight="1" outlineLevel="1" x14ac:dyDescent="0.35">
      <c r="A43" s="245" t="s">
        <v>2133</v>
      </c>
      <c r="B43" s="233" t="s">
        <v>5061</v>
      </c>
      <c r="C43" s="233"/>
      <c r="D43" s="233"/>
      <c r="E43" s="233"/>
      <c r="F43" s="233"/>
      <c r="G43" s="233"/>
      <c r="H43" s="233"/>
      <c r="I43" s="233"/>
      <c r="J43" s="233"/>
      <c r="K43" s="236" t="str">
        <f>IF(COUNTIF(L43:AY43,"&lt;&gt;")=0,"",SUMPRODUCT(((Recommendations[ImplStatus]="Implemented")+(Recommendations[ImplStatus]="Compensated"))*ISNUMBER(MATCH(Recommendations[Id],L43:AY43,0)))/COUNTIF(L43:AY43,"&lt;&gt;"))</f>
        <v/>
      </c>
      <c r="L43" s="239"/>
      <c r="M43" s="239"/>
      <c r="N43" s="239"/>
      <c r="O43" s="239"/>
      <c r="P43" s="239"/>
      <c r="Q43" s="239"/>
      <c r="R43" s="239"/>
      <c r="S43" s="239"/>
      <c r="T43" s="239"/>
      <c r="U43" s="239"/>
      <c r="V43" s="239"/>
      <c r="W43" s="239"/>
      <c r="X43" s="239"/>
      <c r="Y43" s="239"/>
      <c r="Z43" s="239"/>
      <c r="AA43" s="239"/>
      <c r="AB43" s="239"/>
      <c r="AC43" s="239"/>
      <c r="AD43" s="239"/>
      <c r="AE43" s="239"/>
      <c r="AF43" s="239"/>
      <c r="AG43" s="239"/>
      <c r="AH43" s="239"/>
      <c r="AI43" s="239"/>
      <c r="AJ43" s="239"/>
      <c r="AK43" s="239"/>
      <c r="AL43" s="239"/>
      <c r="AM43" s="239"/>
      <c r="AN43" s="239"/>
      <c r="AO43" s="239"/>
      <c r="AP43" s="239"/>
      <c r="AQ43" s="239"/>
      <c r="AR43" s="239"/>
      <c r="AS43" s="239"/>
      <c r="AT43" s="239"/>
      <c r="AU43" s="239"/>
      <c r="AV43" s="239"/>
      <c r="AW43" s="239"/>
      <c r="AX43" s="239"/>
      <c r="AY43" s="249"/>
    </row>
    <row r="44" spans="1:51" ht="60" customHeight="1" x14ac:dyDescent="0.35">
      <c r="A44" s="246" t="s">
        <v>5062</v>
      </c>
      <c r="B44" s="234" t="s">
        <v>5063</v>
      </c>
      <c r="C44" s="234" t="s">
        <v>5064</v>
      </c>
      <c r="D44" s="234" t="s">
        <v>5065</v>
      </c>
      <c r="E44" s="234" t="s">
        <v>4851</v>
      </c>
      <c r="F44" s="234" t="s">
        <v>19</v>
      </c>
      <c r="G44" s="234" t="s">
        <v>19</v>
      </c>
      <c r="H44" s="234" t="s">
        <v>5066</v>
      </c>
      <c r="I44" s="234" t="s">
        <v>19</v>
      </c>
      <c r="J44" s="234" t="s">
        <v>5067</v>
      </c>
      <c r="K44" s="237" t="str">
        <f>IF(COUNTIF(L44:AY44,"&lt;&gt;")=0,"",SUMPRODUCT(((Recommendations[ImplStatus]="Implemented")+(Recommendations[ImplStatus]="Compensated"))*ISNUMBER(MATCH(Recommendations[Id],L44:AY44,0)))/COUNTIF(L44:AY44,"&lt;&gt;"))</f>
        <v/>
      </c>
      <c r="L44" s="240"/>
      <c r="M44" s="240"/>
      <c r="N44" s="240"/>
      <c r="O44" s="240"/>
      <c r="P44" s="240"/>
      <c r="Q44" s="240"/>
      <c r="R44" s="240"/>
      <c r="S44" s="240"/>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c r="AP44" s="240"/>
      <c r="AQ44" s="240"/>
      <c r="AR44" s="240"/>
      <c r="AS44" s="240"/>
      <c r="AT44" s="240"/>
      <c r="AU44" s="240"/>
      <c r="AV44" s="240"/>
      <c r="AW44" s="240"/>
      <c r="AX44" s="240"/>
      <c r="AY44" s="250"/>
    </row>
    <row r="45" spans="1:51" ht="60" customHeight="1" x14ac:dyDescent="0.35">
      <c r="A45" s="246" t="s">
        <v>5068</v>
      </c>
      <c r="B45" s="234" t="s">
        <v>5069</v>
      </c>
      <c r="C45" s="234" t="s">
        <v>5070</v>
      </c>
      <c r="D45" s="234" t="s">
        <v>4857</v>
      </c>
      <c r="E45" s="234" t="s">
        <v>19</v>
      </c>
      <c r="F45" s="234" t="s">
        <v>4859</v>
      </c>
      <c r="G45" s="234" t="s">
        <v>19</v>
      </c>
      <c r="H45" s="234" t="s">
        <v>5071</v>
      </c>
      <c r="I45" s="234" t="s">
        <v>19</v>
      </c>
      <c r="J45" s="234" t="s">
        <v>5072</v>
      </c>
      <c r="K45" s="237" t="str">
        <f>IF(COUNTIF(L45:AY45,"&lt;&gt;")=0,"",SUMPRODUCT(((Recommendations[ImplStatus]="Implemented")+(Recommendations[ImplStatus]="Compensated"))*ISNUMBER(MATCH(Recommendations[Id],L45:AY45,0)))/COUNTIF(L45:AY45,"&lt;&gt;"))</f>
        <v/>
      </c>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AP45" s="240"/>
      <c r="AQ45" s="240"/>
      <c r="AR45" s="240"/>
      <c r="AS45" s="240"/>
      <c r="AT45" s="240"/>
      <c r="AU45" s="240"/>
      <c r="AV45" s="240"/>
      <c r="AW45" s="240"/>
      <c r="AX45" s="240"/>
      <c r="AY45" s="250"/>
    </row>
    <row r="46" spans="1:51" ht="60" customHeight="1" outlineLevel="1" x14ac:dyDescent="0.35">
      <c r="A46" s="245" t="s">
        <v>2139</v>
      </c>
      <c r="B46" s="233" t="s">
        <v>5073</v>
      </c>
      <c r="C46" s="233"/>
      <c r="D46" s="233"/>
      <c r="E46" s="233"/>
      <c r="F46" s="233"/>
      <c r="G46" s="233"/>
      <c r="H46" s="233"/>
      <c r="I46" s="233"/>
      <c r="J46" s="233"/>
      <c r="K46" s="236" t="str">
        <f>IF(COUNTIF(L46:AY46,"&lt;&gt;")=0,"",SUMPRODUCT(((Recommendations[ImplStatus]="Implemented")+(Recommendations[ImplStatus]="Compensated"))*ISNUMBER(MATCH(Recommendations[Id],L46:AY46,0)))/COUNTIF(L46:AY46,"&lt;&gt;"))</f>
        <v/>
      </c>
      <c r="L46" s="239"/>
      <c r="M46" s="239"/>
      <c r="N46" s="239"/>
      <c r="O46" s="239"/>
      <c r="P46" s="239"/>
      <c r="Q46" s="239"/>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AP46" s="239"/>
      <c r="AQ46" s="239"/>
      <c r="AR46" s="239"/>
      <c r="AS46" s="239"/>
      <c r="AT46" s="239"/>
      <c r="AU46" s="239"/>
      <c r="AV46" s="239"/>
      <c r="AW46" s="239"/>
      <c r="AX46" s="239"/>
      <c r="AY46" s="249"/>
    </row>
    <row r="47" spans="1:51" ht="60" customHeight="1" x14ac:dyDescent="0.35">
      <c r="A47" s="246" t="s">
        <v>5074</v>
      </c>
      <c r="B47" s="234" t="s">
        <v>5075</v>
      </c>
      <c r="C47" s="234" t="s">
        <v>5076</v>
      </c>
      <c r="D47" s="234" t="s">
        <v>5077</v>
      </c>
      <c r="E47" s="234" t="s">
        <v>19</v>
      </c>
      <c r="F47" s="234" t="s">
        <v>5078</v>
      </c>
      <c r="G47" s="234" t="s">
        <v>5079</v>
      </c>
      <c r="H47" s="234" t="s">
        <v>5080</v>
      </c>
      <c r="I47" s="234" t="s">
        <v>5081</v>
      </c>
      <c r="J47" s="234" t="s">
        <v>5082</v>
      </c>
      <c r="K47" s="237" t="str">
        <f>IF(COUNTIF(L47:AY47,"&lt;&gt;")=0,"",SUMPRODUCT(((Recommendations[ImplStatus]="Implemented")+(Recommendations[ImplStatus]="Compensated"))*ISNUMBER(MATCH(Recommendations[Id],L47:AY47,0)))/COUNTIF(L47:AY47,"&lt;&gt;"))</f>
        <v/>
      </c>
      <c r="L47" s="240"/>
      <c r="M47" s="240"/>
      <c r="N47" s="240"/>
      <c r="O47" s="240"/>
      <c r="P47" s="240"/>
      <c r="Q47" s="240"/>
      <c r="R47" s="240"/>
      <c r="S47" s="240"/>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c r="AW47" s="240"/>
      <c r="AX47" s="240"/>
      <c r="AY47" s="250"/>
    </row>
    <row r="48" spans="1:51" ht="60" customHeight="1" outlineLevel="1" x14ac:dyDescent="0.35">
      <c r="A48" s="245" t="s">
        <v>2143</v>
      </c>
      <c r="B48" s="233" t="s">
        <v>5083</v>
      </c>
      <c r="C48" s="233"/>
      <c r="D48" s="233"/>
      <c r="E48" s="233"/>
      <c r="F48" s="233"/>
      <c r="G48" s="233"/>
      <c r="H48" s="233"/>
      <c r="I48" s="233"/>
      <c r="J48" s="233"/>
      <c r="K48" s="236" t="str">
        <f>IF(COUNTIF(L48:AY48,"&lt;&gt;")=0,"",SUMPRODUCT(((Recommendations[ImplStatus]="Implemented")+(Recommendations[ImplStatus]="Compensated"))*ISNUMBER(MATCH(Recommendations[Id],L48:AY48,0)))/COUNTIF(L48:AY48,"&lt;&gt;"))</f>
        <v/>
      </c>
      <c r="L48" s="239"/>
      <c r="M48" s="239"/>
      <c r="N48" s="239"/>
      <c r="O48" s="239"/>
      <c r="P48" s="239"/>
      <c r="Q48" s="239"/>
      <c r="R48" s="239"/>
      <c r="S48" s="239"/>
      <c r="T48" s="239"/>
      <c r="U48" s="239"/>
      <c r="V48" s="239"/>
      <c r="W48" s="239"/>
      <c r="X48" s="239"/>
      <c r="Y48" s="239"/>
      <c r="Z48" s="239"/>
      <c r="AA48" s="239"/>
      <c r="AB48" s="239"/>
      <c r="AC48" s="239"/>
      <c r="AD48" s="239"/>
      <c r="AE48" s="239"/>
      <c r="AF48" s="239"/>
      <c r="AG48" s="239"/>
      <c r="AH48" s="239"/>
      <c r="AI48" s="239"/>
      <c r="AJ48" s="239"/>
      <c r="AK48" s="239"/>
      <c r="AL48" s="239"/>
      <c r="AM48" s="239"/>
      <c r="AN48" s="239"/>
      <c r="AO48" s="239"/>
      <c r="AP48" s="239"/>
      <c r="AQ48" s="239"/>
      <c r="AR48" s="239"/>
      <c r="AS48" s="239"/>
      <c r="AT48" s="239"/>
      <c r="AU48" s="239"/>
      <c r="AV48" s="239"/>
      <c r="AW48" s="239"/>
      <c r="AX48" s="239"/>
      <c r="AY48" s="249"/>
    </row>
    <row r="49" spans="1:51" ht="60" customHeight="1" x14ac:dyDescent="0.35">
      <c r="A49" s="246" t="s">
        <v>5084</v>
      </c>
      <c r="B49" s="234" t="s">
        <v>5085</v>
      </c>
      <c r="C49" s="234" t="s">
        <v>5086</v>
      </c>
      <c r="D49" s="234" t="s">
        <v>5087</v>
      </c>
      <c r="E49" s="234" t="s">
        <v>5088</v>
      </c>
      <c r="F49" s="234" t="s">
        <v>19</v>
      </c>
      <c r="G49" s="234" t="s">
        <v>19</v>
      </c>
      <c r="H49" s="234" t="s">
        <v>5089</v>
      </c>
      <c r="I49" s="234" t="s">
        <v>5090</v>
      </c>
      <c r="J49" s="234" t="s">
        <v>5091</v>
      </c>
      <c r="K49" s="237" t="str">
        <f>IF(COUNTIF(L49:AY49,"&lt;&gt;")=0,"",SUMPRODUCT(((Recommendations[ImplStatus]="Implemented")+(Recommendations[ImplStatus]="Compensated"))*ISNUMBER(MATCH(Recommendations[Id],L49:AY49,0)))/COUNTIF(L49:AY49,"&lt;&gt;"))</f>
        <v/>
      </c>
      <c r="L49" s="240"/>
      <c r="M49" s="240"/>
      <c r="N49" s="240"/>
      <c r="O49" s="240"/>
      <c r="P49" s="240"/>
      <c r="Q49" s="240"/>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c r="AW49" s="240"/>
      <c r="AX49" s="240"/>
      <c r="AY49" s="250"/>
    </row>
    <row r="50" spans="1:51" ht="60" customHeight="1" x14ac:dyDescent="0.35">
      <c r="A50" s="246" t="s">
        <v>5092</v>
      </c>
      <c r="B50" s="234" t="s">
        <v>5093</v>
      </c>
      <c r="C50" s="234" t="s">
        <v>5094</v>
      </c>
      <c r="D50" s="234" t="s">
        <v>19</v>
      </c>
      <c r="E50" s="234" t="s">
        <v>5095</v>
      </c>
      <c r="F50" s="234" t="s">
        <v>5096</v>
      </c>
      <c r="G50" s="234" t="s">
        <v>19</v>
      </c>
      <c r="H50" s="234" t="s">
        <v>5089</v>
      </c>
      <c r="I50" s="234" t="s">
        <v>5097</v>
      </c>
      <c r="J50" s="234" t="s">
        <v>5098</v>
      </c>
      <c r="K50" s="237" t="str">
        <f>IF(COUNTIF(L50:AY50,"&lt;&gt;")=0,"",SUMPRODUCT(((Recommendations[ImplStatus]="Implemented")+(Recommendations[ImplStatus]="Compensated"))*ISNUMBER(MATCH(Recommendations[Id],L50:AY50,0)))/COUNTIF(L50:AY50,"&lt;&gt;"))</f>
        <v/>
      </c>
      <c r="L50" s="240"/>
      <c r="M50" s="240"/>
      <c r="N50" s="240"/>
      <c r="O50" s="240"/>
      <c r="P50" s="240"/>
      <c r="Q50" s="240"/>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c r="AW50" s="240"/>
      <c r="AX50" s="240"/>
      <c r="AY50" s="250"/>
    </row>
    <row r="51" spans="1:51" ht="60" customHeight="1" x14ac:dyDescent="0.35">
      <c r="A51" s="246" t="s">
        <v>5099</v>
      </c>
      <c r="B51" s="234" t="s">
        <v>5100</v>
      </c>
      <c r="C51" s="234" t="s">
        <v>5101</v>
      </c>
      <c r="D51" s="234" t="s">
        <v>19</v>
      </c>
      <c r="E51" s="234" t="s">
        <v>19</v>
      </c>
      <c r="F51" s="234" t="s">
        <v>5102</v>
      </c>
      <c r="G51" s="234" t="s">
        <v>19</v>
      </c>
      <c r="H51" s="234" t="s">
        <v>5089</v>
      </c>
      <c r="I51" s="234" t="s">
        <v>5103</v>
      </c>
      <c r="J51" s="234" t="s">
        <v>5104</v>
      </c>
      <c r="K51" s="237" t="str">
        <f>IF(COUNTIF(L51:AY51,"&lt;&gt;")=0,"",SUMPRODUCT(((Recommendations[ImplStatus]="Implemented")+(Recommendations[ImplStatus]="Compensated"))*ISNUMBER(MATCH(Recommendations[Id],L51:AY51,0)))/COUNTIF(L51:AY51,"&lt;&gt;"))</f>
        <v/>
      </c>
      <c r="L51" s="240"/>
      <c r="M51" s="240"/>
      <c r="N51" s="240"/>
      <c r="O51" s="240"/>
      <c r="P51" s="240"/>
      <c r="Q51" s="240"/>
      <c r="R51" s="240"/>
      <c r="S51" s="240"/>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c r="AW51" s="240"/>
      <c r="AX51" s="240"/>
      <c r="AY51" s="250"/>
    </row>
    <row r="52" spans="1:51" ht="60" customHeight="1" x14ac:dyDescent="0.35">
      <c r="A52" s="246" t="s">
        <v>5105</v>
      </c>
      <c r="B52" s="234" t="s">
        <v>5106</v>
      </c>
      <c r="C52" s="234" t="s">
        <v>5107</v>
      </c>
      <c r="D52" s="234" t="s">
        <v>19</v>
      </c>
      <c r="E52" s="234" t="s">
        <v>19</v>
      </c>
      <c r="F52" s="234" t="s">
        <v>5108</v>
      </c>
      <c r="G52" s="234" t="s">
        <v>19</v>
      </c>
      <c r="H52" s="234" t="s">
        <v>5089</v>
      </c>
      <c r="I52" s="234" t="s">
        <v>5109</v>
      </c>
      <c r="J52" s="234" t="s">
        <v>5110</v>
      </c>
      <c r="K52" s="237" t="str">
        <f>IF(COUNTIF(L52:AY52,"&lt;&gt;")=0,"",SUMPRODUCT(((Recommendations[ImplStatus]="Implemented")+(Recommendations[ImplStatus]="Compensated"))*ISNUMBER(MATCH(Recommendations[Id],L52:AY52,0)))/COUNTIF(L52:AY52,"&lt;&gt;"))</f>
        <v/>
      </c>
      <c r="L52" s="240"/>
      <c r="M52" s="240"/>
      <c r="N52" s="240"/>
      <c r="O52" s="240"/>
      <c r="P52" s="240"/>
      <c r="Q52" s="240"/>
      <c r="R52" s="240"/>
      <c r="S52" s="240"/>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c r="AW52" s="240"/>
      <c r="AX52" s="240"/>
      <c r="AY52" s="250"/>
    </row>
    <row r="53" spans="1:51" ht="60" customHeight="1" x14ac:dyDescent="0.35">
      <c r="A53" s="246" t="s">
        <v>5111</v>
      </c>
      <c r="B53" s="234" t="s">
        <v>5112</v>
      </c>
      <c r="C53" s="234" t="s">
        <v>5113</v>
      </c>
      <c r="D53" s="234" t="s">
        <v>5114</v>
      </c>
      <c r="E53" s="234" t="s">
        <v>5115</v>
      </c>
      <c r="F53" s="234" t="s">
        <v>19</v>
      </c>
      <c r="G53" s="234" t="s">
        <v>19</v>
      </c>
      <c r="H53" s="234" t="s">
        <v>5116</v>
      </c>
      <c r="I53" s="234" t="s">
        <v>19</v>
      </c>
      <c r="J53" s="234" t="s">
        <v>5117</v>
      </c>
      <c r="K53" s="237" t="str">
        <f>IF(COUNTIF(L53:AY53,"&lt;&gt;")=0,"",SUMPRODUCT(((Recommendations[ImplStatus]="Implemented")+(Recommendations[ImplStatus]="Compensated"))*ISNUMBER(MATCH(Recommendations[Id],L53:AY53,0)))/COUNTIF(L53:AY53,"&lt;&gt;"))</f>
        <v/>
      </c>
      <c r="L53" s="240"/>
      <c r="M53" s="240"/>
      <c r="N53" s="240"/>
      <c r="O53" s="240"/>
      <c r="P53" s="240"/>
      <c r="Q53" s="24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c r="AW53" s="240"/>
      <c r="AX53" s="240"/>
      <c r="AY53" s="250"/>
    </row>
    <row r="54" spans="1:51" ht="60" customHeight="1" x14ac:dyDescent="0.35">
      <c r="A54" s="246" t="s">
        <v>5118</v>
      </c>
      <c r="B54" s="234" t="s">
        <v>5119</v>
      </c>
      <c r="C54" s="234" t="s">
        <v>5113</v>
      </c>
      <c r="D54" s="234" t="s">
        <v>5114</v>
      </c>
      <c r="E54" s="234" t="s">
        <v>19</v>
      </c>
      <c r="F54" s="234" t="s">
        <v>19</v>
      </c>
      <c r="G54" s="234" t="s">
        <v>19</v>
      </c>
      <c r="H54" s="234" t="s">
        <v>5120</v>
      </c>
      <c r="I54" s="234" t="s">
        <v>5121</v>
      </c>
      <c r="J54" s="234" t="s">
        <v>5122</v>
      </c>
      <c r="K54" s="237" t="str">
        <f>IF(COUNTIF(L54:AY54,"&lt;&gt;")=0,"",SUMPRODUCT(((Recommendations[ImplStatus]="Implemented")+(Recommendations[ImplStatus]="Compensated"))*ISNUMBER(MATCH(Recommendations[Id],L54:AY54,0)))/COUNTIF(L54:AY54,"&lt;&gt;"))</f>
        <v/>
      </c>
      <c r="L54" s="240"/>
      <c r="M54" s="240"/>
      <c r="N54" s="240"/>
      <c r="O54" s="240"/>
      <c r="P54" s="240"/>
      <c r="Q54" s="24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c r="AW54" s="240"/>
      <c r="AX54" s="240"/>
      <c r="AY54" s="250"/>
    </row>
    <row r="55" spans="1:51" ht="60" customHeight="1" outlineLevel="1" x14ac:dyDescent="0.35">
      <c r="A55" s="245" t="s">
        <v>2147</v>
      </c>
      <c r="B55" s="233" t="s">
        <v>5123</v>
      </c>
      <c r="C55" s="233"/>
      <c r="D55" s="233"/>
      <c r="E55" s="233"/>
      <c r="F55" s="233"/>
      <c r="G55" s="233"/>
      <c r="H55" s="233"/>
      <c r="I55" s="233"/>
      <c r="J55" s="233"/>
      <c r="K55" s="236" t="str">
        <f>IF(COUNTIF(L55:AY55,"&lt;&gt;")=0,"",SUMPRODUCT(((Recommendations[ImplStatus]="Implemented")+(Recommendations[ImplStatus]="Compensated"))*ISNUMBER(MATCH(Recommendations[Id],L55:AY55,0)))/COUNTIF(L55:AY55,"&lt;&gt;"))</f>
        <v/>
      </c>
      <c r="L55" s="239"/>
      <c r="M55" s="239"/>
      <c r="N55" s="239"/>
      <c r="O55" s="239"/>
      <c r="P55" s="239"/>
      <c r="Q55" s="239"/>
      <c r="R55" s="239"/>
      <c r="S55" s="239"/>
      <c r="T55" s="239"/>
      <c r="U55" s="239"/>
      <c r="V55" s="239"/>
      <c r="W55" s="239"/>
      <c r="X55" s="239"/>
      <c r="Y55" s="239"/>
      <c r="Z55" s="239"/>
      <c r="AA55" s="239"/>
      <c r="AB55" s="239"/>
      <c r="AC55" s="239"/>
      <c r="AD55" s="239"/>
      <c r="AE55" s="239"/>
      <c r="AF55" s="239"/>
      <c r="AG55" s="239"/>
      <c r="AH55" s="239"/>
      <c r="AI55" s="239"/>
      <c r="AJ55" s="239"/>
      <c r="AK55" s="239"/>
      <c r="AL55" s="239"/>
      <c r="AM55" s="239"/>
      <c r="AN55" s="239"/>
      <c r="AO55" s="239"/>
      <c r="AP55" s="239"/>
      <c r="AQ55" s="239"/>
      <c r="AR55" s="239"/>
      <c r="AS55" s="239"/>
      <c r="AT55" s="239"/>
      <c r="AU55" s="239"/>
      <c r="AV55" s="239"/>
      <c r="AW55" s="239"/>
      <c r="AX55" s="239"/>
      <c r="AY55" s="249"/>
    </row>
    <row r="56" spans="1:51" ht="60" customHeight="1" x14ac:dyDescent="0.35">
      <c r="A56" s="246" t="s">
        <v>5124</v>
      </c>
      <c r="B56" s="234" t="s">
        <v>5125</v>
      </c>
      <c r="C56" s="234" t="s">
        <v>5126</v>
      </c>
      <c r="D56" s="234" t="s">
        <v>5127</v>
      </c>
      <c r="E56" s="234" t="s">
        <v>5128</v>
      </c>
      <c r="F56" s="234" t="s">
        <v>19</v>
      </c>
      <c r="G56" s="234" t="s">
        <v>5129</v>
      </c>
      <c r="H56" s="234" t="s">
        <v>19</v>
      </c>
      <c r="I56" s="234" t="s">
        <v>19</v>
      </c>
      <c r="J56" s="234" t="s">
        <v>5130</v>
      </c>
      <c r="K56" s="237" t="str">
        <f>IF(COUNTIF(L56:AY56,"&lt;&gt;")=0,"",SUMPRODUCT(((Recommendations[ImplStatus]="Implemented")+(Recommendations[ImplStatus]="Compensated"))*ISNUMBER(MATCH(Recommendations[Id],L56:AY56,0)))/COUNTIF(L56:AY56,"&lt;&gt;"))</f>
        <v/>
      </c>
      <c r="L56" s="240"/>
      <c r="M56" s="240"/>
      <c r="N56" s="240"/>
      <c r="O56" s="240"/>
      <c r="P56" s="240"/>
      <c r="Q56" s="24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40"/>
      <c r="AV56" s="240"/>
      <c r="AW56" s="240"/>
      <c r="AX56" s="240"/>
      <c r="AY56" s="250"/>
    </row>
    <row r="57" spans="1:51" ht="60" customHeight="1" x14ac:dyDescent="0.35">
      <c r="A57" s="246" t="s">
        <v>5131</v>
      </c>
      <c r="B57" s="234" t="s">
        <v>5132</v>
      </c>
      <c r="C57" s="234" t="s">
        <v>5133</v>
      </c>
      <c r="D57" s="234" t="s">
        <v>5134</v>
      </c>
      <c r="E57" s="234" t="s">
        <v>5135</v>
      </c>
      <c r="F57" s="234" t="s">
        <v>19</v>
      </c>
      <c r="G57" s="234" t="s">
        <v>5136</v>
      </c>
      <c r="H57" s="234" t="s">
        <v>5137</v>
      </c>
      <c r="I57" s="234" t="s">
        <v>19</v>
      </c>
      <c r="J57" s="234" t="s">
        <v>5138</v>
      </c>
      <c r="K57" s="237" t="str">
        <f>IF(COUNTIF(L57:AY57,"&lt;&gt;")=0,"",SUMPRODUCT(((Recommendations[ImplStatus]="Implemented")+(Recommendations[ImplStatus]="Compensated"))*ISNUMBER(MATCH(Recommendations[Id],L57:AY57,0)))/COUNTIF(L57:AY57,"&lt;&gt;"))</f>
        <v/>
      </c>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0"/>
      <c r="AT57" s="240"/>
      <c r="AU57" s="240"/>
      <c r="AV57" s="240"/>
      <c r="AW57" s="240"/>
      <c r="AX57" s="240"/>
      <c r="AY57" s="250"/>
    </row>
    <row r="58" spans="1:51" ht="60" customHeight="1" outlineLevel="1" x14ac:dyDescent="0.35">
      <c r="A58" s="245" t="s">
        <v>2151</v>
      </c>
      <c r="B58" s="233" t="s">
        <v>5139</v>
      </c>
      <c r="C58" s="233"/>
      <c r="D58" s="233"/>
      <c r="E58" s="233"/>
      <c r="F58" s="233"/>
      <c r="G58" s="233"/>
      <c r="H58" s="233"/>
      <c r="I58" s="233"/>
      <c r="J58" s="233"/>
      <c r="K58" s="236" t="str">
        <f>IF(COUNTIF(L58:AY58,"&lt;&gt;")=0,"",SUMPRODUCT(((Recommendations[ImplStatus]="Implemented")+(Recommendations[ImplStatus]="Compensated"))*ISNUMBER(MATCH(Recommendations[Id],L58:AY58,0)))/COUNTIF(L58:AY58,"&lt;&gt;"))</f>
        <v/>
      </c>
      <c r="L58" s="239"/>
      <c r="M58" s="239"/>
      <c r="N58" s="239"/>
      <c r="O58" s="239"/>
      <c r="P58" s="239"/>
      <c r="Q58" s="239"/>
      <c r="R58" s="239"/>
      <c r="S58" s="239"/>
      <c r="T58" s="239"/>
      <c r="U58" s="239"/>
      <c r="V58" s="239"/>
      <c r="W58" s="239"/>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39"/>
      <c r="AX58" s="239"/>
      <c r="AY58" s="249"/>
    </row>
    <row r="59" spans="1:51" ht="60" customHeight="1" x14ac:dyDescent="0.35">
      <c r="A59" s="246" t="s">
        <v>5140</v>
      </c>
      <c r="B59" s="234" t="s">
        <v>5141</v>
      </c>
      <c r="C59" s="234" t="s">
        <v>5142</v>
      </c>
      <c r="D59" s="234" t="s">
        <v>5143</v>
      </c>
      <c r="E59" s="234" t="s">
        <v>19</v>
      </c>
      <c r="F59" s="234" t="s">
        <v>19</v>
      </c>
      <c r="G59" s="234" t="s">
        <v>5144</v>
      </c>
      <c r="H59" s="234" t="s">
        <v>5145</v>
      </c>
      <c r="I59" s="234" t="s">
        <v>5146</v>
      </c>
      <c r="J59" s="234" t="s">
        <v>5147</v>
      </c>
      <c r="K59" s="237">
        <f>IF(COUNTIF(L59:AY59,"&lt;&gt;")=0,"",SUMPRODUCT(((Recommendations[ImplStatus]="Implemented")+(Recommendations[ImplStatus]="Compensated"))*ISNUMBER(MATCH(Recommendations[Id],L59:AY59,0)))/COUNTIF(L59:AY59,"&lt;&gt;"))</f>
        <v>0</v>
      </c>
      <c r="L59" s="240" t="s">
        <v>43</v>
      </c>
      <c r="M59" s="240"/>
      <c r="N59" s="240"/>
      <c r="O59" s="240"/>
      <c r="P59" s="240"/>
      <c r="Q59" s="24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50"/>
    </row>
    <row r="60" spans="1:51" ht="60" customHeight="1" x14ac:dyDescent="0.35">
      <c r="A60" s="246" t="s">
        <v>5148</v>
      </c>
      <c r="B60" s="234" t="s">
        <v>5149</v>
      </c>
      <c r="C60" s="234" t="s">
        <v>5150</v>
      </c>
      <c r="D60" s="234" t="s">
        <v>19</v>
      </c>
      <c r="E60" s="234" t="s">
        <v>5151</v>
      </c>
      <c r="F60" s="234" t="s">
        <v>5152</v>
      </c>
      <c r="G60" s="234" t="s">
        <v>19</v>
      </c>
      <c r="H60" s="234" t="s">
        <v>5153</v>
      </c>
      <c r="I60" s="234" t="s">
        <v>5154</v>
      </c>
      <c r="J60" s="234" t="s">
        <v>5155</v>
      </c>
      <c r="K60" s="237" t="str">
        <f>IF(COUNTIF(L60:AY60,"&lt;&gt;")=0,"",SUMPRODUCT(((Recommendations[ImplStatus]="Implemented")+(Recommendations[ImplStatus]="Compensated"))*ISNUMBER(MATCH(Recommendations[Id],L60:AY60,0)))/COUNTIF(L60:AY60,"&lt;&gt;"))</f>
        <v/>
      </c>
      <c r="L60" s="240"/>
      <c r="M60" s="240"/>
      <c r="N60" s="240"/>
      <c r="O60" s="240"/>
      <c r="P60" s="240"/>
      <c r="Q60" s="24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0"/>
      <c r="AX60" s="240"/>
      <c r="AY60" s="250"/>
    </row>
    <row r="61" spans="1:51" ht="60" customHeight="1" x14ac:dyDescent="0.35">
      <c r="A61" s="246" t="s">
        <v>5156</v>
      </c>
      <c r="B61" s="234" t="s">
        <v>5157</v>
      </c>
      <c r="C61" s="234" t="s">
        <v>5158</v>
      </c>
      <c r="D61" s="234" t="s">
        <v>19</v>
      </c>
      <c r="E61" s="234" t="s">
        <v>19</v>
      </c>
      <c r="F61" s="234" t="s">
        <v>19</v>
      </c>
      <c r="G61" s="234" t="s">
        <v>5159</v>
      </c>
      <c r="H61" s="234" t="s">
        <v>5160</v>
      </c>
      <c r="I61" s="234" t="s">
        <v>5161</v>
      </c>
      <c r="J61" s="234" t="s">
        <v>5162</v>
      </c>
      <c r="K61" s="237" t="str">
        <f>IF(COUNTIF(L61:AY61,"&lt;&gt;")=0,"",SUMPRODUCT(((Recommendations[ImplStatus]="Implemented")+(Recommendations[ImplStatus]="Compensated"))*ISNUMBER(MATCH(Recommendations[Id],L61:AY61,0)))/COUNTIF(L61:AY61,"&lt;&gt;"))</f>
        <v/>
      </c>
      <c r="L61" s="240"/>
      <c r="M61" s="240"/>
      <c r="N61" s="240"/>
      <c r="O61" s="240"/>
      <c r="P61" s="240"/>
      <c r="Q61" s="24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0"/>
      <c r="AT61" s="240"/>
      <c r="AU61" s="240"/>
      <c r="AV61" s="240"/>
      <c r="AW61" s="240"/>
      <c r="AX61" s="240"/>
      <c r="AY61" s="250"/>
    </row>
    <row r="62" spans="1:51" ht="60" customHeight="1" x14ac:dyDescent="0.35">
      <c r="A62" s="246" t="s">
        <v>5163</v>
      </c>
      <c r="B62" s="234" t="s">
        <v>5164</v>
      </c>
      <c r="C62" s="234" t="s">
        <v>5165</v>
      </c>
      <c r="D62" s="234" t="s">
        <v>5166</v>
      </c>
      <c r="E62" s="234" t="s">
        <v>19</v>
      </c>
      <c r="F62" s="234" t="s">
        <v>19</v>
      </c>
      <c r="G62" s="234" t="s">
        <v>19</v>
      </c>
      <c r="H62" s="234" t="s">
        <v>5167</v>
      </c>
      <c r="I62" s="234" t="s">
        <v>5168</v>
      </c>
      <c r="J62" s="234" t="s">
        <v>5169</v>
      </c>
      <c r="K62" s="237" t="str">
        <f>IF(COUNTIF(L62:AY62,"&lt;&gt;")=0,"",SUMPRODUCT(((Recommendations[ImplStatus]="Implemented")+(Recommendations[ImplStatus]="Compensated"))*ISNUMBER(MATCH(Recommendations[Id],L62:AY62,0)))/COUNTIF(L62:AY62,"&lt;&gt;"))</f>
        <v/>
      </c>
      <c r="L62" s="240"/>
      <c r="M62" s="240"/>
      <c r="N62" s="240"/>
      <c r="O62" s="240"/>
      <c r="P62" s="240"/>
      <c r="Q62" s="24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0"/>
      <c r="AW62" s="240"/>
      <c r="AX62" s="240"/>
      <c r="AY62" s="250"/>
    </row>
    <row r="63" spans="1:51" ht="60" customHeight="1" outlineLevel="1" x14ac:dyDescent="0.35">
      <c r="A63" s="245" t="s">
        <v>2155</v>
      </c>
      <c r="B63" s="233" t="s">
        <v>5170</v>
      </c>
      <c r="C63" s="233"/>
      <c r="D63" s="233"/>
      <c r="E63" s="233"/>
      <c r="F63" s="233"/>
      <c r="G63" s="233"/>
      <c r="H63" s="233"/>
      <c r="I63" s="233"/>
      <c r="J63" s="233"/>
      <c r="K63" s="236" t="str">
        <f>IF(COUNTIF(L63:AY63,"&lt;&gt;")=0,"",SUMPRODUCT(((Recommendations[ImplStatus]="Implemented")+(Recommendations[ImplStatus]="Compensated"))*ISNUMBER(MATCH(Recommendations[Id],L63:AY63,0)))/COUNTIF(L63:AY63,"&lt;&gt;"))</f>
        <v/>
      </c>
      <c r="L63" s="239"/>
      <c r="M63" s="239"/>
      <c r="N63" s="239"/>
      <c r="O63" s="239"/>
      <c r="P63" s="239"/>
      <c r="Q63" s="239"/>
      <c r="R63" s="239"/>
      <c r="S63" s="239"/>
      <c r="T63" s="239"/>
      <c r="U63" s="239"/>
      <c r="V63" s="239"/>
      <c r="W63" s="239"/>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9"/>
      <c r="AX63" s="239"/>
      <c r="AY63" s="249"/>
    </row>
    <row r="64" spans="1:51" ht="60" customHeight="1" x14ac:dyDescent="0.35">
      <c r="A64" s="246" t="s">
        <v>5171</v>
      </c>
      <c r="B64" s="234" t="s">
        <v>5172</v>
      </c>
      <c r="C64" s="234" t="s">
        <v>5173</v>
      </c>
      <c r="D64" s="234" t="s">
        <v>5174</v>
      </c>
      <c r="E64" s="234" t="s">
        <v>19</v>
      </c>
      <c r="F64" s="234" t="s">
        <v>19</v>
      </c>
      <c r="G64" s="234" t="s">
        <v>5175</v>
      </c>
      <c r="H64" s="234" t="s">
        <v>5176</v>
      </c>
      <c r="I64" s="234" t="s">
        <v>5177</v>
      </c>
      <c r="J64" s="234" t="s">
        <v>5178</v>
      </c>
      <c r="K64" s="237" t="str">
        <f>IF(COUNTIF(L64:AY64,"&lt;&gt;")=0,"",SUMPRODUCT(((Recommendations[ImplStatus]="Implemented")+(Recommendations[ImplStatus]="Compensated"))*ISNUMBER(MATCH(Recommendations[Id],L64:AY64,0)))/COUNTIF(L64:AY64,"&lt;&gt;"))</f>
        <v/>
      </c>
      <c r="L64" s="240"/>
      <c r="M64" s="240"/>
      <c r="N64" s="240"/>
      <c r="O64" s="240"/>
      <c r="P64" s="240"/>
      <c r="Q64" s="24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c r="AW64" s="240"/>
      <c r="AX64" s="240"/>
      <c r="AY64" s="250"/>
    </row>
    <row r="65" spans="1:51" ht="60" customHeight="1" x14ac:dyDescent="0.35">
      <c r="A65" s="246" t="s">
        <v>5179</v>
      </c>
      <c r="B65" s="234" t="s">
        <v>5180</v>
      </c>
      <c r="C65" s="234" t="s">
        <v>5181</v>
      </c>
      <c r="D65" s="234" t="s">
        <v>5182</v>
      </c>
      <c r="E65" s="234" t="s">
        <v>19</v>
      </c>
      <c r="F65" s="234" t="s">
        <v>19</v>
      </c>
      <c r="G65" s="234" t="s">
        <v>19</v>
      </c>
      <c r="H65" s="234" t="s">
        <v>5183</v>
      </c>
      <c r="I65" s="234" t="s">
        <v>5184</v>
      </c>
      <c r="J65" s="234" t="s">
        <v>5185</v>
      </c>
      <c r="K65" s="237" t="str">
        <f>IF(COUNTIF(L65:AY65,"&lt;&gt;")=0,"",SUMPRODUCT(((Recommendations[ImplStatus]="Implemented")+(Recommendations[ImplStatus]="Compensated"))*ISNUMBER(MATCH(Recommendations[Id],L65:AY65,0)))/COUNTIF(L65:AY65,"&lt;&gt;"))</f>
        <v/>
      </c>
      <c r="L65" s="240"/>
      <c r="M65" s="240"/>
      <c r="N65" s="240"/>
      <c r="O65" s="240"/>
      <c r="P65" s="240"/>
      <c r="Q65" s="24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c r="AW65" s="240"/>
      <c r="AX65" s="240"/>
      <c r="AY65" s="250"/>
    </row>
    <row r="66" spans="1:51" ht="60" customHeight="1" x14ac:dyDescent="0.35">
      <c r="A66" s="246" t="s">
        <v>5186</v>
      </c>
      <c r="B66" s="234" t="s">
        <v>5187</v>
      </c>
      <c r="C66" s="234" t="s">
        <v>5188</v>
      </c>
      <c r="D66" s="234" t="s">
        <v>5189</v>
      </c>
      <c r="E66" s="234" t="s">
        <v>19</v>
      </c>
      <c r="F66" s="234" t="s">
        <v>19</v>
      </c>
      <c r="G66" s="234" t="s">
        <v>19</v>
      </c>
      <c r="H66" s="234" t="s">
        <v>5190</v>
      </c>
      <c r="I66" s="234" t="s">
        <v>5191</v>
      </c>
      <c r="J66" s="234" t="s">
        <v>5192</v>
      </c>
      <c r="K66" s="237" t="str">
        <f>IF(COUNTIF(L66:AY66,"&lt;&gt;")=0,"",SUMPRODUCT(((Recommendations[ImplStatus]="Implemented")+(Recommendations[ImplStatus]="Compensated"))*ISNUMBER(MATCH(Recommendations[Id],L66:AY66,0)))/COUNTIF(L66:AY66,"&lt;&gt;"))</f>
        <v/>
      </c>
      <c r="L66" s="240"/>
      <c r="M66" s="240"/>
      <c r="N66" s="240"/>
      <c r="O66" s="240"/>
      <c r="P66" s="240"/>
      <c r="Q66" s="24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c r="AW66" s="240"/>
      <c r="AX66" s="240"/>
      <c r="AY66" s="250"/>
    </row>
    <row r="67" spans="1:51" ht="60" customHeight="1" x14ac:dyDescent="0.35">
      <c r="A67" s="246" t="s">
        <v>5193</v>
      </c>
      <c r="B67" s="234" t="s">
        <v>5194</v>
      </c>
      <c r="C67" s="234" t="s">
        <v>5195</v>
      </c>
      <c r="D67" s="234" t="s">
        <v>5196</v>
      </c>
      <c r="E67" s="234" t="s">
        <v>19</v>
      </c>
      <c r="F67" s="234" t="s">
        <v>19</v>
      </c>
      <c r="G67" s="234" t="s">
        <v>19</v>
      </c>
      <c r="H67" s="234" t="s">
        <v>5197</v>
      </c>
      <c r="I67" s="234" t="s">
        <v>19</v>
      </c>
      <c r="J67" s="234" t="s">
        <v>5198</v>
      </c>
      <c r="K67" s="237" t="str">
        <f>IF(COUNTIF(L67:AY67,"&lt;&gt;")=0,"",SUMPRODUCT(((Recommendations[ImplStatus]="Implemented")+(Recommendations[ImplStatus]="Compensated"))*ISNUMBER(MATCH(Recommendations[Id],L67:AY67,0)))/COUNTIF(L67:AY67,"&lt;&gt;"))</f>
        <v/>
      </c>
      <c r="L67" s="240"/>
      <c r="M67" s="240"/>
      <c r="N67" s="240"/>
      <c r="O67" s="240"/>
      <c r="P67" s="240"/>
      <c r="Q67" s="24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c r="AW67" s="240"/>
      <c r="AX67" s="240"/>
      <c r="AY67" s="250"/>
    </row>
    <row r="68" spans="1:51" ht="60" customHeight="1" x14ac:dyDescent="0.35">
      <c r="A68" s="246" t="s">
        <v>5199</v>
      </c>
      <c r="B68" s="234" t="s">
        <v>5200</v>
      </c>
      <c r="C68" s="234" t="s">
        <v>5201</v>
      </c>
      <c r="D68" s="234" t="s">
        <v>19</v>
      </c>
      <c r="E68" s="234" t="s">
        <v>19</v>
      </c>
      <c r="F68" s="234" t="s">
        <v>19</v>
      </c>
      <c r="G68" s="234" t="s">
        <v>19</v>
      </c>
      <c r="H68" s="234" t="s">
        <v>5202</v>
      </c>
      <c r="I68" s="234" t="s">
        <v>19</v>
      </c>
      <c r="J68" s="234" t="s">
        <v>5203</v>
      </c>
      <c r="K68" s="237" t="str">
        <f>IF(COUNTIF(L68:AY68,"&lt;&gt;")=0,"",SUMPRODUCT(((Recommendations[ImplStatus]="Implemented")+(Recommendations[ImplStatus]="Compensated"))*ISNUMBER(MATCH(Recommendations[Id],L68:AY68,0)))/COUNTIF(L68:AY68,"&lt;&gt;"))</f>
        <v/>
      </c>
      <c r="L68" s="240"/>
      <c r="M68" s="240"/>
      <c r="N68" s="240"/>
      <c r="O68" s="240"/>
      <c r="P68" s="240"/>
      <c r="Q68" s="240"/>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c r="AQ68" s="240"/>
      <c r="AR68" s="240"/>
      <c r="AS68" s="240"/>
      <c r="AT68" s="240"/>
      <c r="AU68" s="240"/>
      <c r="AV68" s="240"/>
      <c r="AW68" s="240"/>
      <c r="AX68" s="240"/>
      <c r="AY68" s="250"/>
    </row>
    <row r="69" spans="1:51" ht="60" customHeight="1" outlineLevel="1" x14ac:dyDescent="0.35">
      <c r="A69" s="245" t="s">
        <v>2159</v>
      </c>
      <c r="B69" s="233" t="s">
        <v>5204</v>
      </c>
      <c r="C69" s="233"/>
      <c r="D69" s="233"/>
      <c r="E69" s="233"/>
      <c r="F69" s="233"/>
      <c r="G69" s="233"/>
      <c r="H69" s="233"/>
      <c r="I69" s="233"/>
      <c r="J69" s="233"/>
      <c r="K69" s="236" t="str">
        <f>IF(COUNTIF(L69:AY69,"&lt;&gt;")=0,"",SUMPRODUCT(((Recommendations[ImplStatus]="Implemented")+(Recommendations[ImplStatus]="Compensated"))*ISNUMBER(MATCH(Recommendations[Id],L69:AY69,0)))/COUNTIF(L69:AY69,"&lt;&gt;"))</f>
        <v/>
      </c>
      <c r="L69" s="239"/>
      <c r="M69" s="239"/>
      <c r="N69" s="239"/>
      <c r="O69" s="239"/>
      <c r="P69" s="239"/>
      <c r="Q69" s="239"/>
      <c r="R69" s="239"/>
      <c r="S69" s="239"/>
      <c r="T69" s="239"/>
      <c r="U69" s="239"/>
      <c r="V69" s="239"/>
      <c r="W69" s="239"/>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9"/>
      <c r="AX69" s="239"/>
      <c r="AY69" s="249"/>
    </row>
    <row r="70" spans="1:51" ht="60" customHeight="1" x14ac:dyDescent="0.35">
      <c r="A70" s="246" t="s">
        <v>5205</v>
      </c>
      <c r="B70" s="234" t="s">
        <v>5206</v>
      </c>
      <c r="C70" s="234" t="s">
        <v>5207</v>
      </c>
      <c r="D70" s="234" t="s">
        <v>19</v>
      </c>
      <c r="E70" s="234" t="s">
        <v>19</v>
      </c>
      <c r="F70" s="234" t="s">
        <v>19</v>
      </c>
      <c r="G70" s="234" t="s">
        <v>5208</v>
      </c>
      <c r="H70" s="234" t="s">
        <v>5209</v>
      </c>
      <c r="I70" s="234" t="s">
        <v>19</v>
      </c>
      <c r="J70" s="234" t="s">
        <v>5210</v>
      </c>
      <c r="K70" s="237" t="str">
        <f>IF(COUNTIF(L70:AY70,"&lt;&gt;")=0,"",SUMPRODUCT(((Recommendations[ImplStatus]="Implemented")+(Recommendations[ImplStatus]="Compensated"))*ISNUMBER(MATCH(Recommendations[Id],L70:AY70,0)))/COUNTIF(L70:AY70,"&lt;&gt;"))</f>
        <v/>
      </c>
      <c r="L70" s="240"/>
      <c r="M70" s="240"/>
      <c r="N70" s="240"/>
      <c r="O70" s="240"/>
      <c r="P70" s="240"/>
      <c r="Q70" s="240"/>
      <c r="R70" s="240"/>
      <c r="S70" s="240"/>
      <c r="T70" s="240"/>
      <c r="U70" s="240"/>
      <c r="V70" s="240"/>
      <c r="W70" s="240"/>
      <c r="X70" s="240"/>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c r="AW70" s="240"/>
      <c r="AX70" s="240"/>
      <c r="AY70" s="250"/>
    </row>
    <row r="71" spans="1:51" ht="60" customHeight="1" x14ac:dyDescent="0.35">
      <c r="A71" s="246" t="s">
        <v>5211</v>
      </c>
      <c r="B71" s="234" t="s">
        <v>5212</v>
      </c>
      <c r="C71" s="234" t="s">
        <v>5213</v>
      </c>
      <c r="D71" s="234" t="s">
        <v>19</v>
      </c>
      <c r="E71" s="234" t="s">
        <v>19</v>
      </c>
      <c r="F71" s="234" t="s">
        <v>19</v>
      </c>
      <c r="G71" s="234" t="s">
        <v>19</v>
      </c>
      <c r="H71" s="234" t="s">
        <v>5214</v>
      </c>
      <c r="I71" s="234" t="s">
        <v>19</v>
      </c>
      <c r="J71" s="234" t="s">
        <v>5215</v>
      </c>
      <c r="K71" s="237" t="str">
        <f>IF(COUNTIF(L71:AY71,"&lt;&gt;")=0,"",SUMPRODUCT(((Recommendations[ImplStatus]="Implemented")+(Recommendations[ImplStatus]="Compensated"))*ISNUMBER(MATCH(Recommendations[Id],L71:AY71,0)))/COUNTIF(L71:AY71,"&lt;&gt;"))</f>
        <v/>
      </c>
      <c r="L71" s="240"/>
      <c r="M71" s="240"/>
      <c r="N71" s="240"/>
      <c r="O71" s="240"/>
      <c r="P71" s="240"/>
      <c r="Q71" s="24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c r="AW71" s="240"/>
      <c r="AX71" s="240"/>
      <c r="AY71" s="250"/>
    </row>
    <row r="72" spans="1:51" ht="60" customHeight="1" x14ac:dyDescent="0.35">
      <c r="A72" s="246" t="s">
        <v>5216</v>
      </c>
      <c r="B72" s="234" t="s">
        <v>5217</v>
      </c>
      <c r="C72" s="234" t="s">
        <v>5218</v>
      </c>
      <c r="D72" s="234" t="s">
        <v>5219</v>
      </c>
      <c r="E72" s="234" t="s">
        <v>5220</v>
      </c>
      <c r="F72" s="234" t="s">
        <v>19</v>
      </c>
      <c r="G72" s="234" t="s">
        <v>19</v>
      </c>
      <c r="H72" s="234" t="s">
        <v>5221</v>
      </c>
      <c r="I72" s="234" t="s">
        <v>19</v>
      </c>
      <c r="J72" s="234" t="s">
        <v>5222</v>
      </c>
      <c r="K72" s="237" t="str">
        <f>IF(COUNTIF(L72:AY72,"&lt;&gt;")=0,"",SUMPRODUCT(((Recommendations[ImplStatus]="Implemented")+(Recommendations[ImplStatus]="Compensated"))*ISNUMBER(MATCH(Recommendations[Id],L72:AY72,0)))/COUNTIF(L72:AY72,"&lt;&gt;"))</f>
        <v/>
      </c>
      <c r="L72" s="240"/>
      <c r="M72" s="240"/>
      <c r="N72" s="240"/>
      <c r="O72" s="240"/>
      <c r="P72" s="240"/>
      <c r="Q72" s="240"/>
      <c r="R72" s="240"/>
      <c r="S72" s="240"/>
      <c r="T72" s="240"/>
      <c r="U72" s="240"/>
      <c r="V72" s="240"/>
      <c r="W72" s="240"/>
      <c r="X72" s="240"/>
      <c r="Y72" s="240"/>
      <c r="Z72" s="240"/>
      <c r="AA72" s="240"/>
      <c r="AB72" s="240"/>
      <c r="AC72" s="240"/>
      <c r="AD72" s="240"/>
      <c r="AE72" s="240"/>
      <c r="AF72" s="240"/>
      <c r="AG72" s="240"/>
      <c r="AH72" s="240"/>
      <c r="AI72" s="240"/>
      <c r="AJ72" s="240"/>
      <c r="AK72" s="240"/>
      <c r="AL72" s="240"/>
      <c r="AM72" s="240"/>
      <c r="AN72" s="240"/>
      <c r="AO72" s="240"/>
      <c r="AP72" s="240"/>
      <c r="AQ72" s="240"/>
      <c r="AR72" s="240"/>
      <c r="AS72" s="240"/>
      <c r="AT72" s="240"/>
      <c r="AU72" s="240"/>
      <c r="AV72" s="240"/>
      <c r="AW72" s="240"/>
      <c r="AX72" s="240"/>
      <c r="AY72" s="250"/>
    </row>
    <row r="73" spans="1:51" ht="60" customHeight="1" x14ac:dyDescent="0.35">
      <c r="A73" s="246" t="s">
        <v>5223</v>
      </c>
      <c r="B73" s="234" t="s">
        <v>5224</v>
      </c>
      <c r="C73" s="234" t="s">
        <v>5225</v>
      </c>
      <c r="D73" s="234" t="s">
        <v>5226</v>
      </c>
      <c r="E73" s="234" t="s">
        <v>5220</v>
      </c>
      <c r="F73" s="234" t="s">
        <v>19</v>
      </c>
      <c r="G73" s="234" t="s">
        <v>5227</v>
      </c>
      <c r="H73" s="234" t="s">
        <v>5228</v>
      </c>
      <c r="I73" s="234" t="s">
        <v>19</v>
      </c>
      <c r="J73" s="234" t="s">
        <v>5229</v>
      </c>
      <c r="K73" s="237" t="str">
        <f>IF(COUNTIF(L73:AY73,"&lt;&gt;")=0,"",SUMPRODUCT(((Recommendations[ImplStatus]="Implemented")+(Recommendations[ImplStatus]="Compensated"))*ISNUMBER(MATCH(Recommendations[Id],L73:AY73,0)))/COUNTIF(L73:AY73,"&lt;&gt;"))</f>
        <v/>
      </c>
      <c r="L73" s="240"/>
      <c r="M73" s="240"/>
      <c r="N73" s="240"/>
      <c r="O73" s="240"/>
      <c r="P73" s="240"/>
      <c r="Q73" s="240"/>
      <c r="R73" s="240"/>
      <c r="S73" s="240"/>
      <c r="T73" s="240"/>
      <c r="U73" s="240"/>
      <c r="V73" s="240"/>
      <c r="W73" s="240"/>
      <c r="X73" s="240"/>
      <c r="Y73" s="240"/>
      <c r="Z73" s="240"/>
      <c r="AA73" s="240"/>
      <c r="AB73" s="240"/>
      <c r="AC73" s="240"/>
      <c r="AD73" s="240"/>
      <c r="AE73" s="240"/>
      <c r="AF73" s="240"/>
      <c r="AG73" s="240"/>
      <c r="AH73" s="240"/>
      <c r="AI73" s="240"/>
      <c r="AJ73" s="240"/>
      <c r="AK73" s="240"/>
      <c r="AL73" s="240"/>
      <c r="AM73" s="240"/>
      <c r="AN73" s="240"/>
      <c r="AO73" s="240"/>
      <c r="AP73" s="240"/>
      <c r="AQ73" s="240"/>
      <c r="AR73" s="240"/>
      <c r="AS73" s="240"/>
      <c r="AT73" s="240"/>
      <c r="AU73" s="240"/>
      <c r="AV73" s="240"/>
      <c r="AW73" s="240"/>
      <c r="AX73" s="240"/>
      <c r="AY73" s="250"/>
    </row>
    <row r="74" spans="1:51" ht="60" customHeight="1" x14ac:dyDescent="0.35">
      <c r="A74" s="246" t="s">
        <v>5230</v>
      </c>
      <c r="B74" s="234" t="s">
        <v>5231</v>
      </c>
      <c r="C74" s="234" t="s">
        <v>5232</v>
      </c>
      <c r="D74" s="234" t="s">
        <v>5226</v>
      </c>
      <c r="E74" s="234" t="s">
        <v>5233</v>
      </c>
      <c r="F74" s="234" t="s">
        <v>19</v>
      </c>
      <c r="G74" s="234" t="s">
        <v>5234</v>
      </c>
      <c r="H74" s="234" t="s">
        <v>5235</v>
      </c>
      <c r="I74" s="234" t="s">
        <v>5236</v>
      </c>
      <c r="J74" s="234" t="s">
        <v>5237</v>
      </c>
      <c r="K74" s="237" t="str">
        <f>IF(COUNTIF(L74:AY74,"&lt;&gt;")=0,"",SUMPRODUCT(((Recommendations[ImplStatus]="Implemented")+(Recommendations[ImplStatus]="Compensated"))*ISNUMBER(MATCH(Recommendations[Id],L74:AY74,0)))/COUNTIF(L74:AY74,"&lt;&gt;"))</f>
        <v/>
      </c>
      <c r="L74" s="240"/>
      <c r="M74" s="240"/>
      <c r="N74" s="240"/>
      <c r="O74" s="240"/>
      <c r="P74" s="240"/>
      <c r="Q74" s="240"/>
      <c r="R74" s="240"/>
      <c r="S74" s="240"/>
      <c r="T74" s="240"/>
      <c r="U74" s="240"/>
      <c r="V74" s="240"/>
      <c r="W74" s="240"/>
      <c r="X74" s="240"/>
      <c r="Y74" s="240"/>
      <c r="Z74" s="240"/>
      <c r="AA74" s="240"/>
      <c r="AB74" s="240"/>
      <c r="AC74" s="240"/>
      <c r="AD74" s="240"/>
      <c r="AE74" s="240"/>
      <c r="AF74" s="240"/>
      <c r="AG74" s="240"/>
      <c r="AH74" s="240"/>
      <c r="AI74" s="240"/>
      <c r="AJ74" s="240"/>
      <c r="AK74" s="240"/>
      <c r="AL74" s="240"/>
      <c r="AM74" s="240"/>
      <c r="AN74" s="240"/>
      <c r="AO74" s="240"/>
      <c r="AP74" s="240"/>
      <c r="AQ74" s="240"/>
      <c r="AR74" s="240"/>
      <c r="AS74" s="240"/>
      <c r="AT74" s="240"/>
      <c r="AU74" s="240"/>
      <c r="AV74" s="240"/>
      <c r="AW74" s="240"/>
      <c r="AX74" s="240"/>
      <c r="AY74" s="250"/>
    </row>
    <row r="75" spans="1:51" ht="60" customHeight="1" x14ac:dyDescent="0.35">
      <c r="A75" s="246" t="s">
        <v>5238</v>
      </c>
      <c r="B75" s="234" t="s">
        <v>5239</v>
      </c>
      <c r="C75" s="234" t="s">
        <v>5240</v>
      </c>
      <c r="D75" s="234" t="s">
        <v>5241</v>
      </c>
      <c r="E75" s="234" t="s">
        <v>5233</v>
      </c>
      <c r="F75" s="234" t="s">
        <v>5242</v>
      </c>
      <c r="G75" s="234" t="s">
        <v>5243</v>
      </c>
      <c r="H75" s="234" t="s">
        <v>5244</v>
      </c>
      <c r="I75" s="234" t="s">
        <v>5245</v>
      </c>
      <c r="J75" s="234" t="s">
        <v>5246</v>
      </c>
      <c r="K75" s="237" t="str">
        <f>IF(COUNTIF(L75:AY75,"&lt;&gt;")=0,"",SUMPRODUCT(((Recommendations[ImplStatus]="Implemented")+(Recommendations[ImplStatus]="Compensated"))*ISNUMBER(MATCH(Recommendations[Id],L75:AY75,0)))/COUNTIF(L75:AY75,"&lt;&gt;"))</f>
        <v/>
      </c>
      <c r="L75" s="240"/>
      <c r="M75" s="240"/>
      <c r="N75" s="240"/>
      <c r="O75" s="240"/>
      <c r="P75" s="240"/>
      <c r="Q75" s="240"/>
      <c r="R75" s="240"/>
      <c r="S75" s="240"/>
      <c r="T75" s="240"/>
      <c r="U75" s="240"/>
      <c r="V75" s="240"/>
      <c r="W75" s="240"/>
      <c r="X75" s="240"/>
      <c r="Y75" s="240"/>
      <c r="Z75" s="240"/>
      <c r="AA75" s="240"/>
      <c r="AB75" s="240"/>
      <c r="AC75" s="240"/>
      <c r="AD75" s="240"/>
      <c r="AE75" s="240"/>
      <c r="AF75" s="240"/>
      <c r="AG75" s="240"/>
      <c r="AH75" s="240"/>
      <c r="AI75" s="240"/>
      <c r="AJ75" s="240"/>
      <c r="AK75" s="240"/>
      <c r="AL75" s="240"/>
      <c r="AM75" s="240"/>
      <c r="AN75" s="240"/>
      <c r="AO75" s="240"/>
      <c r="AP75" s="240"/>
      <c r="AQ75" s="240"/>
      <c r="AR75" s="240"/>
      <c r="AS75" s="240"/>
      <c r="AT75" s="240"/>
      <c r="AU75" s="240"/>
      <c r="AV75" s="240"/>
      <c r="AW75" s="240"/>
      <c r="AX75" s="240"/>
      <c r="AY75" s="250"/>
    </row>
    <row r="76" spans="1:51" ht="60" customHeight="1" x14ac:dyDescent="0.35">
      <c r="A76" s="246" t="s">
        <v>5247</v>
      </c>
      <c r="B76" s="234" t="s">
        <v>5248</v>
      </c>
      <c r="C76" s="234" t="s">
        <v>5249</v>
      </c>
      <c r="D76" s="234" t="s">
        <v>5250</v>
      </c>
      <c r="E76" s="234" t="s">
        <v>19</v>
      </c>
      <c r="F76" s="234" t="s">
        <v>19</v>
      </c>
      <c r="G76" s="234" t="s">
        <v>19</v>
      </c>
      <c r="H76" s="234" t="s">
        <v>5251</v>
      </c>
      <c r="I76" s="234" t="s">
        <v>19</v>
      </c>
      <c r="J76" s="234" t="s">
        <v>19</v>
      </c>
      <c r="K76" s="237" t="str">
        <f>IF(COUNTIF(L76:AY76,"&lt;&gt;")=0,"",SUMPRODUCT(((Recommendations[ImplStatus]="Implemented")+(Recommendations[ImplStatus]="Compensated"))*ISNUMBER(MATCH(Recommendations[Id],L76:AY76,0)))/COUNTIF(L76:AY76,"&lt;&gt;"))</f>
        <v/>
      </c>
      <c r="L76" s="240"/>
      <c r="M76" s="240"/>
      <c r="N76" s="240"/>
      <c r="O76" s="240"/>
      <c r="P76" s="240"/>
      <c r="Q76" s="240"/>
      <c r="R76" s="240"/>
      <c r="S76" s="240"/>
      <c r="T76" s="240"/>
      <c r="U76" s="240"/>
      <c r="V76" s="240"/>
      <c r="W76" s="240"/>
      <c r="X76" s="240"/>
      <c r="Y76" s="240"/>
      <c r="Z76" s="240"/>
      <c r="AA76" s="240"/>
      <c r="AB76" s="240"/>
      <c r="AC76" s="240"/>
      <c r="AD76" s="240"/>
      <c r="AE76" s="240"/>
      <c r="AF76" s="240"/>
      <c r="AG76" s="240"/>
      <c r="AH76" s="240"/>
      <c r="AI76" s="240"/>
      <c r="AJ76" s="240"/>
      <c r="AK76" s="240"/>
      <c r="AL76" s="240"/>
      <c r="AM76" s="240"/>
      <c r="AN76" s="240"/>
      <c r="AO76" s="240"/>
      <c r="AP76" s="240"/>
      <c r="AQ76" s="240"/>
      <c r="AR76" s="240"/>
      <c r="AS76" s="240"/>
      <c r="AT76" s="240"/>
      <c r="AU76" s="240"/>
      <c r="AV76" s="240"/>
      <c r="AW76" s="240"/>
      <c r="AX76" s="240"/>
      <c r="AY76" s="250"/>
    </row>
    <row r="77" spans="1:51" ht="60" customHeight="1" x14ac:dyDescent="0.35">
      <c r="A77" s="246" t="s">
        <v>5252</v>
      </c>
      <c r="B77" s="234" t="s">
        <v>5253</v>
      </c>
      <c r="C77" s="234" t="s">
        <v>5254</v>
      </c>
      <c r="D77" s="234" t="s">
        <v>19</v>
      </c>
      <c r="E77" s="234" t="s">
        <v>19</v>
      </c>
      <c r="F77" s="234" t="s">
        <v>19</v>
      </c>
      <c r="G77" s="234" t="s">
        <v>5255</v>
      </c>
      <c r="H77" s="234" t="s">
        <v>5256</v>
      </c>
      <c r="I77" s="234" t="s">
        <v>19</v>
      </c>
      <c r="J77" s="234" t="s">
        <v>5257</v>
      </c>
      <c r="K77" s="237" t="str">
        <f>IF(COUNTIF(L77:AY77,"&lt;&gt;")=0,"",SUMPRODUCT(((Recommendations[ImplStatus]="Implemented")+(Recommendations[ImplStatus]="Compensated"))*ISNUMBER(MATCH(Recommendations[Id],L77:AY77,0)))/COUNTIF(L77:AY77,"&lt;&gt;"))</f>
        <v/>
      </c>
      <c r="L77" s="240"/>
      <c r="M77" s="240"/>
      <c r="N77" s="240"/>
      <c r="O77" s="240"/>
      <c r="P77" s="240"/>
      <c r="Q77" s="240"/>
      <c r="R77" s="240"/>
      <c r="S77" s="240"/>
      <c r="T77" s="240"/>
      <c r="U77" s="240"/>
      <c r="V77" s="240"/>
      <c r="W77" s="240"/>
      <c r="X77" s="240"/>
      <c r="Y77" s="240"/>
      <c r="Z77" s="240"/>
      <c r="AA77" s="240"/>
      <c r="AB77" s="240"/>
      <c r="AC77" s="240"/>
      <c r="AD77" s="240"/>
      <c r="AE77" s="240"/>
      <c r="AF77" s="240"/>
      <c r="AG77" s="240"/>
      <c r="AH77" s="240"/>
      <c r="AI77" s="240"/>
      <c r="AJ77" s="240"/>
      <c r="AK77" s="240"/>
      <c r="AL77" s="240"/>
      <c r="AM77" s="240"/>
      <c r="AN77" s="240"/>
      <c r="AO77" s="240"/>
      <c r="AP77" s="240"/>
      <c r="AQ77" s="240"/>
      <c r="AR77" s="240"/>
      <c r="AS77" s="240"/>
      <c r="AT77" s="240"/>
      <c r="AU77" s="240"/>
      <c r="AV77" s="240"/>
      <c r="AW77" s="240"/>
      <c r="AX77" s="240"/>
      <c r="AY77" s="250"/>
    </row>
    <row r="78" spans="1:51" ht="60" customHeight="1" x14ac:dyDescent="0.35">
      <c r="A78" s="246" t="s">
        <v>5258</v>
      </c>
      <c r="B78" s="234" t="s">
        <v>5259</v>
      </c>
      <c r="C78" s="234" t="s">
        <v>5260</v>
      </c>
      <c r="D78" s="234" t="s">
        <v>19</v>
      </c>
      <c r="E78" s="234" t="s">
        <v>19</v>
      </c>
      <c r="F78" s="234" t="s">
        <v>19</v>
      </c>
      <c r="G78" s="234" t="s">
        <v>5261</v>
      </c>
      <c r="H78" s="234" t="s">
        <v>5262</v>
      </c>
      <c r="I78" s="234" t="s">
        <v>5263</v>
      </c>
      <c r="J78" s="234" t="s">
        <v>5264</v>
      </c>
      <c r="K78" s="237" t="str">
        <f>IF(COUNTIF(L78:AY78,"&lt;&gt;")=0,"",SUMPRODUCT(((Recommendations[ImplStatus]="Implemented")+(Recommendations[ImplStatus]="Compensated"))*ISNUMBER(MATCH(Recommendations[Id],L78:AY78,0)))/COUNTIF(L78:AY78,"&lt;&gt;"))</f>
        <v/>
      </c>
      <c r="L78" s="240"/>
      <c r="M78" s="240"/>
      <c r="N78" s="240"/>
      <c r="O78" s="240"/>
      <c r="P78" s="240"/>
      <c r="Q78" s="240"/>
      <c r="R78" s="240"/>
      <c r="S78" s="240"/>
      <c r="T78" s="240"/>
      <c r="U78" s="240"/>
      <c r="V78" s="240"/>
      <c r="W78" s="240"/>
      <c r="X78" s="240"/>
      <c r="Y78" s="240"/>
      <c r="Z78" s="240"/>
      <c r="AA78" s="240"/>
      <c r="AB78" s="240"/>
      <c r="AC78" s="240"/>
      <c r="AD78" s="240"/>
      <c r="AE78" s="240"/>
      <c r="AF78" s="240"/>
      <c r="AG78" s="240"/>
      <c r="AH78" s="240"/>
      <c r="AI78" s="240"/>
      <c r="AJ78" s="240"/>
      <c r="AK78" s="240"/>
      <c r="AL78" s="240"/>
      <c r="AM78" s="240"/>
      <c r="AN78" s="240"/>
      <c r="AO78" s="240"/>
      <c r="AP78" s="240"/>
      <c r="AQ78" s="240"/>
      <c r="AR78" s="240"/>
      <c r="AS78" s="240"/>
      <c r="AT78" s="240"/>
      <c r="AU78" s="240"/>
      <c r="AV78" s="240"/>
      <c r="AW78" s="240"/>
      <c r="AX78" s="240"/>
      <c r="AY78" s="250"/>
    </row>
    <row r="79" spans="1:51" ht="60" customHeight="1" outlineLevel="1" x14ac:dyDescent="0.35">
      <c r="A79" s="244" t="s">
        <v>5265</v>
      </c>
      <c r="B79" s="232" t="s">
        <v>5266</v>
      </c>
      <c r="C79" s="232"/>
      <c r="D79" s="232"/>
      <c r="E79" s="232"/>
      <c r="F79" s="232"/>
      <c r="G79" s="232"/>
      <c r="H79" s="232"/>
      <c r="I79" s="232"/>
      <c r="J79" s="232"/>
      <c r="K79" s="235" t="str">
        <f>IF(COUNTIF(L79:AY79,"&lt;&gt;")=0,"",SUMPRODUCT(((Recommendations[ImplStatus]="Implemented")+(Recommendations[ImplStatus]="Compensated"))*ISNUMBER(MATCH(Recommendations[Id],L79:AY79,0)))/COUNTIF(L79:AY79,"&lt;&gt;"))</f>
        <v/>
      </c>
      <c r="L79" s="238"/>
      <c r="M79" s="238"/>
      <c r="N79" s="238"/>
      <c r="O79" s="238"/>
      <c r="P79" s="238"/>
      <c r="Q79" s="238"/>
      <c r="R79" s="238"/>
      <c r="S79" s="238"/>
      <c r="T79" s="238"/>
      <c r="U79" s="238"/>
      <c r="V79" s="238"/>
      <c r="W79" s="238"/>
      <c r="X79" s="238"/>
      <c r="Y79" s="238"/>
      <c r="Z79" s="238"/>
      <c r="AA79" s="238"/>
      <c r="AB79" s="238"/>
      <c r="AC79" s="238"/>
      <c r="AD79" s="238"/>
      <c r="AE79" s="238"/>
      <c r="AF79" s="238"/>
      <c r="AG79" s="238"/>
      <c r="AH79" s="238"/>
      <c r="AI79" s="238"/>
      <c r="AJ79" s="238"/>
      <c r="AK79" s="238"/>
      <c r="AL79" s="238"/>
      <c r="AM79" s="238"/>
      <c r="AN79" s="238"/>
      <c r="AO79" s="238"/>
      <c r="AP79" s="238"/>
      <c r="AQ79" s="238"/>
      <c r="AR79" s="238"/>
      <c r="AS79" s="238"/>
      <c r="AT79" s="238"/>
      <c r="AU79" s="238"/>
      <c r="AV79" s="238"/>
      <c r="AW79" s="238"/>
      <c r="AX79" s="238"/>
      <c r="AY79" s="248"/>
    </row>
    <row r="80" spans="1:51" ht="60" customHeight="1" outlineLevel="1" x14ac:dyDescent="0.35">
      <c r="A80" s="245" t="s">
        <v>2193</v>
      </c>
      <c r="B80" s="233" t="s">
        <v>5267</v>
      </c>
      <c r="C80" s="233"/>
      <c r="D80" s="233"/>
      <c r="E80" s="233"/>
      <c r="F80" s="233"/>
      <c r="G80" s="233"/>
      <c r="H80" s="233"/>
      <c r="I80" s="233"/>
      <c r="J80" s="233"/>
      <c r="K80" s="236" t="str">
        <f>IF(COUNTIF(L80:AY80,"&lt;&gt;")=0,"",SUMPRODUCT(((Recommendations[ImplStatus]="Implemented")+(Recommendations[ImplStatus]="Compensated"))*ISNUMBER(MATCH(Recommendations[Id],L80:AY80,0)))/COUNTIF(L80:AY80,"&lt;&gt;"))</f>
        <v/>
      </c>
      <c r="L80" s="239"/>
      <c r="M80" s="239"/>
      <c r="N80" s="239"/>
      <c r="O80" s="239"/>
      <c r="P80" s="239"/>
      <c r="Q80" s="239"/>
      <c r="R80" s="239"/>
      <c r="S80" s="239"/>
      <c r="T80" s="239"/>
      <c r="U80" s="239"/>
      <c r="V80" s="239"/>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9"/>
      <c r="AX80" s="239"/>
      <c r="AY80" s="249"/>
    </row>
    <row r="81" spans="1:51" ht="60" customHeight="1" x14ac:dyDescent="0.35">
      <c r="A81" s="246" t="s">
        <v>5268</v>
      </c>
      <c r="B81" s="234" t="s">
        <v>5269</v>
      </c>
      <c r="C81" s="234" t="s">
        <v>5270</v>
      </c>
      <c r="D81" s="234" t="s">
        <v>5065</v>
      </c>
      <c r="E81" s="234" t="s">
        <v>5271</v>
      </c>
      <c r="F81" s="234" t="s">
        <v>19</v>
      </c>
      <c r="G81" s="234" t="s">
        <v>19</v>
      </c>
      <c r="H81" s="234" t="s">
        <v>5272</v>
      </c>
      <c r="I81" s="234" t="s">
        <v>19</v>
      </c>
      <c r="J81" s="234" t="s">
        <v>5273</v>
      </c>
      <c r="K81" s="237" t="str">
        <f>IF(COUNTIF(L81:AY81,"&lt;&gt;")=0,"",SUMPRODUCT(((Recommendations[ImplStatus]="Implemented")+(Recommendations[ImplStatus]="Compensated"))*ISNUMBER(MATCH(Recommendations[Id],L81:AY81,0)))/COUNTIF(L81:AY81,"&lt;&gt;"))</f>
        <v/>
      </c>
      <c r="L81" s="240"/>
      <c r="M81" s="240"/>
      <c r="N81" s="240"/>
      <c r="O81" s="240"/>
      <c r="P81" s="240"/>
      <c r="Q81" s="24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c r="AW81" s="240"/>
      <c r="AX81" s="240"/>
      <c r="AY81" s="250"/>
    </row>
    <row r="82" spans="1:51" ht="60" customHeight="1" x14ac:dyDescent="0.35">
      <c r="A82" s="246" t="s">
        <v>5274</v>
      </c>
      <c r="B82" s="234" t="s">
        <v>5275</v>
      </c>
      <c r="C82" s="234" t="s">
        <v>4856</v>
      </c>
      <c r="D82" s="234" t="s">
        <v>4857</v>
      </c>
      <c r="E82" s="234" t="s">
        <v>19</v>
      </c>
      <c r="F82" s="234" t="s">
        <v>4859</v>
      </c>
      <c r="G82" s="234" t="s">
        <v>19</v>
      </c>
      <c r="H82" s="234" t="s">
        <v>5276</v>
      </c>
      <c r="I82" s="234" t="s">
        <v>19</v>
      </c>
      <c r="J82" s="234" t="s">
        <v>5277</v>
      </c>
      <c r="K82" s="237" t="str">
        <f>IF(COUNTIF(L82:AY82,"&lt;&gt;")=0,"",SUMPRODUCT(((Recommendations[ImplStatus]="Implemented")+(Recommendations[ImplStatus]="Compensated"))*ISNUMBER(MATCH(Recommendations[Id],L82:AY82,0)))/COUNTIF(L82:AY82,"&lt;&gt;"))</f>
        <v/>
      </c>
      <c r="L82" s="240"/>
      <c r="M82" s="240"/>
      <c r="N82" s="240"/>
      <c r="O82" s="240"/>
      <c r="P82" s="240"/>
      <c r="Q82" s="240"/>
      <c r="R82" s="240"/>
      <c r="S82" s="240"/>
      <c r="T82" s="240"/>
      <c r="U82" s="240"/>
      <c r="V82" s="240"/>
      <c r="W82" s="240"/>
      <c r="X82" s="240"/>
      <c r="Y82" s="240"/>
      <c r="Z82" s="240"/>
      <c r="AA82" s="240"/>
      <c r="AB82" s="240"/>
      <c r="AC82" s="240"/>
      <c r="AD82" s="240"/>
      <c r="AE82" s="240"/>
      <c r="AF82" s="240"/>
      <c r="AG82" s="240"/>
      <c r="AH82" s="240"/>
      <c r="AI82" s="240"/>
      <c r="AJ82" s="240"/>
      <c r="AK82" s="240"/>
      <c r="AL82" s="240"/>
      <c r="AM82" s="240"/>
      <c r="AN82" s="240"/>
      <c r="AO82" s="240"/>
      <c r="AP82" s="240"/>
      <c r="AQ82" s="240"/>
      <c r="AR82" s="240"/>
      <c r="AS82" s="240"/>
      <c r="AT82" s="240"/>
      <c r="AU82" s="240"/>
      <c r="AV82" s="240"/>
      <c r="AW82" s="240"/>
      <c r="AX82" s="240"/>
      <c r="AY82" s="250"/>
    </row>
    <row r="83" spans="1:51" ht="60" customHeight="1" outlineLevel="1" x14ac:dyDescent="0.35">
      <c r="A83" s="245" t="s">
        <v>2198</v>
      </c>
      <c r="B83" s="233" t="s">
        <v>5278</v>
      </c>
      <c r="C83" s="233"/>
      <c r="D83" s="233"/>
      <c r="E83" s="233"/>
      <c r="F83" s="233"/>
      <c r="G83" s="233"/>
      <c r="H83" s="233"/>
      <c r="I83" s="233"/>
      <c r="J83" s="233"/>
      <c r="K83" s="236" t="str">
        <f>IF(COUNTIF(L83:AY83,"&lt;&gt;")=0,"",SUMPRODUCT(((Recommendations[ImplStatus]="Implemented")+(Recommendations[ImplStatus]="Compensated"))*ISNUMBER(MATCH(Recommendations[Id],L83:AY83,0)))/COUNTIF(L83:AY83,"&lt;&gt;"))</f>
        <v/>
      </c>
      <c r="L83" s="239"/>
      <c r="M83" s="239"/>
      <c r="N83" s="239"/>
      <c r="O83" s="239"/>
      <c r="P83" s="239"/>
      <c r="Q83" s="239"/>
      <c r="R83" s="239"/>
      <c r="S83" s="239"/>
      <c r="T83" s="239"/>
      <c r="U83" s="239"/>
      <c r="V83" s="239"/>
      <c r="W83" s="239"/>
      <c r="X83" s="239"/>
      <c r="Y83" s="239"/>
      <c r="Z83" s="239"/>
      <c r="AA83" s="239"/>
      <c r="AB83" s="239"/>
      <c r="AC83" s="239"/>
      <c r="AD83" s="239"/>
      <c r="AE83" s="239"/>
      <c r="AF83" s="239"/>
      <c r="AG83" s="239"/>
      <c r="AH83" s="239"/>
      <c r="AI83" s="239"/>
      <c r="AJ83" s="239"/>
      <c r="AK83" s="239"/>
      <c r="AL83" s="239"/>
      <c r="AM83" s="239"/>
      <c r="AN83" s="239"/>
      <c r="AO83" s="239"/>
      <c r="AP83" s="239"/>
      <c r="AQ83" s="239"/>
      <c r="AR83" s="239"/>
      <c r="AS83" s="239"/>
      <c r="AT83" s="239"/>
      <c r="AU83" s="239"/>
      <c r="AV83" s="239"/>
      <c r="AW83" s="239"/>
      <c r="AX83" s="239"/>
      <c r="AY83" s="249"/>
    </row>
    <row r="84" spans="1:51" ht="60" customHeight="1" x14ac:dyDescent="0.35">
      <c r="A84" s="246" t="s">
        <v>5279</v>
      </c>
      <c r="B84" s="234" t="s">
        <v>5280</v>
      </c>
      <c r="C84" s="234" t="s">
        <v>5281</v>
      </c>
      <c r="D84" s="234" t="s">
        <v>5282</v>
      </c>
      <c r="E84" s="234" t="s">
        <v>19</v>
      </c>
      <c r="F84" s="234" t="s">
        <v>5283</v>
      </c>
      <c r="G84" s="234" t="s">
        <v>5284</v>
      </c>
      <c r="H84" s="234" t="s">
        <v>5285</v>
      </c>
      <c r="I84" s="234" t="s">
        <v>5286</v>
      </c>
      <c r="J84" s="234" t="s">
        <v>5287</v>
      </c>
      <c r="K84" s="237">
        <f>IF(COUNTIF(L84:AY84,"&lt;&gt;")=0,"",SUMPRODUCT(((Recommendations[ImplStatus]="Implemented")+(Recommendations[ImplStatus]="Compensated"))*ISNUMBER(MATCH(Recommendations[Id],L84:AY84,0)))/COUNTIF(L84:AY84,"&lt;&gt;"))</f>
        <v>0</v>
      </c>
      <c r="L84" s="240" t="s">
        <v>38</v>
      </c>
      <c r="M84" s="240" t="s">
        <v>82</v>
      </c>
      <c r="N84" s="240" t="s">
        <v>87</v>
      </c>
      <c r="O84" s="240" t="s">
        <v>125</v>
      </c>
      <c r="P84" s="240" t="s">
        <v>130</v>
      </c>
      <c r="Q84" s="240" t="s">
        <v>164</v>
      </c>
      <c r="R84" s="240" t="s">
        <v>169</v>
      </c>
      <c r="S84" s="240" t="s">
        <v>199</v>
      </c>
      <c r="T84" s="240" t="s">
        <v>1454</v>
      </c>
      <c r="U84" s="240" t="s">
        <v>1459</v>
      </c>
      <c r="V84" s="240" t="s">
        <v>1463</v>
      </c>
      <c r="W84" s="240" t="s">
        <v>1738</v>
      </c>
      <c r="X84" s="240" t="s">
        <v>1743</v>
      </c>
      <c r="Y84" s="240" t="s">
        <v>1747</v>
      </c>
      <c r="Z84" s="240" t="s">
        <v>1751</v>
      </c>
      <c r="AA84" s="240" t="s">
        <v>1755</v>
      </c>
      <c r="AB84" s="240" t="s">
        <v>1760</v>
      </c>
      <c r="AC84" s="240" t="s">
        <v>1764</v>
      </c>
      <c r="AD84" s="240" t="s">
        <v>1769</v>
      </c>
      <c r="AE84" s="240" t="s">
        <v>1779</v>
      </c>
      <c r="AF84" s="240"/>
      <c r="AG84" s="240"/>
      <c r="AH84" s="240"/>
      <c r="AI84" s="240"/>
      <c r="AJ84" s="240"/>
      <c r="AK84" s="240"/>
      <c r="AL84" s="240"/>
      <c r="AM84" s="240"/>
      <c r="AN84" s="240"/>
      <c r="AO84" s="240"/>
      <c r="AP84" s="240"/>
      <c r="AQ84" s="240"/>
      <c r="AR84" s="240"/>
      <c r="AS84" s="240"/>
      <c r="AT84" s="240"/>
      <c r="AU84" s="240"/>
      <c r="AV84" s="240"/>
      <c r="AW84" s="240"/>
      <c r="AX84" s="240"/>
      <c r="AY84" s="250"/>
    </row>
    <row r="85" spans="1:51" ht="60" customHeight="1" x14ac:dyDescent="0.35">
      <c r="A85" s="246" t="s">
        <v>5288</v>
      </c>
      <c r="B85" s="234" t="s">
        <v>5289</v>
      </c>
      <c r="C85" s="234" t="s">
        <v>5290</v>
      </c>
      <c r="D85" s="234" t="s">
        <v>5291</v>
      </c>
      <c r="E85" s="234" t="s">
        <v>19</v>
      </c>
      <c r="F85" s="234" t="s">
        <v>19</v>
      </c>
      <c r="G85" s="234" t="s">
        <v>19</v>
      </c>
      <c r="H85" s="234" t="s">
        <v>5292</v>
      </c>
      <c r="I85" s="234" t="s">
        <v>5293</v>
      </c>
      <c r="J85" s="234" t="s">
        <v>5294</v>
      </c>
      <c r="K85" s="237" t="str">
        <f>IF(COUNTIF(L85:AY85,"&lt;&gt;")=0,"",SUMPRODUCT(((Recommendations[ImplStatus]="Implemented")+(Recommendations[ImplStatus]="Compensated"))*ISNUMBER(MATCH(Recommendations[Id],L85:AY85,0)))/COUNTIF(L85:AY85,"&lt;&gt;"))</f>
        <v/>
      </c>
      <c r="L85" s="240"/>
      <c r="M85" s="240"/>
      <c r="N85" s="240"/>
      <c r="O85" s="240"/>
      <c r="P85" s="240"/>
      <c r="Q85" s="240"/>
      <c r="R85" s="240"/>
      <c r="S85" s="240"/>
      <c r="T85" s="240"/>
      <c r="U85" s="240"/>
      <c r="V85" s="240"/>
      <c r="W85" s="240"/>
      <c r="X85" s="240"/>
      <c r="Y85" s="240"/>
      <c r="Z85" s="240"/>
      <c r="AA85" s="240"/>
      <c r="AB85" s="240"/>
      <c r="AC85" s="240"/>
      <c r="AD85" s="240"/>
      <c r="AE85" s="240"/>
      <c r="AF85" s="240"/>
      <c r="AG85" s="240"/>
      <c r="AH85" s="240"/>
      <c r="AI85" s="240"/>
      <c r="AJ85" s="240"/>
      <c r="AK85" s="240"/>
      <c r="AL85" s="240"/>
      <c r="AM85" s="240"/>
      <c r="AN85" s="240"/>
      <c r="AO85" s="240"/>
      <c r="AP85" s="240"/>
      <c r="AQ85" s="240"/>
      <c r="AR85" s="240"/>
      <c r="AS85" s="240"/>
      <c r="AT85" s="240"/>
      <c r="AU85" s="240"/>
      <c r="AV85" s="240"/>
      <c r="AW85" s="240"/>
      <c r="AX85" s="240"/>
      <c r="AY85" s="250"/>
    </row>
    <row r="86" spans="1:51" ht="60" customHeight="1" x14ac:dyDescent="0.35">
      <c r="A86" s="246" t="s">
        <v>5295</v>
      </c>
      <c r="B86" s="234" t="s">
        <v>5296</v>
      </c>
      <c r="C86" s="234" t="s">
        <v>5297</v>
      </c>
      <c r="D86" s="234" t="s">
        <v>5298</v>
      </c>
      <c r="E86" s="234" t="s">
        <v>19</v>
      </c>
      <c r="F86" s="234" t="s">
        <v>19</v>
      </c>
      <c r="G86" s="234" t="s">
        <v>5299</v>
      </c>
      <c r="H86" s="234" t="s">
        <v>5300</v>
      </c>
      <c r="I86" s="234" t="s">
        <v>19</v>
      </c>
      <c r="J86" s="234" t="s">
        <v>5301</v>
      </c>
      <c r="K86" s="237" t="str">
        <f>IF(COUNTIF(L86:AY86,"&lt;&gt;")=0,"",SUMPRODUCT(((Recommendations[ImplStatus]="Implemented")+(Recommendations[ImplStatus]="Compensated"))*ISNUMBER(MATCH(Recommendations[Id],L86:AY86,0)))/COUNTIF(L86:AY86,"&lt;&gt;"))</f>
        <v/>
      </c>
      <c r="L86" s="240"/>
      <c r="M86" s="240"/>
      <c r="N86" s="240"/>
      <c r="O86" s="240"/>
      <c r="P86" s="240"/>
      <c r="Q86" s="24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50"/>
    </row>
    <row r="87" spans="1:51" ht="60" customHeight="1" x14ac:dyDescent="0.35">
      <c r="A87" s="246" t="s">
        <v>5302</v>
      </c>
      <c r="B87" s="234" t="s">
        <v>5303</v>
      </c>
      <c r="C87" s="234" t="s">
        <v>5304</v>
      </c>
      <c r="D87" s="234" t="s">
        <v>5305</v>
      </c>
      <c r="E87" s="234" t="s">
        <v>19</v>
      </c>
      <c r="F87" s="234" t="s">
        <v>5306</v>
      </c>
      <c r="G87" s="234" t="s">
        <v>19</v>
      </c>
      <c r="H87" s="234" t="s">
        <v>5307</v>
      </c>
      <c r="I87" s="234" t="s">
        <v>5308</v>
      </c>
      <c r="J87" s="234" t="s">
        <v>5309</v>
      </c>
      <c r="K87" s="237" t="str">
        <f>IF(COUNTIF(L87:AY87,"&lt;&gt;")=0,"",SUMPRODUCT(((Recommendations[ImplStatus]="Implemented")+(Recommendations[ImplStatus]="Compensated"))*ISNUMBER(MATCH(Recommendations[Id],L87:AY87,0)))/COUNTIF(L87:AY87,"&lt;&gt;"))</f>
        <v/>
      </c>
      <c r="L87" s="240"/>
      <c r="M87" s="240"/>
      <c r="N87" s="240"/>
      <c r="O87" s="240"/>
      <c r="P87" s="240"/>
      <c r="Q87" s="24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c r="AW87" s="240"/>
      <c r="AX87" s="240"/>
      <c r="AY87" s="250"/>
    </row>
    <row r="88" spans="1:51" ht="60" customHeight="1" outlineLevel="1" x14ac:dyDescent="0.35">
      <c r="A88" s="244" t="s">
        <v>5310</v>
      </c>
      <c r="B88" s="232" t="s">
        <v>5311</v>
      </c>
      <c r="C88" s="232"/>
      <c r="D88" s="232"/>
      <c r="E88" s="232"/>
      <c r="F88" s="232"/>
      <c r="G88" s="232"/>
      <c r="H88" s="232"/>
      <c r="I88" s="232"/>
      <c r="J88" s="232"/>
      <c r="K88" s="235" t="str">
        <f>IF(COUNTIF(L88:AY88,"&lt;&gt;")=0,"",SUMPRODUCT(((Recommendations[ImplStatus]="Implemented")+(Recommendations[ImplStatus]="Compensated"))*ISNUMBER(MATCH(Recommendations[Id],L88:AY88,0)))/COUNTIF(L88:AY88,"&lt;&gt;"))</f>
        <v/>
      </c>
      <c r="L88" s="238"/>
      <c r="M88" s="238"/>
      <c r="N88" s="238"/>
      <c r="O88" s="238"/>
      <c r="P88" s="238"/>
      <c r="Q88" s="238"/>
      <c r="R88" s="238"/>
      <c r="S88" s="238"/>
      <c r="T88" s="238"/>
      <c r="U88" s="238"/>
      <c r="V88" s="238"/>
      <c r="W88" s="238"/>
      <c r="X88" s="238"/>
      <c r="Y88" s="238"/>
      <c r="Z88" s="238"/>
      <c r="AA88" s="238"/>
      <c r="AB88" s="238"/>
      <c r="AC88" s="238"/>
      <c r="AD88" s="238"/>
      <c r="AE88" s="238"/>
      <c r="AF88" s="238"/>
      <c r="AG88" s="238"/>
      <c r="AH88" s="238"/>
      <c r="AI88" s="238"/>
      <c r="AJ88" s="238"/>
      <c r="AK88" s="238"/>
      <c r="AL88" s="238"/>
      <c r="AM88" s="238"/>
      <c r="AN88" s="238"/>
      <c r="AO88" s="238"/>
      <c r="AP88" s="238"/>
      <c r="AQ88" s="238"/>
      <c r="AR88" s="238"/>
      <c r="AS88" s="238"/>
      <c r="AT88" s="238"/>
      <c r="AU88" s="238"/>
      <c r="AV88" s="238"/>
      <c r="AW88" s="238"/>
      <c r="AX88" s="238"/>
      <c r="AY88" s="248"/>
    </row>
    <row r="89" spans="1:51" ht="60" customHeight="1" outlineLevel="1" x14ac:dyDescent="0.35">
      <c r="A89" s="245" t="s">
        <v>2245</v>
      </c>
      <c r="B89" s="233" t="s">
        <v>5312</v>
      </c>
      <c r="C89" s="233"/>
      <c r="D89" s="233"/>
      <c r="E89" s="233"/>
      <c r="F89" s="233"/>
      <c r="G89" s="233"/>
      <c r="H89" s="233"/>
      <c r="I89" s="233"/>
      <c r="J89" s="233"/>
      <c r="K89" s="236" t="str">
        <f>IF(COUNTIF(L89:AY89,"&lt;&gt;")=0,"",SUMPRODUCT(((Recommendations[ImplStatus]="Implemented")+(Recommendations[ImplStatus]="Compensated"))*ISNUMBER(MATCH(Recommendations[Id],L89:AY89,0)))/COUNTIF(L89:AY89,"&lt;&gt;"))</f>
        <v/>
      </c>
      <c r="L89" s="239"/>
      <c r="M89" s="239"/>
      <c r="N89" s="239"/>
      <c r="O89" s="239"/>
      <c r="P89" s="239"/>
      <c r="Q89" s="239"/>
      <c r="R89" s="239"/>
      <c r="S89" s="239"/>
      <c r="T89" s="239"/>
      <c r="U89" s="239"/>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49"/>
    </row>
    <row r="90" spans="1:51" ht="60" customHeight="1" x14ac:dyDescent="0.35">
      <c r="A90" s="246" t="s">
        <v>5313</v>
      </c>
      <c r="B90" s="234" t="s">
        <v>5314</v>
      </c>
      <c r="C90" s="234" t="s">
        <v>5315</v>
      </c>
      <c r="D90" s="234" t="s">
        <v>5065</v>
      </c>
      <c r="E90" s="234" t="s">
        <v>4851</v>
      </c>
      <c r="F90" s="234" t="s">
        <v>19</v>
      </c>
      <c r="G90" s="234" t="s">
        <v>19</v>
      </c>
      <c r="H90" s="234" t="s">
        <v>5316</v>
      </c>
      <c r="I90" s="234" t="s">
        <v>19</v>
      </c>
      <c r="J90" s="234" t="s">
        <v>5317</v>
      </c>
      <c r="K90" s="237" t="str">
        <f>IF(COUNTIF(L90:AY90,"&lt;&gt;")=0,"",SUMPRODUCT(((Recommendations[ImplStatus]="Implemented")+(Recommendations[ImplStatus]="Compensated"))*ISNUMBER(MATCH(Recommendations[Id],L90:AY90,0)))/COUNTIF(L90:AY90,"&lt;&gt;"))</f>
        <v/>
      </c>
      <c r="L90" s="240"/>
      <c r="M90" s="240"/>
      <c r="N90" s="240"/>
      <c r="O90" s="240"/>
      <c r="P90" s="240"/>
      <c r="Q90" s="24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50"/>
    </row>
    <row r="91" spans="1:51" ht="60" customHeight="1" x14ac:dyDescent="0.35">
      <c r="A91" s="246" t="s">
        <v>5318</v>
      </c>
      <c r="B91" s="234" t="s">
        <v>5319</v>
      </c>
      <c r="C91" s="234" t="s">
        <v>5320</v>
      </c>
      <c r="D91" s="234" t="s">
        <v>4857</v>
      </c>
      <c r="E91" s="234" t="s">
        <v>19</v>
      </c>
      <c r="F91" s="234" t="s">
        <v>4859</v>
      </c>
      <c r="G91" s="234" t="s">
        <v>19</v>
      </c>
      <c r="H91" s="234" t="s">
        <v>5321</v>
      </c>
      <c r="I91" s="234" t="s">
        <v>19</v>
      </c>
      <c r="J91" s="234" t="s">
        <v>5322</v>
      </c>
      <c r="K91" s="237" t="str">
        <f>IF(COUNTIF(L91:AY91,"&lt;&gt;")=0,"",SUMPRODUCT(((Recommendations[ImplStatus]="Implemented")+(Recommendations[ImplStatus]="Compensated"))*ISNUMBER(MATCH(Recommendations[Id],L91:AY91,0)))/COUNTIF(L91:AY91,"&lt;&gt;"))</f>
        <v/>
      </c>
      <c r="L91" s="240"/>
      <c r="M91" s="240"/>
      <c r="N91" s="240"/>
      <c r="O91" s="240"/>
      <c r="P91" s="240"/>
      <c r="Q91" s="24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50"/>
    </row>
    <row r="92" spans="1:51" ht="60" customHeight="1" outlineLevel="1" x14ac:dyDescent="0.35">
      <c r="A92" s="245" t="s">
        <v>2249</v>
      </c>
      <c r="B92" s="233" t="s">
        <v>5323</v>
      </c>
      <c r="C92" s="233"/>
      <c r="D92" s="233"/>
      <c r="E92" s="233"/>
      <c r="F92" s="233"/>
      <c r="G92" s="233"/>
      <c r="H92" s="233"/>
      <c r="I92" s="233"/>
      <c r="J92" s="233"/>
      <c r="K92" s="236" t="str">
        <f>IF(COUNTIF(L92:AY92,"&lt;&gt;")=0,"",SUMPRODUCT(((Recommendations[ImplStatus]="Implemented")+(Recommendations[ImplStatus]="Compensated"))*ISNUMBER(MATCH(Recommendations[Id],L92:AY92,0)))/COUNTIF(L92:AY92,"&lt;&gt;"))</f>
        <v/>
      </c>
      <c r="L92" s="239"/>
      <c r="M92" s="239"/>
      <c r="N92" s="239"/>
      <c r="O92" s="239"/>
      <c r="P92" s="239"/>
      <c r="Q92" s="239"/>
      <c r="R92" s="239"/>
      <c r="S92" s="239"/>
      <c r="T92" s="239"/>
      <c r="U92" s="239"/>
      <c r="V92" s="239"/>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49"/>
    </row>
    <row r="93" spans="1:51" ht="60" customHeight="1" x14ac:dyDescent="0.35">
      <c r="A93" s="246" t="s">
        <v>5324</v>
      </c>
      <c r="B93" s="234" t="s">
        <v>5325</v>
      </c>
      <c r="C93" s="234" t="s">
        <v>5326</v>
      </c>
      <c r="D93" s="234" t="s">
        <v>5327</v>
      </c>
      <c r="E93" s="234" t="s">
        <v>5328</v>
      </c>
      <c r="F93" s="234" t="s">
        <v>19</v>
      </c>
      <c r="G93" s="234" t="s">
        <v>19</v>
      </c>
      <c r="H93" s="234" t="s">
        <v>5329</v>
      </c>
      <c r="I93" s="234" t="s">
        <v>19</v>
      </c>
      <c r="J93" s="234" t="s">
        <v>5330</v>
      </c>
      <c r="K93" s="237" t="str">
        <f>IF(COUNTIF(L93:AY93,"&lt;&gt;")=0,"",SUMPRODUCT(((Recommendations[ImplStatus]="Implemented")+(Recommendations[ImplStatus]="Compensated"))*ISNUMBER(MATCH(Recommendations[Id],L93:AY93,0)))/COUNTIF(L93:AY93,"&lt;&gt;"))</f>
        <v/>
      </c>
      <c r="L93" s="240"/>
      <c r="M93" s="240"/>
      <c r="N93" s="240"/>
      <c r="O93" s="240"/>
      <c r="P93" s="240"/>
      <c r="Q93" s="240"/>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c r="AW93" s="240"/>
      <c r="AX93" s="240"/>
      <c r="AY93" s="250"/>
    </row>
    <row r="94" spans="1:51" ht="60" customHeight="1" x14ac:dyDescent="0.35">
      <c r="A94" s="246" t="s">
        <v>5331</v>
      </c>
      <c r="B94" s="234" t="s">
        <v>5332</v>
      </c>
      <c r="C94" s="234" t="s">
        <v>5333</v>
      </c>
      <c r="D94" s="234" t="s">
        <v>5334</v>
      </c>
      <c r="E94" s="234" t="s">
        <v>19</v>
      </c>
      <c r="F94" s="234" t="s">
        <v>5335</v>
      </c>
      <c r="G94" s="234" t="s">
        <v>19</v>
      </c>
      <c r="H94" s="234" t="s">
        <v>5336</v>
      </c>
      <c r="I94" s="234" t="s">
        <v>19</v>
      </c>
      <c r="J94" s="234" t="s">
        <v>19</v>
      </c>
      <c r="K94" s="237" t="str">
        <f>IF(COUNTIF(L94:AY94,"&lt;&gt;")=0,"",SUMPRODUCT(((Recommendations[ImplStatus]="Implemented")+(Recommendations[ImplStatus]="Compensated"))*ISNUMBER(MATCH(Recommendations[Id],L94:AY94,0)))/COUNTIF(L94:AY94,"&lt;&gt;"))</f>
        <v/>
      </c>
      <c r="L94" s="240"/>
      <c r="M94" s="240"/>
      <c r="N94" s="240"/>
      <c r="O94" s="240"/>
      <c r="P94" s="240"/>
      <c r="Q94" s="24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50"/>
    </row>
    <row r="95" spans="1:51" ht="60" customHeight="1" x14ac:dyDescent="0.35">
      <c r="A95" s="246" t="s">
        <v>5337</v>
      </c>
      <c r="B95" s="234" t="s">
        <v>5338</v>
      </c>
      <c r="C95" s="234" t="s">
        <v>5339</v>
      </c>
      <c r="D95" s="234" t="s">
        <v>5340</v>
      </c>
      <c r="E95" s="234" t="s">
        <v>19</v>
      </c>
      <c r="F95" s="234" t="s">
        <v>19</v>
      </c>
      <c r="G95" s="234" t="s">
        <v>19</v>
      </c>
      <c r="H95" s="234" t="s">
        <v>5341</v>
      </c>
      <c r="I95" s="234" t="s">
        <v>5342</v>
      </c>
      <c r="J95" s="234" t="s">
        <v>5343</v>
      </c>
      <c r="K95" s="237" t="str">
        <f>IF(COUNTIF(L95:AY95,"&lt;&gt;")=0,"",SUMPRODUCT(((Recommendations[ImplStatus]="Implemented")+(Recommendations[ImplStatus]="Compensated"))*ISNUMBER(MATCH(Recommendations[Id],L95:AY95,0)))/COUNTIF(L95:AY95,"&lt;&gt;"))</f>
        <v/>
      </c>
      <c r="L95" s="240"/>
      <c r="M95" s="240"/>
      <c r="N95" s="240"/>
      <c r="O95" s="240"/>
      <c r="P95" s="240"/>
      <c r="Q95" s="24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50"/>
    </row>
    <row r="96" spans="1:51" ht="60" customHeight="1" x14ac:dyDescent="0.35">
      <c r="A96" s="246" t="s">
        <v>5344</v>
      </c>
      <c r="B96" s="234" t="s">
        <v>5345</v>
      </c>
      <c r="C96" s="234" t="s">
        <v>5346</v>
      </c>
      <c r="D96" s="234" t="s">
        <v>19</v>
      </c>
      <c r="E96" s="234" t="s">
        <v>19</v>
      </c>
      <c r="F96" s="234" t="s">
        <v>19</v>
      </c>
      <c r="G96" s="234" t="s">
        <v>19</v>
      </c>
      <c r="H96" s="234" t="s">
        <v>5347</v>
      </c>
      <c r="I96" s="234" t="s">
        <v>5293</v>
      </c>
      <c r="J96" s="234" t="s">
        <v>5348</v>
      </c>
      <c r="K96" s="237" t="str">
        <f>IF(COUNTIF(L96:AY96,"&lt;&gt;")=0,"",SUMPRODUCT(((Recommendations[ImplStatus]="Implemented")+(Recommendations[ImplStatus]="Compensated"))*ISNUMBER(MATCH(Recommendations[Id],L96:AY96,0)))/COUNTIF(L96:AY96,"&lt;&gt;"))</f>
        <v/>
      </c>
      <c r="L96" s="240"/>
      <c r="M96" s="240"/>
      <c r="N96" s="240"/>
      <c r="O96" s="240"/>
      <c r="P96" s="240"/>
      <c r="Q96" s="24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50"/>
    </row>
    <row r="97" spans="1:51" ht="60" customHeight="1" outlineLevel="1" x14ac:dyDescent="0.35">
      <c r="A97" s="245" t="s">
        <v>2253</v>
      </c>
      <c r="B97" s="233" t="s">
        <v>5349</v>
      </c>
      <c r="C97" s="233"/>
      <c r="D97" s="233"/>
      <c r="E97" s="233"/>
      <c r="F97" s="233"/>
      <c r="G97" s="233"/>
      <c r="H97" s="233"/>
      <c r="I97" s="233"/>
      <c r="J97" s="233"/>
      <c r="K97" s="236" t="str">
        <f>IF(COUNTIF(L97:AY97,"&lt;&gt;")=0,"",SUMPRODUCT(((Recommendations[ImplStatus]="Implemented")+(Recommendations[ImplStatus]="Compensated"))*ISNUMBER(MATCH(Recommendations[Id],L97:AY97,0)))/COUNTIF(L97:AY97,"&lt;&gt;"))</f>
        <v/>
      </c>
      <c r="L97" s="239"/>
      <c r="M97" s="239"/>
      <c r="N97" s="239"/>
      <c r="O97" s="239"/>
      <c r="P97" s="239"/>
      <c r="Q97" s="239"/>
      <c r="R97" s="239"/>
      <c r="S97" s="239"/>
      <c r="T97" s="239"/>
      <c r="U97" s="239"/>
      <c r="V97" s="239"/>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49"/>
    </row>
    <row r="98" spans="1:51" ht="60" customHeight="1" x14ac:dyDescent="0.35">
      <c r="A98" s="246" t="s">
        <v>5350</v>
      </c>
      <c r="B98" s="234" t="s">
        <v>5351</v>
      </c>
      <c r="C98" s="234" t="s">
        <v>5352</v>
      </c>
      <c r="D98" s="234" t="s">
        <v>5353</v>
      </c>
      <c r="E98" s="234" t="s">
        <v>19</v>
      </c>
      <c r="F98" s="234" t="s">
        <v>19</v>
      </c>
      <c r="G98" s="234" t="s">
        <v>19</v>
      </c>
      <c r="H98" s="234" t="s">
        <v>5354</v>
      </c>
      <c r="I98" s="234" t="s">
        <v>19</v>
      </c>
      <c r="J98" s="234" t="s">
        <v>5355</v>
      </c>
      <c r="K98" s="237" t="str">
        <f>IF(COUNTIF(L98:AY98,"&lt;&gt;")=0,"",SUMPRODUCT(((Recommendations[ImplStatus]="Implemented")+(Recommendations[ImplStatus]="Compensated"))*ISNUMBER(MATCH(Recommendations[Id],L98:AY98,0)))/COUNTIF(L98:AY98,"&lt;&gt;"))</f>
        <v/>
      </c>
      <c r="L98" s="240"/>
      <c r="M98" s="240"/>
      <c r="N98" s="240"/>
      <c r="O98" s="240"/>
      <c r="P98" s="240"/>
      <c r="Q98" s="24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50"/>
    </row>
    <row r="99" spans="1:51" ht="60" customHeight="1" x14ac:dyDescent="0.35">
      <c r="A99" s="246" t="s">
        <v>5356</v>
      </c>
      <c r="B99" s="234" t="s">
        <v>5357</v>
      </c>
      <c r="C99" s="234" t="s">
        <v>5358</v>
      </c>
      <c r="D99" s="234" t="s">
        <v>5359</v>
      </c>
      <c r="E99" s="234" t="s">
        <v>5360</v>
      </c>
      <c r="F99" s="234" t="s">
        <v>19</v>
      </c>
      <c r="G99" s="234" t="s">
        <v>19</v>
      </c>
      <c r="H99" s="234" t="s">
        <v>5361</v>
      </c>
      <c r="I99" s="234" t="s">
        <v>19</v>
      </c>
      <c r="J99" s="234" t="s">
        <v>5362</v>
      </c>
      <c r="K99" s="237" t="str">
        <f>IF(COUNTIF(L99:AY99,"&lt;&gt;")=0,"",SUMPRODUCT(((Recommendations[ImplStatus]="Implemented")+(Recommendations[ImplStatus]="Compensated"))*ISNUMBER(MATCH(Recommendations[Id],L99:AY99,0)))/COUNTIF(L99:AY99,"&lt;&gt;"))</f>
        <v/>
      </c>
      <c r="L99" s="240"/>
      <c r="M99" s="240"/>
      <c r="N99" s="240"/>
      <c r="O99" s="240"/>
      <c r="P99" s="240"/>
      <c r="Q99" s="24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50"/>
    </row>
    <row r="100" spans="1:51" ht="60" customHeight="1" x14ac:dyDescent="0.35">
      <c r="A100" s="246" t="s">
        <v>5363</v>
      </c>
      <c r="B100" s="234" t="s">
        <v>5364</v>
      </c>
      <c r="C100" s="234" t="s">
        <v>5365</v>
      </c>
      <c r="D100" s="234" t="s">
        <v>19</v>
      </c>
      <c r="E100" s="234" t="s">
        <v>19</v>
      </c>
      <c r="F100" s="234" t="s">
        <v>19</v>
      </c>
      <c r="G100" s="234" t="s">
        <v>19</v>
      </c>
      <c r="H100" s="234" t="s">
        <v>5366</v>
      </c>
      <c r="I100" s="234" t="s">
        <v>5367</v>
      </c>
      <c r="J100" s="234" t="s">
        <v>5368</v>
      </c>
      <c r="K100" s="237" t="str">
        <f>IF(COUNTIF(L100:AY100,"&lt;&gt;")=0,"",SUMPRODUCT(((Recommendations[ImplStatus]="Implemented")+(Recommendations[ImplStatus]="Compensated"))*ISNUMBER(MATCH(Recommendations[Id],L100:AY100,0)))/COUNTIF(L100:AY100,"&lt;&gt;"))</f>
        <v/>
      </c>
      <c r="L100" s="240"/>
      <c r="M100" s="240"/>
      <c r="N100" s="240"/>
      <c r="O100" s="240"/>
      <c r="P100" s="240"/>
      <c r="Q100" s="24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50"/>
    </row>
    <row r="101" spans="1:51" ht="60" customHeight="1" x14ac:dyDescent="0.35">
      <c r="A101" s="246" t="s">
        <v>5369</v>
      </c>
      <c r="B101" s="234" t="s">
        <v>5370</v>
      </c>
      <c r="C101" s="234" t="s">
        <v>5371</v>
      </c>
      <c r="D101" s="234" t="s">
        <v>19</v>
      </c>
      <c r="E101" s="234" t="s">
        <v>19</v>
      </c>
      <c r="F101" s="234" t="s">
        <v>19</v>
      </c>
      <c r="G101" s="234" t="s">
        <v>19</v>
      </c>
      <c r="H101" s="234" t="s">
        <v>5372</v>
      </c>
      <c r="I101" s="234" t="s">
        <v>5293</v>
      </c>
      <c r="J101" s="234" t="s">
        <v>5373</v>
      </c>
      <c r="K101" s="237" t="str">
        <f>IF(COUNTIF(L101:AY101,"&lt;&gt;")=0,"",SUMPRODUCT(((Recommendations[ImplStatus]="Implemented")+(Recommendations[ImplStatus]="Compensated"))*ISNUMBER(MATCH(Recommendations[Id],L101:AY101,0)))/COUNTIF(L101:AY101,"&lt;&gt;"))</f>
        <v/>
      </c>
      <c r="L101" s="240"/>
      <c r="M101" s="240"/>
      <c r="N101" s="240"/>
      <c r="O101" s="240"/>
      <c r="P101" s="240"/>
      <c r="Q101" s="24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50"/>
    </row>
    <row r="102" spans="1:51" ht="60" customHeight="1" x14ac:dyDescent="0.35">
      <c r="A102" s="246" t="s">
        <v>5374</v>
      </c>
      <c r="B102" s="234" t="s">
        <v>5375</v>
      </c>
      <c r="C102" s="234" t="s">
        <v>5376</v>
      </c>
      <c r="D102" s="234" t="s">
        <v>5377</v>
      </c>
      <c r="E102" s="234" t="s">
        <v>19</v>
      </c>
      <c r="F102" s="234" t="s">
        <v>19</v>
      </c>
      <c r="G102" s="234" t="s">
        <v>19</v>
      </c>
      <c r="H102" s="234" t="s">
        <v>5378</v>
      </c>
      <c r="I102" s="234" t="s">
        <v>19</v>
      </c>
      <c r="J102" s="234" t="s">
        <v>5379</v>
      </c>
      <c r="K102" s="237" t="str">
        <f>IF(COUNTIF(L102:AY102,"&lt;&gt;")=0,"",SUMPRODUCT(((Recommendations[ImplStatus]="Implemented")+(Recommendations[ImplStatus]="Compensated"))*ISNUMBER(MATCH(Recommendations[Id],L102:AY102,0)))/COUNTIF(L102:AY102,"&lt;&gt;"))</f>
        <v/>
      </c>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50"/>
    </row>
    <row r="103" spans="1:51" ht="60" customHeight="1" x14ac:dyDescent="0.35">
      <c r="A103" s="246" t="s">
        <v>5380</v>
      </c>
      <c r="B103" s="234" t="s">
        <v>5381</v>
      </c>
      <c r="C103" s="234" t="s">
        <v>5382</v>
      </c>
      <c r="D103" s="234" t="s">
        <v>5377</v>
      </c>
      <c r="E103" s="234" t="s">
        <v>19</v>
      </c>
      <c r="F103" s="234" t="s">
        <v>5383</v>
      </c>
      <c r="G103" s="234" t="s">
        <v>19</v>
      </c>
      <c r="H103" s="234" t="s">
        <v>5384</v>
      </c>
      <c r="I103" s="234" t="s">
        <v>5385</v>
      </c>
      <c r="J103" s="234" t="s">
        <v>5386</v>
      </c>
      <c r="K103" s="237" t="str">
        <f>IF(COUNTIF(L103:AY103,"&lt;&gt;")=0,"",SUMPRODUCT(((Recommendations[ImplStatus]="Implemented")+(Recommendations[ImplStatus]="Compensated"))*ISNUMBER(MATCH(Recommendations[Id],L103:AY103,0)))/COUNTIF(L103:AY103,"&lt;&gt;"))</f>
        <v/>
      </c>
      <c r="L103" s="240"/>
      <c r="M103" s="240"/>
      <c r="N103" s="240"/>
      <c r="O103" s="240"/>
      <c r="P103" s="240"/>
      <c r="Q103" s="24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50"/>
    </row>
    <row r="104" spans="1:51" ht="60" customHeight="1" outlineLevel="1" x14ac:dyDescent="0.35">
      <c r="A104" s="245" t="s">
        <v>2257</v>
      </c>
      <c r="B104" s="233" t="s">
        <v>5387</v>
      </c>
      <c r="C104" s="233"/>
      <c r="D104" s="233"/>
      <c r="E104" s="233"/>
      <c r="F104" s="233"/>
      <c r="G104" s="233"/>
      <c r="H104" s="233"/>
      <c r="I104" s="233"/>
      <c r="J104" s="233"/>
      <c r="K104" s="236" t="str">
        <f>IF(COUNTIF(L104:AY104,"&lt;&gt;")=0,"",SUMPRODUCT(((Recommendations[ImplStatus]="Implemented")+(Recommendations[ImplStatus]="Compensated"))*ISNUMBER(MATCH(Recommendations[Id],L104:AY104,0)))/COUNTIF(L104:AY104,"&lt;&gt;"))</f>
        <v/>
      </c>
      <c r="L104" s="239"/>
      <c r="M104" s="239"/>
      <c r="N104" s="239"/>
      <c r="O104" s="239"/>
      <c r="P104" s="239"/>
      <c r="Q104" s="239"/>
      <c r="R104" s="239"/>
      <c r="S104" s="239"/>
      <c r="T104" s="239"/>
      <c r="U104" s="239"/>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49"/>
    </row>
    <row r="105" spans="1:51" ht="60" customHeight="1" x14ac:dyDescent="0.35">
      <c r="A105" s="246" t="s">
        <v>5388</v>
      </c>
      <c r="B105" s="234" t="s">
        <v>5389</v>
      </c>
      <c r="C105" s="234" t="s">
        <v>5390</v>
      </c>
      <c r="D105" s="234" t="s">
        <v>5391</v>
      </c>
      <c r="E105" s="234" t="s">
        <v>5392</v>
      </c>
      <c r="F105" s="234" t="s">
        <v>19</v>
      </c>
      <c r="G105" s="234" t="s">
        <v>19</v>
      </c>
      <c r="H105" s="234" t="s">
        <v>5393</v>
      </c>
      <c r="I105" s="234" t="s">
        <v>5394</v>
      </c>
      <c r="J105" s="234" t="s">
        <v>5395</v>
      </c>
      <c r="K105" s="237" t="str">
        <f>IF(COUNTIF(L105:AY105,"&lt;&gt;")=0,"",SUMPRODUCT(((Recommendations[ImplStatus]="Implemented")+(Recommendations[ImplStatus]="Compensated"))*ISNUMBER(MATCH(Recommendations[Id],L105:AY105,0)))/COUNTIF(L105:AY105,"&lt;&gt;"))</f>
        <v/>
      </c>
      <c r="L105" s="240"/>
      <c r="M105" s="240"/>
      <c r="N105" s="240"/>
      <c r="O105" s="240"/>
      <c r="P105" s="240"/>
      <c r="Q105" s="24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c r="AW105" s="240"/>
      <c r="AX105" s="240"/>
      <c r="AY105" s="250"/>
    </row>
    <row r="106" spans="1:51" ht="60" customHeight="1" outlineLevel="1" x14ac:dyDescent="0.35">
      <c r="A106" s="244" t="s">
        <v>5396</v>
      </c>
      <c r="B106" s="232" t="s">
        <v>5397</v>
      </c>
      <c r="C106" s="232"/>
      <c r="D106" s="232"/>
      <c r="E106" s="232"/>
      <c r="F106" s="232"/>
      <c r="G106" s="232"/>
      <c r="H106" s="232"/>
      <c r="I106" s="232"/>
      <c r="J106" s="232"/>
      <c r="K106" s="235" t="str">
        <f>IF(COUNTIF(L106:AY106,"&lt;&gt;")=0,"",SUMPRODUCT(((Recommendations[ImplStatus]="Implemented")+(Recommendations[ImplStatus]="Compensated"))*ISNUMBER(MATCH(Recommendations[Id],L106:AY106,0)))/COUNTIF(L106:AY106,"&lt;&gt;"))</f>
        <v/>
      </c>
      <c r="L106" s="238"/>
      <c r="M106" s="238"/>
      <c r="N106" s="238"/>
      <c r="O106" s="238"/>
      <c r="P106" s="238"/>
      <c r="Q106" s="238"/>
      <c r="R106" s="238"/>
      <c r="S106" s="238"/>
      <c r="T106" s="238"/>
      <c r="U106" s="238"/>
      <c r="V106" s="238"/>
      <c r="W106" s="238"/>
      <c r="X106" s="238"/>
      <c r="Y106" s="238"/>
      <c r="Z106" s="238"/>
      <c r="AA106" s="238"/>
      <c r="AB106" s="238"/>
      <c r="AC106" s="238"/>
      <c r="AD106" s="238"/>
      <c r="AE106" s="238"/>
      <c r="AF106" s="238"/>
      <c r="AG106" s="238"/>
      <c r="AH106" s="238"/>
      <c r="AI106" s="238"/>
      <c r="AJ106" s="238"/>
      <c r="AK106" s="238"/>
      <c r="AL106" s="238"/>
      <c r="AM106" s="238"/>
      <c r="AN106" s="238"/>
      <c r="AO106" s="238"/>
      <c r="AP106" s="238"/>
      <c r="AQ106" s="238"/>
      <c r="AR106" s="238"/>
      <c r="AS106" s="238"/>
      <c r="AT106" s="238"/>
      <c r="AU106" s="238"/>
      <c r="AV106" s="238"/>
      <c r="AW106" s="238"/>
      <c r="AX106" s="238"/>
      <c r="AY106" s="248"/>
    </row>
    <row r="107" spans="1:51" ht="60" customHeight="1" outlineLevel="1" x14ac:dyDescent="0.35">
      <c r="A107" s="245" t="s">
        <v>2271</v>
      </c>
      <c r="B107" s="233" t="s">
        <v>5398</v>
      </c>
      <c r="C107" s="233"/>
      <c r="D107" s="233"/>
      <c r="E107" s="233"/>
      <c r="F107" s="233"/>
      <c r="G107" s="233"/>
      <c r="H107" s="233"/>
      <c r="I107" s="233"/>
      <c r="J107" s="233"/>
      <c r="K107" s="236" t="str">
        <f>IF(COUNTIF(L107:AY107,"&lt;&gt;")=0,"",SUMPRODUCT(((Recommendations[ImplStatus]="Implemented")+(Recommendations[ImplStatus]="Compensated"))*ISNUMBER(MATCH(Recommendations[Id],L107:AY107,0)))/COUNTIF(L107:AY107,"&lt;&gt;"))</f>
        <v/>
      </c>
      <c r="L107" s="239"/>
      <c r="M107" s="239"/>
      <c r="N107" s="239"/>
      <c r="O107" s="239"/>
      <c r="P107" s="239"/>
      <c r="Q107" s="239"/>
      <c r="R107" s="239"/>
      <c r="S107" s="239"/>
      <c r="T107" s="239"/>
      <c r="U107" s="239"/>
      <c r="V107" s="239"/>
      <c r="W107" s="239"/>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9"/>
      <c r="AX107" s="239"/>
      <c r="AY107" s="249"/>
    </row>
    <row r="108" spans="1:51" ht="60" customHeight="1" x14ac:dyDescent="0.35">
      <c r="A108" s="246" t="s">
        <v>5399</v>
      </c>
      <c r="B108" s="234" t="s">
        <v>5400</v>
      </c>
      <c r="C108" s="234" t="s">
        <v>5401</v>
      </c>
      <c r="D108" s="234" t="s">
        <v>5065</v>
      </c>
      <c r="E108" s="234" t="s">
        <v>4851</v>
      </c>
      <c r="F108" s="234" t="s">
        <v>19</v>
      </c>
      <c r="G108" s="234" t="s">
        <v>19</v>
      </c>
      <c r="H108" s="234" t="s">
        <v>5402</v>
      </c>
      <c r="I108" s="234" t="s">
        <v>19</v>
      </c>
      <c r="J108" s="234" t="s">
        <v>5403</v>
      </c>
      <c r="K108" s="237" t="str">
        <f>IF(COUNTIF(L108:AY108,"&lt;&gt;")=0,"",SUMPRODUCT(((Recommendations[ImplStatus]="Implemented")+(Recommendations[ImplStatus]="Compensated"))*ISNUMBER(MATCH(Recommendations[Id],L108:AY108,0)))/COUNTIF(L108:AY108,"&lt;&gt;"))</f>
        <v/>
      </c>
      <c r="L108" s="240"/>
      <c r="M108" s="240"/>
      <c r="N108" s="240"/>
      <c r="O108" s="240"/>
      <c r="P108" s="240"/>
      <c r="Q108" s="24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c r="AW108" s="240"/>
      <c r="AX108" s="240"/>
      <c r="AY108" s="250"/>
    </row>
    <row r="109" spans="1:51" ht="60" customHeight="1" x14ac:dyDescent="0.35">
      <c r="A109" s="246" t="s">
        <v>5404</v>
      </c>
      <c r="B109" s="234" t="s">
        <v>5405</v>
      </c>
      <c r="C109" s="234" t="s">
        <v>5406</v>
      </c>
      <c r="D109" s="234" t="s">
        <v>4857</v>
      </c>
      <c r="E109" s="234" t="s">
        <v>19</v>
      </c>
      <c r="F109" s="234" t="s">
        <v>4859</v>
      </c>
      <c r="G109" s="234" t="s">
        <v>19</v>
      </c>
      <c r="H109" s="234" t="s">
        <v>5407</v>
      </c>
      <c r="I109" s="234" t="s">
        <v>19</v>
      </c>
      <c r="J109" s="234" t="s">
        <v>5408</v>
      </c>
      <c r="K109" s="237" t="str">
        <f>IF(COUNTIF(L109:AY109,"&lt;&gt;")=0,"",SUMPRODUCT(((Recommendations[ImplStatus]="Implemented")+(Recommendations[ImplStatus]="Compensated"))*ISNUMBER(MATCH(Recommendations[Id],L109:AY109,0)))/COUNTIF(L109:AY109,"&lt;&gt;"))</f>
        <v/>
      </c>
      <c r="L109" s="240"/>
      <c r="M109" s="240"/>
      <c r="N109" s="240"/>
      <c r="O109" s="240"/>
      <c r="P109" s="240"/>
      <c r="Q109" s="24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c r="AW109" s="240"/>
      <c r="AX109" s="240"/>
      <c r="AY109" s="250"/>
    </row>
    <row r="110" spans="1:51" ht="60" customHeight="1" outlineLevel="1" x14ac:dyDescent="0.35">
      <c r="A110" s="245" t="s">
        <v>2275</v>
      </c>
      <c r="B110" s="233" t="s">
        <v>5409</v>
      </c>
      <c r="C110" s="233"/>
      <c r="D110" s="233"/>
      <c r="E110" s="233"/>
      <c r="F110" s="233"/>
      <c r="G110" s="233"/>
      <c r="H110" s="233"/>
      <c r="I110" s="233"/>
      <c r="J110" s="233"/>
      <c r="K110" s="236" t="str">
        <f>IF(COUNTIF(L110:AY110,"&lt;&gt;")=0,"",SUMPRODUCT(((Recommendations[ImplStatus]="Implemented")+(Recommendations[ImplStatus]="Compensated"))*ISNUMBER(MATCH(Recommendations[Id],L110:AY110,0)))/COUNTIF(L110:AY110,"&lt;&gt;"))</f>
        <v/>
      </c>
      <c r="L110" s="239"/>
      <c r="M110" s="239"/>
      <c r="N110" s="239"/>
      <c r="O110" s="239"/>
      <c r="P110" s="239"/>
      <c r="Q110" s="239"/>
      <c r="R110" s="239"/>
      <c r="S110" s="239"/>
      <c r="T110" s="239"/>
      <c r="U110" s="239"/>
      <c r="V110" s="239"/>
      <c r="W110" s="239"/>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9"/>
      <c r="AX110" s="239"/>
      <c r="AY110" s="249"/>
    </row>
    <row r="111" spans="1:51" ht="60" customHeight="1" x14ac:dyDescent="0.35">
      <c r="A111" s="246" t="s">
        <v>5410</v>
      </c>
      <c r="B111" s="234" t="s">
        <v>5411</v>
      </c>
      <c r="C111" s="234" t="s">
        <v>5412</v>
      </c>
      <c r="D111" s="234" t="s">
        <v>5413</v>
      </c>
      <c r="E111" s="234" t="s">
        <v>19</v>
      </c>
      <c r="F111" s="234" t="s">
        <v>5414</v>
      </c>
      <c r="G111" s="234" t="s">
        <v>19</v>
      </c>
      <c r="H111" s="234" t="s">
        <v>5415</v>
      </c>
      <c r="I111" s="234" t="s">
        <v>5416</v>
      </c>
      <c r="J111" s="234" t="s">
        <v>5417</v>
      </c>
      <c r="K111" s="237" t="str">
        <f>IF(COUNTIF(L111:AY111,"&lt;&gt;")=0,"",SUMPRODUCT(((Recommendations[ImplStatus]="Implemented")+(Recommendations[ImplStatus]="Compensated"))*ISNUMBER(MATCH(Recommendations[Id],L111:AY111,0)))/COUNTIF(L111:AY111,"&lt;&gt;"))</f>
        <v/>
      </c>
      <c r="L111" s="240"/>
      <c r="M111" s="240"/>
      <c r="N111" s="240"/>
      <c r="O111" s="240"/>
      <c r="P111" s="240"/>
      <c r="Q111" s="24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0"/>
      <c r="AW111" s="240"/>
      <c r="AX111" s="240"/>
      <c r="AY111" s="250"/>
    </row>
    <row r="112" spans="1:51" ht="60" customHeight="1" x14ac:dyDescent="0.35">
      <c r="A112" s="246" t="s">
        <v>5418</v>
      </c>
      <c r="B112" s="234" t="s">
        <v>5419</v>
      </c>
      <c r="C112" s="234" t="s">
        <v>5420</v>
      </c>
      <c r="D112" s="234" t="s">
        <v>5421</v>
      </c>
      <c r="E112" s="234" t="s">
        <v>19</v>
      </c>
      <c r="F112" s="234" t="s">
        <v>19</v>
      </c>
      <c r="G112" s="234" t="s">
        <v>19</v>
      </c>
      <c r="H112" s="234" t="s">
        <v>5422</v>
      </c>
      <c r="I112" s="234" t="s">
        <v>19</v>
      </c>
      <c r="J112" s="234" t="s">
        <v>5423</v>
      </c>
      <c r="K112" s="237" t="str">
        <f>IF(COUNTIF(L112:AY112,"&lt;&gt;")=0,"",SUMPRODUCT(((Recommendations[ImplStatus]="Implemented")+(Recommendations[ImplStatus]="Compensated"))*ISNUMBER(MATCH(Recommendations[Id],L112:AY112,0)))/COUNTIF(L112:AY112,"&lt;&gt;"))</f>
        <v/>
      </c>
      <c r="L112" s="240"/>
      <c r="M112" s="240"/>
      <c r="N112" s="240"/>
      <c r="O112" s="240"/>
      <c r="P112" s="240"/>
      <c r="Q112" s="24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c r="AW112" s="240"/>
      <c r="AX112" s="240"/>
      <c r="AY112" s="250"/>
    </row>
    <row r="113" spans="1:51" ht="60" customHeight="1" x14ac:dyDescent="0.35">
      <c r="A113" s="246" t="s">
        <v>5424</v>
      </c>
      <c r="B113" s="234" t="s">
        <v>5425</v>
      </c>
      <c r="C113" s="234" t="s">
        <v>5426</v>
      </c>
      <c r="D113" s="234" t="s">
        <v>5427</v>
      </c>
      <c r="E113" s="234" t="s">
        <v>19</v>
      </c>
      <c r="F113" s="234" t="s">
        <v>19</v>
      </c>
      <c r="G113" s="234" t="s">
        <v>19</v>
      </c>
      <c r="H113" s="234" t="s">
        <v>5428</v>
      </c>
      <c r="I113" s="234" t="s">
        <v>5429</v>
      </c>
      <c r="J113" s="234" t="s">
        <v>5430</v>
      </c>
      <c r="K113" s="237" t="str">
        <f>IF(COUNTIF(L113:AY113,"&lt;&gt;")=0,"",SUMPRODUCT(((Recommendations[ImplStatus]="Implemented")+(Recommendations[ImplStatus]="Compensated"))*ISNUMBER(MATCH(Recommendations[Id],L113:AY113,0)))/COUNTIF(L113:AY113,"&lt;&gt;"))</f>
        <v/>
      </c>
      <c r="L113" s="240"/>
      <c r="M113" s="240"/>
      <c r="N113" s="240"/>
      <c r="O113" s="240"/>
      <c r="P113" s="240"/>
      <c r="Q113" s="24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c r="AM113" s="240"/>
      <c r="AN113" s="240"/>
      <c r="AO113" s="240"/>
      <c r="AP113" s="240"/>
      <c r="AQ113" s="240"/>
      <c r="AR113" s="240"/>
      <c r="AS113" s="240"/>
      <c r="AT113" s="240"/>
      <c r="AU113" s="240"/>
      <c r="AV113" s="240"/>
      <c r="AW113" s="240"/>
      <c r="AX113" s="240"/>
      <c r="AY113" s="250"/>
    </row>
    <row r="114" spans="1:51" ht="60" customHeight="1" x14ac:dyDescent="0.35">
      <c r="A114" s="246" t="s">
        <v>5431</v>
      </c>
      <c r="B114" s="234" t="s">
        <v>5432</v>
      </c>
      <c r="C114" s="234" t="s">
        <v>5433</v>
      </c>
      <c r="D114" s="234" t="s">
        <v>5434</v>
      </c>
      <c r="E114" s="234" t="s">
        <v>19</v>
      </c>
      <c r="F114" s="234" t="s">
        <v>19</v>
      </c>
      <c r="G114" s="234" t="s">
        <v>5435</v>
      </c>
      <c r="H114" s="234" t="s">
        <v>5436</v>
      </c>
      <c r="I114" s="234" t="s">
        <v>5437</v>
      </c>
      <c r="J114" s="234" t="s">
        <v>5438</v>
      </c>
      <c r="K114" s="237" t="str">
        <f>IF(COUNTIF(L114:AY114,"&lt;&gt;")=0,"",SUMPRODUCT(((Recommendations[ImplStatus]="Implemented")+(Recommendations[ImplStatus]="Compensated"))*ISNUMBER(MATCH(Recommendations[Id],L114:AY114,0)))/COUNTIF(L114:AY114,"&lt;&gt;"))</f>
        <v/>
      </c>
      <c r="L114" s="240"/>
      <c r="M114" s="240"/>
      <c r="N114" s="240"/>
      <c r="O114" s="240"/>
      <c r="P114" s="240"/>
      <c r="Q114" s="240"/>
      <c r="R114" s="240"/>
      <c r="S114" s="240"/>
      <c r="T114" s="240"/>
      <c r="U114" s="240"/>
      <c r="V114" s="240"/>
      <c r="W114" s="240"/>
      <c r="X114" s="240"/>
      <c r="Y114" s="240"/>
      <c r="Z114" s="240"/>
      <c r="AA114" s="240"/>
      <c r="AB114" s="240"/>
      <c r="AC114" s="240"/>
      <c r="AD114" s="240"/>
      <c r="AE114" s="240"/>
      <c r="AF114" s="240"/>
      <c r="AG114" s="240"/>
      <c r="AH114" s="240"/>
      <c r="AI114" s="240"/>
      <c r="AJ114" s="240"/>
      <c r="AK114" s="240"/>
      <c r="AL114" s="240"/>
      <c r="AM114" s="240"/>
      <c r="AN114" s="240"/>
      <c r="AO114" s="240"/>
      <c r="AP114" s="240"/>
      <c r="AQ114" s="240"/>
      <c r="AR114" s="240"/>
      <c r="AS114" s="240"/>
      <c r="AT114" s="240"/>
      <c r="AU114" s="240"/>
      <c r="AV114" s="240"/>
      <c r="AW114" s="240"/>
      <c r="AX114" s="240"/>
      <c r="AY114" s="250"/>
    </row>
    <row r="115" spans="1:51" ht="60" customHeight="1" x14ac:dyDescent="0.35">
      <c r="A115" s="246" t="s">
        <v>5439</v>
      </c>
      <c r="B115" s="234" t="s">
        <v>5440</v>
      </c>
      <c r="C115" s="234" t="s">
        <v>5441</v>
      </c>
      <c r="D115" s="234" t="s">
        <v>5442</v>
      </c>
      <c r="E115" s="234" t="s">
        <v>19</v>
      </c>
      <c r="F115" s="234" t="s">
        <v>5443</v>
      </c>
      <c r="G115" s="234" t="s">
        <v>19</v>
      </c>
      <c r="H115" s="234" t="s">
        <v>5444</v>
      </c>
      <c r="I115" s="234" t="s">
        <v>5444</v>
      </c>
      <c r="J115" s="234" t="s">
        <v>5445</v>
      </c>
      <c r="K115" s="237">
        <f>IF(COUNTIF(L115:AY115,"&lt;&gt;")=0,"",SUMPRODUCT(((Recommendations[ImplStatus]="Implemented")+(Recommendations[ImplStatus]="Compensated"))*ISNUMBER(MATCH(Recommendations[Id],L115:AY115,0)))/COUNTIF(L115:AY115,"&lt;&gt;"))</f>
        <v>0</v>
      </c>
      <c r="L115" s="240" t="s">
        <v>27</v>
      </c>
      <c r="M115" s="240" t="s">
        <v>235</v>
      </c>
      <c r="N115" s="240"/>
      <c r="O115" s="240"/>
      <c r="P115" s="240"/>
      <c r="Q115" s="240"/>
      <c r="R115" s="240"/>
      <c r="S115" s="240"/>
      <c r="T115" s="240"/>
      <c r="U115" s="240"/>
      <c r="V115" s="240"/>
      <c r="W115" s="240"/>
      <c r="X115" s="240"/>
      <c r="Y115" s="240"/>
      <c r="Z115" s="240"/>
      <c r="AA115" s="240"/>
      <c r="AB115" s="240"/>
      <c r="AC115" s="240"/>
      <c r="AD115" s="240"/>
      <c r="AE115" s="240"/>
      <c r="AF115" s="240"/>
      <c r="AG115" s="240"/>
      <c r="AH115" s="240"/>
      <c r="AI115" s="240"/>
      <c r="AJ115" s="240"/>
      <c r="AK115" s="240"/>
      <c r="AL115" s="240"/>
      <c r="AM115" s="240"/>
      <c r="AN115" s="240"/>
      <c r="AO115" s="240"/>
      <c r="AP115" s="240"/>
      <c r="AQ115" s="240"/>
      <c r="AR115" s="240"/>
      <c r="AS115" s="240"/>
      <c r="AT115" s="240"/>
      <c r="AU115" s="240"/>
      <c r="AV115" s="240"/>
      <c r="AW115" s="240"/>
      <c r="AX115" s="240"/>
      <c r="AY115" s="250"/>
    </row>
    <row r="116" spans="1:51" ht="60" customHeight="1" outlineLevel="1" x14ac:dyDescent="0.35">
      <c r="A116" s="245" t="s">
        <v>2279</v>
      </c>
      <c r="B116" s="233" t="s">
        <v>5446</v>
      </c>
      <c r="C116" s="233"/>
      <c r="D116" s="233"/>
      <c r="E116" s="233"/>
      <c r="F116" s="233"/>
      <c r="G116" s="233"/>
      <c r="H116" s="233"/>
      <c r="I116" s="233"/>
      <c r="J116" s="233"/>
      <c r="K116" s="236" t="str">
        <f>IF(COUNTIF(L116:AY116,"&lt;&gt;")=0,"",SUMPRODUCT(((Recommendations[ImplStatus]="Implemented")+(Recommendations[ImplStatus]="Compensated"))*ISNUMBER(MATCH(Recommendations[Id],L116:AY116,0)))/COUNTIF(L116:AY116,"&lt;&gt;"))</f>
        <v/>
      </c>
      <c r="L116" s="239"/>
      <c r="M116" s="239"/>
      <c r="N116" s="239"/>
      <c r="O116" s="239"/>
      <c r="P116" s="239"/>
      <c r="Q116" s="239"/>
      <c r="R116" s="239"/>
      <c r="S116" s="239"/>
      <c r="T116" s="239"/>
      <c r="U116" s="239"/>
      <c r="V116" s="239"/>
      <c r="W116" s="239"/>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c r="AT116" s="239"/>
      <c r="AU116" s="239"/>
      <c r="AV116" s="239"/>
      <c r="AW116" s="239"/>
      <c r="AX116" s="239"/>
      <c r="AY116" s="249"/>
    </row>
    <row r="117" spans="1:51" ht="60" customHeight="1" x14ac:dyDescent="0.35">
      <c r="A117" s="246" t="s">
        <v>5447</v>
      </c>
      <c r="B117" s="234" t="s">
        <v>5448</v>
      </c>
      <c r="C117" s="234" t="s">
        <v>5449</v>
      </c>
      <c r="D117" s="234" t="s">
        <v>5450</v>
      </c>
      <c r="E117" s="234" t="s">
        <v>19</v>
      </c>
      <c r="F117" s="234" t="s">
        <v>5451</v>
      </c>
      <c r="G117" s="234" t="s">
        <v>5452</v>
      </c>
      <c r="H117" s="234" t="s">
        <v>5453</v>
      </c>
      <c r="I117" s="234" t="s">
        <v>5454</v>
      </c>
      <c r="J117" s="234" t="s">
        <v>5455</v>
      </c>
      <c r="K117" s="237" t="str">
        <f>IF(COUNTIF(L117:AY117,"&lt;&gt;")=0,"",SUMPRODUCT(((Recommendations[ImplStatus]="Implemented")+(Recommendations[ImplStatus]="Compensated"))*ISNUMBER(MATCH(Recommendations[Id],L117:AY117,0)))/COUNTIF(L117:AY117,"&lt;&gt;"))</f>
        <v/>
      </c>
      <c r="L117" s="240"/>
      <c r="M117" s="240"/>
      <c r="N117" s="240"/>
      <c r="O117" s="240"/>
      <c r="P117" s="240"/>
      <c r="Q117" s="240"/>
      <c r="R117" s="240"/>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0"/>
      <c r="AT117" s="240"/>
      <c r="AU117" s="240"/>
      <c r="AV117" s="240"/>
      <c r="AW117" s="240"/>
      <c r="AX117" s="240"/>
      <c r="AY117" s="250"/>
    </row>
    <row r="118" spans="1:51" ht="60" customHeight="1" x14ac:dyDescent="0.35">
      <c r="A118" s="246" t="s">
        <v>5456</v>
      </c>
      <c r="B118" s="234" t="s">
        <v>5457</v>
      </c>
      <c r="C118" s="234" t="s">
        <v>5458</v>
      </c>
      <c r="D118" s="234" t="s">
        <v>5459</v>
      </c>
      <c r="E118" s="234" t="s">
        <v>19</v>
      </c>
      <c r="F118" s="234" t="s">
        <v>19</v>
      </c>
      <c r="G118" s="234" t="s">
        <v>19</v>
      </c>
      <c r="H118" s="234" t="s">
        <v>5460</v>
      </c>
      <c r="I118" s="234" t="s">
        <v>5293</v>
      </c>
      <c r="J118" s="234" t="s">
        <v>5461</v>
      </c>
      <c r="K118" s="237" t="str">
        <f>IF(COUNTIF(L118:AY118,"&lt;&gt;")=0,"",SUMPRODUCT(((Recommendations[ImplStatus]="Implemented")+(Recommendations[ImplStatus]="Compensated"))*ISNUMBER(MATCH(Recommendations[Id],L118:AY118,0)))/COUNTIF(L118:AY118,"&lt;&gt;"))</f>
        <v/>
      </c>
      <c r="L118" s="240"/>
      <c r="M118" s="240"/>
      <c r="N118" s="240"/>
      <c r="O118" s="240"/>
      <c r="P118" s="240"/>
      <c r="Q118" s="24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0"/>
      <c r="AW118" s="240"/>
      <c r="AX118" s="240"/>
      <c r="AY118" s="250"/>
    </row>
    <row r="119" spans="1:51" ht="60" customHeight="1" x14ac:dyDescent="0.35">
      <c r="A119" s="246" t="s">
        <v>5462</v>
      </c>
      <c r="B119" s="234" t="s">
        <v>5463</v>
      </c>
      <c r="C119" s="234" t="s">
        <v>5464</v>
      </c>
      <c r="D119" s="234" t="s">
        <v>5465</v>
      </c>
      <c r="E119" s="234" t="s">
        <v>19</v>
      </c>
      <c r="F119" s="234" t="s">
        <v>5466</v>
      </c>
      <c r="G119" s="234" t="s">
        <v>19</v>
      </c>
      <c r="H119" s="234" t="s">
        <v>5467</v>
      </c>
      <c r="I119" s="234" t="s">
        <v>5468</v>
      </c>
      <c r="J119" s="234" t="s">
        <v>5469</v>
      </c>
      <c r="K119" s="237">
        <f>IF(COUNTIF(L119:AY119,"&lt;&gt;")=0,"",SUMPRODUCT(((Recommendations[ImplStatus]="Implemented")+(Recommendations[ImplStatus]="Compensated"))*ISNUMBER(MATCH(Recommendations[Id],L119:AY119,0)))/COUNTIF(L119:AY119,"&lt;&gt;"))</f>
        <v>0</v>
      </c>
      <c r="L119" s="240" t="s">
        <v>33</v>
      </c>
      <c r="M119" s="240" t="s">
        <v>153</v>
      </c>
      <c r="N119" s="240"/>
      <c r="O119" s="240"/>
      <c r="P119" s="240"/>
      <c r="Q119" s="240"/>
      <c r="R119" s="240"/>
      <c r="S119" s="240"/>
      <c r="T119" s="240"/>
      <c r="U119" s="240"/>
      <c r="V119" s="240"/>
      <c r="W119" s="240"/>
      <c r="X119" s="240"/>
      <c r="Y119" s="240"/>
      <c r="Z119" s="240"/>
      <c r="AA119" s="240"/>
      <c r="AB119" s="240"/>
      <c r="AC119" s="240"/>
      <c r="AD119" s="240"/>
      <c r="AE119" s="240"/>
      <c r="AF119" s="240"/>
      <c r="AG119" s="240"/>
      <c r="AH119" s="240"/>
      <c r="AI119" s="240"/>
      <c r="AJ119" s="240"/>
      <c r="AK119" s="240"/>
      <c r="AL119" s="240"/>
      <c r="AM119" s="240"/>
      <c r="AN119" s="240"/>
      <c r="AO119" s="240"/>
      <c r="AP119" s="240"/>
      <c r="AQ119" s="240"/>
      <c r="AR119" s="240"/>
      <c r="AS119" s="240"/>
      <c r="AT119" s="240"/>
      <c r="AU119" s="240"/>
      <c r="AV119" s="240"/>
      <c r="AW119" s="240"/>
      <c r="AX119" s="240"/>
      <c r="AY119" s="250"/>
    </row>
    <row r="120" spans="1:51" ht="60" customHeight="1" outlineLevel="1" x14ac:dyDescent="0.35">
      <c r="A120" s="245" t="s">
        <v>2283</v>
      </c>
      <c r="B120" s="233" t="s">
        <v>5470</v>
      </c>
      <c r="C120" s="233"/>
      <c r="D120" s="233"/>
      <c r="E120" s="233"/>
      <c r="F120" s="233"/>
      <c r="G120" s="233"/>
      <c r="H120" s="233"/>
      <c r="I120" s="233"/>
      <c r="J120" s="233"/>
      <c r="K120" s="236" t="str">
        <f>IF(COUNTIF(L120:AY120,"&lt;&gt;")=0,"",SUMPRODUCT(((Recommendations[ImplStatus]="Implemented")+(Recommendations[ImplStatus]="Compensated"))*ISNUMBER(MATCH(Recommendations[Id],L120:AY120,0)))/COUNTIF(L120:AY120,"&lt;&gt;"))</f>
        <v/>
      </c>
      <c r="L120" s="239"/>
      <c r="M120" s="239"/>
      <c r="N120" s="239"/>
      <c r="O120" s="239"/>
      <c r="P120" s="239"/>
      <c r="Q120" s="239"/>
      <c r="R120" s="239"/>
      <c r="S120" s="239"/>
      <c r="T120" s="239"/>
      <c r="U120" s="239"/>
      <c r="V120" s="239"/>
      <c r="W120" s="239"/>
      <c r="X120" s="239"/>
      <c r="Y120" s="239"/>
      <c r="Z120" s="239"/>
      <c r="AA120" s="239"/>
      <c r="AB120" s="239"/>
      <c r="AC120" s="239"/>
      <c r="AD120" s="239"/>
      <c r="AE120" s="239"/>
      <c r="AF120" s="239"/>
      <c r="AG120" s="239"/>
      <c r="AH120" s="239"/>
      <c r="AI120" s="239"/>
      <c r="AJ120" s="239"/>
      <c r="AK120" s="239"/>
      <c r="AL120" s="239"/>
      <c r="AM120" s="239"/>
      <c r="AN120" s="239"/>
      <c r="AO120" s="239"/>
      <c r="AP120" s="239"/>
      <c r="AQ120" s="239"/>
      <c r="AR120" s="239"/>
      <c r="AS120" s="239"/>
      <c r="AT120" s="239"/>
      <c r="AU120" s="239"/>
      <c r="AV120" s="239"/>
      <c r="AW120" s="239"/>
      <c r="AX120" s="239"/>
      <c r="AY120" s="249"/>
    </row>
    <row r="121" spans="1:51" ht="60" customHeight="1" x14ac:dyDescent="0.35">
      <c r="A121" s="246" t="s">
        <v>5471</v>
      </c>
      <c r="B121" s="234" t="s">
        <v>5472</v>
      </c>
      <c r="C121" s="234" t="s">
        <v>19</v>
      </c>
      <c r="D121" s="234" t="s">
        <v>19</v>
      </c>
      <c r="E121" s="234" t="s">
        <v>19</v>
      </c>
      <c r="F121" s="234" t="s">
        <v>19</v>
      </c>
      <c r="G121" s="234" t="s">
        <v>19</v>
      </c>
      <c r="H121" s="234" t="s">
        <v>19</v>
      </c>
      <c r="I121" s="234" t="s">
        <v>19</v>
      </c>
      <c r="J121" s="234" t="s">
        <v>19</v>
      </c>
      <c r="K121" s="237" t="str">
        <f>IF(COUNTIF(L121:AY121,"&lt;&gt;")=0,"",SUMPRODUCT(((Recommendations[ImplStatus]="Implemented")+(Recommendations[ImplStatus]="Compensated"))*ISNUMBER(MATCH(Recommendations[Id],L121:AY121,0)))/COUNTIF(L121:AY121,"&lt;&gt;"))</f>
        <v/>
      </c>
      <c r="L121" s="240"/>
      <c r="M121" s="240"/>
      <c r="N121" s="240"/>
      <c r="O121" s="240"/>
      <c r="P121" s="240"/>
      <c r="Q121" s="24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c r="AW121" s="240"/>
      <c r="AX121" s="240"/>
      <c r="AY121" s="250"/>
    </row>
    <row r="122" spans="1:51" ht="60" customHeight="1" x14ac:dyDescent="0.35">
      <c r="A122" s="246" t="s">
        <v>5473</v>
      </c>
      <c r="B122" s="234" t="s">
        <v>5474</v>
      </c>
      <c r="C122" s="234" t="s">
        <v>5475</v>
      </c>
      <c r="D122" s="234" t="s">
        <v>5476</v>
      </c>
      <c r="E122" s="234" t="s">
        <v>19</v>
      </c>
      <c r="F122" s="234" t="s">
        <v>5477</v>
      </c>
      <c r="G122" s="234" t="s">
        <v>19</v>
      </c>
      <c r="H122" s="234" t="s">
        <v>5478</v>
      </c>
      <c r="I122" s="234" t="s">
        <v>5479</v>
      </c>
      <c r="J122" s="234" t="s">
        <v>5480</v>
      </c>
      <c r="K122" s="237" t="str">
        <f>IF(COUNTIF(L122:AY122,"&lt;&gt;")=0,"",SUMPRODUCT(((Recommendations[ImplStatus]="Implemented")+(Recommendations[ImplStatus]="Compensated"))*ISNUMBER(MATCH(Recommendations[Id],L122:AY122,0)))/COUNTIF(L122:AY122,"&lt;&gt;"))</f>
        <v/>
      </c>
      <c r="L122" s="240"/>
      <c r="M122" s="240"/>
      <c r="N122" s="240"/>
      <c r="O122" s="240"/>
      <c r="P122" s="240"/>
      <c r="Q122" s="24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0"/>
      <c r="AW122" s="240"/>
      <c r="AX122" s="240"/>
      <c r="AY122" s="250"/>
    </row>
    <row r="123" spans="1:51" ht="60" customHeight="1" x14ac:dyDescent="0.35">
      <c r="A123" s="246" t="s">
        <v>5481</v>
      </c>
      <c r="B123" s="234" t="s">
        <v>5482</v>
      </c>
      <c r="C123" s="234" t="s">
        <v>5483</v>
      </c>
      <c r="D123" s="234" t="s">
        <v>5484</v>
      </c>
      <c r="E123" s="234" t="s">
        <v>19</v>
      </c>
      <c r="F123" s="234" t="s">
        <v>5485</v>
      </c>
      <c r="G123" s="234" t="s">
        <v>19</v>
      </c>
      <c r="H123" s="234" t="s">
        <v>5486</v>
      </c>
      <c r="I123" s="234" t="s">
        <v>19</v>
      </c>
      <c r="J123" s="234" t="s">
        <v>5487</v>
      </c>
      <c r="K123" s="237" t="str">
        <f>IF(COUNTIF(L123:AY123,"&lt;&gt;")=0,"",SUMPRODUCT(((Recommendations[ImplStatus]="Implemented")+(Recommendations[ImplStatus]="Compensated"))*ISNUMBER(MATCH(Recommendations[Id],L123:AY123,0)))/COUNTIF(L123:AY123,"&lt;&gt;"))</f>
        <v/>
      </c>
      <c r="L123" s="240"/>
      <c r="M123" s="240"/>
      <c r="N123" s="240"/>
      <c r="O123" s="240"/>
      <c r="P123" s="240"/>
      <c r="Q123" s="24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0"/>
      <c r="AW123" s="240"/>
      <c r="AX123" s="240"/>
      <c r="AY123" s="250"/>
    </row>
    <row r="124" spans="1:51" ht="60" customHeight="1" outlineLevel="1" x14ac:dyDescent="0.35">
      <c r="A124" s="245" t="s">
        <v>2287</v>
      </c>
      <c r="B124" s="233" t="s">
        <v>5488</v>
      </c>
      <c r="C124" s="233"/>
      <c r="D124" s="233"/>
      <c r="E124" s="233"/>
      <c r="F124" s="233"/>
      <c r="G124" s="233"/>
      <c r="H124" s="233"/>
      <c r="I124" s="233"/>
      <c r="J124" s="233"/>
      <c r="K124" s="236" t="str">
        <f>IF(COUNTIF(L124:AY124,"&lt;&gt;")=0,"",SUMPRODUCT(((Recommendations[ImplStatus]="Implemented")+(Recommendations[ImplStatus]="Compensated"))*ISNUMBER(MATCH(Recommendations[Id],L124:AY124,0)))/COUNTIF(L124:AY124,"&lt;&gt;"))</f>
        <v/>
      </c>
      <c r="L124" s="239"/>
      <c r="M124" s="239"/>
      <c r="N124" s="239"/>
      <c r="O124" s="239"/>
      <c r="P124" s="239"/>
      <c r="Q124" s="239"/>
      <c r="R124" s="239"/>
      <c r="S124" s="239"/>
      <c r="T124" s="239"/>
      <c r="U124" s="239"/>
      <c r="V124" s="239"/>
      <c r="W124" s="239"/>
      <c r="X124" s="239"/>
      <c r="Y124" s="239"/>
      <c r="Z124" s="239"/>
      <c r="AA124" s="239"/>
      <c r="AB124" s="239"/>
      <c r="AC124" s="239"/>
      <c r="AD124" s="239"/>
      <c r="AE124" s="239"/>
      <c r="AF124" s="239"/>
      <c r="AG124" s="239"/>
      <c r="AH124" s="239"/>
      <c r="AI124" s="239"/>
      <c r="AJ124" s="239"/>
      <c r="AK124" s="239"/>
      <c r="AL124" s="239"/>
      <c r="AM124" s="239"/>
      <c r="AN124" s="239"/>
      <c r="AO124" s="239"/>
      <c r="AP124" s="239"/>
      <c r="AQ124" s="239"/>
      <c r="AR124" s="239"/>
      <c r="AS124" s="239"/>
      <c r="AT124" s="239"/>
      <c r="AU124" s="239"/>
      <c r="AV124" s="239"/>
      <c r="AW124" s="239"/>
      <c r="AX124" s="239"/>
      <c r="AY124" s="249"/>
    </row>
    <row r="125" spans="1:51" ht="60" customHeight="1" x14ac:dyDescent="0.35">
      <c r="A125" s="246" t="s">
        <v>5489</v>
      </c>
      <c r="B125" s="234" t="s">
        <v>5490</v>
      </c>
      <c r="C125" s="234" t="s">
        <v>5491</v>
      </c>
      <c r="D125" s="234" t="s">
        <v>5492</v>
      </c>
      <c r="E125" s="234" t="s">
        <v>19</v>
      </c>
      <c r="F125" s="234" t="s">
        <v>19</v>
      </c>
      <c r="G125" s="234" t="s">
        <v>19</v>
      </c>
      <c r="H125" s="234" t="s">
        <v>5493</v>
      </c>
      <c r="I125" s="234" t="s">
        <v>19</v>
      </c>
      <c r="J125" s="234" t="s">
        <v>5494</v>
      </c>
      <c r="K125" s="237" t="str">
        <f>IF(COUNTIF(L125:AY125,"&lt;&gt;")=0,"",SUMPRODUCT(((Recommendations[ImplStatus]="Implemented")+(Recommendations[ImplStatus]="Compensated"))*ISNUMBER(MATCH(Recommendations[Id],L125:AY125,0)))/COUNTIF(L125:AY125,"&lt;&gt;"))</f>
        <v/>
      </c>
      <c r="L125" s="240"/>
      <c r="M125" s="240"/>
      <c r="N125" s="240"/>
      <c r="O125" s="240"/>
      <c r="P125" s="240"/>
      <c r="Q125" s="240"/>
      <c r="R125" s="240"/>
      <c r="S125" s="240"/>
      <c r="T125" s="240"/>
      <c r="U125" s="240"/>
      <c r="V125" s="240"/>
      <c r="W125" s="240"/>
      <c r="X125" s="240"/>
      <c r="Y125" s="240"/>
      <c r="Z125" s="240"/>
      <c r="AA125" s="240"/>
      <c r="AB125" s="240"/>
      <c r="AC125" s="240"/>
      <c r="AD125" s="240"/>
      <c r="AE125" s="240"/>
      <c r="AF125" s="240"/>
      <c r="AG125" s="240"/>
      <c r="AH125" s="240"/>
      <c r="AI125" s="240"/>
      <c r="AJ125" s="240"/>
      <c r="AK125" s="240"/>
      <c r="AL125" s="240"/>
      <c r="AM125" s="240"/>
      <c r="AN125" s="240"/>
      <c r="AO125" s="240"/>
      <c r="AP125" s="240"/>
      <c r="AQ125" s="240"/>
      <c r="AR125" s="240"/>
      <c r="AS125" s="240"/>
      <c r="AT125" s="240"/>
      <c r="AU125" s="240"/>
      <c r="AV125" s="240"/>
      <c r="AW125" s="240"/>
      <c r="AX125" s="240"/>
      <c r="AY125" s="250"/>
    </row>
    <row r="126" spans="1:51" ht="60" customHeight="1" x14ac:dyDescent="0.35">
      <c r="A126" s="246" t="s">
        <v>5495</v>
      </c>
      <c r="B126" s="234" t="s">
        <v>5496</v>
      </c>
      <c r="C126" s="234" t="s">
        <v>5497</v>
      </c>
      <c r="D126" s="234" t="s">
        <v>5498</v>
      </c>
      <c r="E126" s="234" t="s">
        <v>19</v>
      </c>
      <c r="F126" s="234" t="s">
        <v>5499</v>
      </c>
      <c r="G126" s="234" t="s">
        <v>19</v>
      </c>
      <c r="H126" s="234" t="s">
        <v>5500</v>
      </c>
      <c r="I126" s="234" t="s">
        <v>5501</v>
      </c>
      <c r="J126" s="234" t="s">
        <v>5502</v>
      </c>
      <c r="K126" s="237" t="str">
        <f>IF(COUNTIF(L126:AY126,"&lt;&gt;")=0,"",SUMPRODUCT(((Recommendations[ImplStatus]="Implemented")+(Recommendations[ImplStatus]="Compensated"))*ISNUMBER(MATCH(Recommendations[Id],L126:AY126,0)))/COUNTIF(L126:AY126,"&lt;&gt;"))</f>
        <v/>
      </c>
      <c r="L126" s="240"/>
      <c r="M126" s="240"/>
      <c r="N126" s="240"/>
      <c r="O126" s="240"/>
      <c r="P126" s="240"/>
      <c r="Q126" s="240"/>
      <c r="R126" s="240"/>
      <c r="S126" s="240"/>
      <c r="T126" s="240"/>
      <c r="U126" s="240"/>
      <c r="V126" s="240"/>
      <c r="W126" s="240"/>
      <c r="X126" s="240"/>
      <c r="Y126" s="240"/>
      <c r="Z126" s="240"/>
      <c r="AA126" s="240"/>
      <c r="AB126" s="240"/>
      <c r="AC126" s="240"/>
      <c r="AD126" s="240"/>
      <c r="AE126" s="240"/>
      <c r="AF126" s="240"/>
      <c r="AG126" s="240"/>
      <c r="AH126" s="240"/>
      <c r="AI126" s="240"/>
      <c r="AJ126" s="240"/>
      <c r="AK126" s="240"/>
      <c r="AL126" s="240"/>
      <c r="AM126" s="240"/>
      <c r="AN126" s="240"/>
      <c r="AO126" s="240"/>
      <c r="AP126" s="240"/>
      <c r="AQ126" s="240"/>
      <c r="AR126" s="240"/>
      <c r="AS126" s="240"/>
      <c r="AT126" s="240"/>
      <c r="AU126" s="240"/>
      <c r="AV126" s="240"/>
      <c r="AW126" s="240"/>
      <c r="AX126" s="240"/>
      <c r="AY126" s="250"/>
    </row>
    <row r="127" spans="1:51" ht="60" customHeight="1" x14ac:dyDescent="0.35">
      <c r="A127" s="246" t="s">
        <v>5503</v>
      </c>
      <c r="B127" s="234" t="s">
        <v>5504</v>
      </c>
      <c r="C127" s="234" t="s">
        <v>5505</v>
      </c>
      <c r="D127" s="234" t="s">
        <v>5506</v>
      </c>
      <c r="E127" s="234" t="s">
        <v>5507</v>
      </c>
      <c r="F127" s="234" t="s">
        <v>19</v>
      </c>
      <c r="G127" s="234" t="s">
        <v>19</v>
      </c>
      <c r="H127" s="234" t="s">
        <v>5508</v>
      </c>
      <c r="I127" s="234" t="s">
        <v>19</v>
      </c>
      <c r="J127" s="234" t="s">
        <v>5509</v>
      </c>
      <c r="K127" s="237" t="str">
        <f>IF(COUNTIF(L127:AY127,"&lt;&gt;")=0,"",SUMPRODUCT(((Recommendations[ImplStatus]="Implemented")+(Recommendations[ImplStatus]="Compensated"))*ISNUMBER(MATCH(Recommendations[Id],L127:AY127,0)))/COUNTIF(L127:AY127,"&lt;&gt;"))</f>
        <v/>
      </c>
      <c r="L127" s="240"/>
      <c r="M127" s="240"/>
      <c r="N127" s="240"/>
      <c r="O127" s="240"/>
      <c r="P127" s="240"/>
      <c r="Q127" s="240"/>
      <c r="R127" s="240"/>
      <c r="S127" s="240"/>
      <c r="T127" s="240"/>
      <c r="U127" s="240"/>
      <c r="V127" s="240"/>
      <c r="W127" s="240"/>
      <c r="X127" s="240"/>
      <c r="Y127" s="240"/>
      <c r="Z127" s="240"/>
      <c r="AA127" s="240"/>
      <c r="AB127" s="240"/>
      <c r="AC127" s="240"/>
      <c r="AD127" s="240"/>
      <c r="AE127" s="240"/>
      <c r="AF127" s="240"/>
      <c r="AG127" s="240"/>
      <c r="AH127" s="240"/>
      <c r="AI127" s="240"/>
      <c r="AJ127" s="240"/>
      <c r="AK127" s="240"/>
      <c r="AL127" s="240"/>
      <c r="AM127" s="240"/>
      <c r="AN127" s="240"/>
      <c r="AO127" s="240"/>
      <c r="AP127" s="240"/>
      <c r="AQ127" s="240"/>
      <c r="AR127" s="240"/>
      <c r="AS127" s="240"/>
      <c r="AT127" s="240"/>
      <c r="AU127" s="240"/>
      <c r="AV127" s="240"/>
      <c r="AW127" s="240"/>
      <c r="AX127" s="240"/>
      <c r="AY127" s="250"/>
    </row>
    <row r="128" spans="1:51" ht="60" customHeight="1" x14ac:dyDescent="0.35">
      <c r="A128" s="246" t="s">
        <v>5510</v>
      </c>
      <c r="B128" s="234" t="s">
        <v>5511</v>
      </c>
      <c r="C128" s="234" t="s">
        <v>5512</v>
      </c>
      <c r="D128" s="234" t="s">
        <v>19</v>
      </c>
      <c r="E128" s="234" t="s">
        <v>19</v>
      </c>
      <c r="F128" s="234" t="s">
        <v>19</v>
      </c>
      <c r="G128" s="234" t="s">
        <v>19</v>
      </c>
      <c r="H128" s="234" t="s">
        <v>5513</v>
      </c>
      <c r="I128" s="234" t="s">
        <v>5514</v>
      </c>
      <c r="J128" s="234" t="s">
        <v>5515</v>
      </c>
      <c r="K128" s="237" t="str">
        <f>IF(COUNTIF(L128:AY128,"&lt;&gt;")=0,"",SUMPRODUCT(((Recommendations[ImplStatus]="Implemented")+(Recommendations[ImplStatus]="Compensated"))*ISNUMBER(MATCH(Recommendations[Id],L128:AY128,0)))/COUNTIF(L128:AY128,"&lt;&gt;"))</f>
        <v/>
      </c>
      <c r="L128" s="240"/>
      <c r="M128" s="240"/>
      <c r="N128" s="240"/>
      <c r="O128" s="240"/>
      <c r="P128" s="240"/>
      <c r="Q128" s="24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0"/>
      <c r="AW128" s="240"/>
      <c r="AX128" s="240"/>
      <c r="AY128" s="250"/>
    </row>
    <row r="129" spans="1:51" ht="60" customHeight="1" x14ac:dyDescent="0.35">
      <c r="A129" s="246" t="s">
        <v>5516</v>
      </c>
      <c r="B129" s="234" t="s">
        <v>5517</v>
      </c>
      <c r="C129" s="234" t="s">
        <v>5518</v>
      </c>
      <c r="D129" s="234" t="s">
        <v>19</v>
      </c>
      <c r="E129" s="234" t="s">
        <v>5519</v>
      </c>
      <c r="F129" s="234" t="s">
        <v>19</v>
      </c>
      <c r="G129" s="234" t="s">
        <v>19</v>
      </c>
      <c r="H129" s="234" t="s">
        <v>5520</v>
      </c>
      <c r="I129" s="234" t="s">
        <v>19</v>
      </c>
      <c r="J129" s="234" t="s">
        <v>5521</v>
      </c>
      <c r="K129" s="237" t="str">
        <f>IF(COUNTIF(L129:AY129,"&lt;&gt;")=0,"",SUMPRODUCT(((Recommendations[ImplStatus]="Implemented")+(Recommendations[ImplStatus]="Compensated"))*ISNUMBER(MATCH(Recommendations[Id],L129:AY129,0)))/COUNTIF(L129:AY129,"&lt;&gt;"))</f>
        <v/>
      </c>
      <c r="L129" s="240"/>
      <c r="M129" s="240"/>
      <c r="N129" s="240"/>
      <c r="O129" s="240"/>
      <c r="P129" s="240"/>
      <c r="Q129" s="24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0"/>
      <c r="AT129" s="240"/>
      <c r="AU129" s="240"/>
      <c r="AV129" s="240"/>
      <c r="AW129" s="240"/>
      <c r="AX129" s="240"/>
      <c r="AY129" s="250"/>
    </row>
    <row r="130" spans="1:51" ht="60" customHeight="1" x14ac:dyDescent="0.35">
      <c r="A130" s="246" t="s">
        <v>5522</v>
      </c>
      <c r="B130" s="234" t="s">
        <v>5523</v>
      </c>
      <c r="C130" s="234" t="s">
        <v>5524</v>
      </c>
      <c r="D130" s="234" t="s">
        <v>19</v>
      </c>
      <c r="E130" s="234" t="s">
        <v>19</v>
      </c>
      <c r="F130" s="234" t="s">
        <v>19</v>
      </c>
      <c r="G130" s="234" t="s">
        <v>19</v>
      </c>
      <c r="H130" s="234" t="s">
        <v>5525</v>
      </c>
      <c r="I130" s="234" t="s">
        <v>19</v>
      </c>
      <c r="J130" s="234" t="s">
        <v>5526</v>
      </c>
      <c r="K130" s="237" t="str">
        <f>IF(COUNTIF(L130:AY130,"&lt;&gt;")=0,"",SUMPRODUCT(((Recommendations[ImplStatus]="Implemented")+(Recommendations[ImplStatus]="Compensated"))*ISNUMBER(MATCH(Recommendations[Id],L130:AY130,0)))/COUNTIF(L130:AY130,"&lt;&gt;"))</f>
        <v/>
      </c>
      <c r="L130" s="240"/>
      <c r="M130" s="240"/>
      <c r="N130" s="240"/>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0"/>
      <c r="AT130" s="240"/>
      <c r="AU130" s="240"/>
      <c r="AV130" s="240"/>
      <c r="AW130" s="240"/>
      <c r="AX130" s="240"/>
      <c r="AY130" s="250"/>
    </row>
    <row r="131" spans="1:51" ht="60" customHeight="1" outlineLevel="1" x14ac:dyDescent="0.35">
      <c r="A131" s="244" t="s">
        <v>5527</v>
      </c>
      <c r="B131" s="232" t="s">
        <v>5528</v>
      </c>
      <c r="C131" s="232"/>
      <c r="D131" s="232"/>
      <c r="E131" s="232"/>
      <c r="F131" s="232"/>
      <c r="G131" s="232"/>
      <c r="H131" s="232"/>
      <c r="I131" s="232"/>
      <c r="J131" s="232"/>
      <c r="K131" s="235" t="str">
        <f>IF(COUNTIF(L131:AY131,"&lt;&gt;")=0,"",SUMPRODUCT(((Recommendations[ImplStatus]="Implemented")+(Recommendations[ImplStatus]="Compensated"))*ISNUMBER(MATCH(Recommendations[Id],L131:AY131,0)))/COUNTIF(L131:AY131,"&lt;&gt;"))</f>
        <v/>
      </c>
      <c r="L131" s="238"/>
      <c r="M131" s="238"/>
      <c r="N131" s="238"/>
      <c r="O131" s="238"/>
      <c r="P131" s="238"/>
      <c r="Q131" s="238"/>
      <c r="R131" s="238"/>
      <c r="S131" s="238"/>
      <c r="T131" s="238"/>
      <c r="U131" s="238"/>
      <c r="V131" s="238"/>
      <c r="W131" s="238"/>
      <c r="X131" s="238"/>
      <c r="Y131" s="238"/>
      <c r="Z131" s="238"/>
      <c r="AA131" s="238"/>
      <c r="AB131" s="238"/>
      <c r="AC131" s="238"/>
      <c r="AD131" s="238"/>
      <c r="AE131" s="238"/>
      <c r="AF131" s="238"/>
      <c r="AG131" s="238"/>
      <c r="AH131" s="238"/>
      <c r="AI131" s="238"/>
      <c r="AJ131" s="238"/>
      <c r="AK131" s="238"/>
      <c r="AL131" s="238"/>
      <c r="AM131" s="238"/>
      <c r="AN131" s="238"/>
      <c r="AO131" s="238"/>
      <c r="AP131" s="238"/>
      <c r="AQ131" s="238"/>
      <c r="AR131" s="238"/>
      <c r="AS131" s="238"/>
      <c r="AT131" s="238"/>
      <c r="AU131" s="238"/>
      <c r="AV131" s="238"/>
      <c r="AW131" s="238"/>
      <c r="AX131" s="238"/>
      <c r="AY131" s="248"/>
    </row>
    <row r="132" spans="1:51" ht="60" customHeight="1" outlineLevel="1" x14ac:dyDescent="0.35">
      <c r="A132" s="245" t="s">
        <v>2305</v>
      </c>
      <c r="B132" s="233" t="s">
        <v>5529</v>
      </c>
      <c r="C132" s="233"/>
      <c r="D132" s="233"/>
      <c r="E132" s="233"/>
      <c r="F132" s="233"/>
      <c r="G132" s="233"/>
      <c r="H132" s="233"/>
      <c r="I132" s="233"/>
      <c r="J132" s="233"/>
      <c r="K132" s="236" t="str">
        <f>IF(COUNTIF(L132:AY132,"&lt;&gt;")=0,"",SUMPRODUCT(((Recommendations[ImplStatus]="Implemented")+(Recommendations[ImplStatus]="Compensated"))*ISNUMBER(MATCH(Recommendations[Id],L132:AY132,0)))/COUNTIF(L132:AY132,"&lt;&gt;"))</f>
        <v/>
      </c>
      <c r="L132" s="239"/>
      <c r="M132" s="239"/>
      <c r="N132" s="239"/>
      <c r="O132" s="239"/>
      <c r="P132" s="239"/>
      <c r="Q132" s="239"/>
      <c r="R132" s="239"/>
      <c r="S132" s="239"/>
      <c r="T132" s="239"/>
      <c r="U132" s="239"/>
      <c r="V132" s="239"/>
      <c r="W132" s="239"/>
      <c r="X132" s="239"/>
      <c r="Y132" s="239"/>
      <c r="Z132" s="239"/>
      <c r="AA132" s="239"/>
      <c r="AB132" s="239"/>
      <c r="AC132" s="239"/>
      <c r="AD132" s="239"/>
      <c r="AE132" s="239"/>
      <c r="AF132" s="239"/>
      <c r="AG132" s="239"/>
      <c r="AH132" s="239"/>
      <c r="AI132" s="239"/>
      <c r="AJ132" s="239"/>
      <c r="AK132" s="239"/>
      <c r="AL132" s="239"/>
      <c r="AM132" s="239"/>
      <c r="AN132" s="239"/>
      <c r="AO132" s="239"/>
      <c r="AP132" s="239"/>
      <c r="AQ132" s="239"/>
      <c r="AR132" s="239"/>
      <c r="AS132" s="239"/>
      <c r="AT132" s="239"/>
      <c r="AU132" s="239"/>
      <c r="AV132" s="239"/>
      <c r="AW132" s="239"/>
      <c r="AX132" s="239"/>
      <c r="AY132" s="249"/>
    </row>
    <row r="133" spans="1:51" ht="60" customHeight="1" x14ac:dyDescent="0.35">
      <c r="A133" s="246" t="s">
        <v>5530</v>
      </c>
      <c r="B133" s="234" t="s">
        <v>5531</v>
      </c>
      <c r="C133" s="234" t="s">
        <v>5532</v>
      </c>
      <c r="D133" s="234" t="s">
        <v>5065</v>
      </c>
      <c r="E133" s="234" t="s">
        <v>4851</v>
      </c>
      <c r="F133" s="234" t="s">
        <v>19</v>
      </c>
      <c r="G133" s="234" t="s">
        <v>19</v>
      </c>
      <c r="H133" s="234" t="s">
        <v>5533</v>
      </c>
      <c r="I133" s="234" t="s">
        <v>19</v>
      </c>
      <c r="J133" s="234" t="s">
        <v>5534</v>
      </c>
      <c r="K133" s="237" t="str">
        <f>IF(COUNTIF(L133:AY133,"&lt;&gt;")=0,"",SUMPRODUCT(((Recommendations[ImplStatus]="Implemented")+(Recommendations[ImplStatus]="Compensated"))*ISNUMBER(MATCH(Recommendations[Id],L133:AY133,0)))/COUNTIF(L133:AY133,"&lt;&gt;"))</f>
        <v/>
      </c>
      <c r="L133" s="240"/>
      <c r="M133" s="240"/>
      <c r="N133" s="240"/>
      <c r="O133" s="240"/>
      <c r="P133" s="240"/>
      <c r="Q133" s="240"/>
      <c r="R133" s="240"/>
      <c r="S133" s="240"/>
      <c r="T133" s="240"/>
      <c r="U133" s="240"/>
      <c r="V133" s="240"/>
      <c r="W133" s="240"/>
      <c r="X133" s="240"/>
      <c r="Y133" s="240"/>
      <c r="Z133" s="240"/>
      <c r="AA133" s="240"/>
      <c r="AB133" s="240"/>
      <c r="AC133" s="240"/>
      <c r="AD133" s="240"/>
      <c r="AE133" s="240"/>
      <c r="AF133" s="240"/>
      <c r="AG133" s="240"/>
      <c r="AH133" s="240"/>
      <c r="AI133" s="240"/>
      <c r="AJ133" s="240"/>
      <c r="AK133" s="240"/>
      <c r="AL133" s="240"/>
      <c r="AM133" s="240"/>
      <c r="AN133" s="240"/>
      <c r="AO133" s="240"/>
      <c r="AP133" s="240"/>
      <c r="AQ133" s="240"/>
      <c r="AR133" s="240"/>
      <c r="AS133" s="240"/>
      <c r="AT133" s="240"/>
      <c r="AU133" s="240"/>
      <c r="AV133" s="240"/>
      <c r="AW133" s="240"/>
      <c r="AX133" s="240"/>
      <c r="AY133" s="250"/>
    </row>
    <row r="134" spans="1:51" ht="60" customHeight="1" x14ac:dyDescent="0.35">
      <c r="A134" s="246" t="s">
        <v>5535</v>
      </c>
      <c r="B134" s="234" t="s">
        <v>5536</v>
      </c>
      <c r="C134" s="234" t="s">
        <v>5070</v>
      </c>
      <c r="D134" s="234" t="s">
        <v>4857</v>
      </c>
      <c r="E134" s="234" t="s">
        <v>19</v>
      </c>
      <c r="F134" s="234" t="s">
        <v>4859</v>
      </c>
      <c r="G134" s="234" t="s">
        <v>19</v>
      </c>
      <c r="H134" s="234" t="s">
        <v>5537</v>
      </c>
      <c r="I134" s="234" t="s">
        <v>19</v>
      </c>
      <c r="J134" s="234" t="s">
        <v>5538</v>
      </c>
      <c r="K134" s="237" t="str">
        <f>IF(COUNTIF(L134:AY134,"&lt;&gt;")=0,"",SUMPRODUCT(((Recommendations[ImplStatus]="Implemented")+(Recommendations[ImplStatus]="Compensated"))*ISNUMBER(MATCH(Recommendations[Id],L134:AY134,0)))/COUNTIF(L134:AY134,"&lt;&gt;"))</f>
        <v/>
      </c>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40"/>
      <c r="AV134" s="240"/>
      <c r="AW134" s="240"/>
      <c r="AX134" s="240"/>
      <c r="AY134" s="250"/>
    </row>
    <row r="135" spans="1:51" ht="60" customHeight="1" outlineLevel="1" x14ac:dyDescent="0.35">
      <c r="A135" s="245" t="s">
        <v>2309</v>
      </c>
      <c r="B135" s="233" t="s">
        <v>5539</v>
      </c>
      <c r="C135" s="233"/>
      <c r="D135" s="233"/>
      <c r="E135" s="233"/>
      <c r="F135" s="233"/>
      <c r="G135" s="233"/>
      <c r="H135" s="233"/>
      <c r="I135" s="233"/>
      <c r="J135" s="233"/>
      <c r="K135" s="236" t="str">
        <f>IF(COUNTIF(L135:AY135,"&lt;&gt;")=0,"",SUMPRODUCT(((Recommendations[ImplStatus]="Implemented")+(Recommendations[ImplStatus]="Compensated"))*ISNUMBER(MATCH(Recommendations[Id],L135:AY135,0)))/COUNTIF(L135:AY135,"&lt;&gt;"))</f>
        <v/>
      </c>
      <c r="L135" s="239"/>
      <c r="M135" s="239"/>
      <c r="N135" s="239"/>
      <c r="O135" s="239"/>
      <c r="P135" s="239"/>
      <c r="Q135" s="239"/>
      <c r="R135" s="239"/>
      <c r="S135" s="239"/>
      <c r="T135" s="239"/>
      <c r="U135" s="239"/>
      <c r="V135" s="239"/>
      <c r="W135" s="239"/>
      <c r="X135" s="239"/>
      <c r="Y135" s="239"/>
      <c r="Z135" s="239"/>
      <c r="AA135" s="239"/>
      <c r="AB135" s="239"/>
      <c r="AC135" s="239"/>
      <c r="AD135" s="239"/>
      <c r="AE135" s="239"/>
      <c r="AF135" s="239"/>
      <c r="AG135" s="239"/>
      <c r="AH135" s="239"/>
      <c r="AI135" s="239"/>
      <c r="AJ135" s="239"/>
      <c r="AK135" s="239"/>
      <c r="AL135" s="239"/>
      <c r="AM135" s="239"/>
      <c r="AN135" s="239"/>
      <c r="AO135" s="239"/>
      <c r="AP135" s="239"/>
      <c r="AQ135" s="239"/>
      <c r="AR135" s="239"/>
      <c r="AS135" s="239"/>
      <c r="AT135" s="239"/>
      <c r="AU135" s="239"/>
      <c r="AV135" s="239"/>
      <c r="AW135" s="239"/>
      <c r="AX135" s="239"/>
      <c r="AY135" s="249"/>
    </row>
    <row r="136" spans="1:51" ht="60" customHeight="1" x14ac:dyDescent="0.35">
      <c r="A136" s="246" t="s">
        <v>5540</v>
      </c>
      <c r="B136" s="234" t="s">
        <v>5541</v>
      </c>
      <c r="C136" s="234" t="s">
        <v>5542</v>
      </c>
      <c r="D136" s="234" t="s">
        <v>5543</v>
      </c>
      <c r="E136" s="234" t="s">
        <v>5544</v>
      </c>
      <c r="F136" s="234" t="s">
        <v>5545</v>
      </c>
      <c r="G136" s="234" t="s">
        <v>19</v>
      </c>
      <c r="H136" s="234" t="s">
        <v>5546</v>
      </c>
      <c r="I136" s="234" t="s">
        <v>19</v>
      </c>
      <c r="J136" s="234" t="s">
        <v>5547</v>
      </c>
      <c r="K136" s="237" t="str">
        <f>IF(COUNTIF(L136:AY136,"&lt;&gt;")=0,"",SUMPRODUCT(((Recommendations[ImplStatus]="Implemented")+(Recommendations[ImplStatus]="Compensated"))*ISNUMBER(MATCH(Recommendations[Id],L136:AY136,0)))/COUNTIF(L136:AY136,"&lt;&gt;"))</f>
        <v/>
      </c>
      <c r="L136" s="240"/>
      <c r="M136" s="240"/>
      <c r="N136" s="240"/>
      <c r="O136" s="240"/>
      <c r="P136" s="240"/>
      <c r="Q136" s="240"/>
      <c r="R136" s="240"/>
      <c r="S136" s="240"/>
      <c r="T136" s="240"/>
      <c r="U136" s="240"/>
      <c r="V136" s="240"/>
      <c r="W136" s="240"/>
      <c r="X136" s="240"/>
      <c r="Y136" s="240"/>
      <c r="Z136" s="240"/>
      <c r="AA136" s="240"/>
      <c r="AB136" s="240"/>
      <c r="AC136" s="240"/>
      <c r="AD136" s="240"/>
      <c r="AE136" s="240"/>
      <c r="AF136" s="240"/>
      <c r="AG136" s="240"/>
      <c r="AH136" s="240"/>
      <c r="AI136" s="240"/>
      <c r="AJ136" s="240"/>
      <c r="AK136" s="240"/>
      <c r="AL136" s="240"/>
      <c r="AM136" s="240"/>
      <c r="AN136" s="240"/>
      <c r="AO136" s="240"/>
      <c r="AP136" s="240"/>
      <c r="AQ136" s="240"/>
      <c r="AR136" s="240"/>
      <c r="AS136" s="240"/>
      <c r="AT136" s="240"/>
      <c r="AU136" s="240"/>
      <c r="AV136" s="240"/>
      <c r="AW136" s="240"/>
      <c r="AX136" s="240"/>
      <c r="AY136" s="250"/>
    </row>
    <row r="137" spans="1:51" ht="60" customHeight="1" x14ac:dyDescent="0.35">
      <c r="A137" s="246" t="s">
        <v>5548</v>
      </c>
      <c r="B137" s="234" t="s">
        <v>5549</v>
      </c>
      <c r="C137" s="234" t="s">
        <v>5550</v>
      </c>
      <c r="D137" s="234" t="s">
        <v>5551</v>
      </c>
      <c r="E137" s="234" t="s">
        <v>19</v>
      </c>
      <c r="F137" s="234" t="s">
        <v>19</v>
      </c>
      <c r="G137" s="234" t="s">
        <v>19</v>
      </c>
      <c r="H137" s="234" t="s">
        <v>5552</v>
      </c>
      <c r="I137" s="234" t="s">
        <v>19</v>
      </c>
      <c r="J137" s="234" t="s">
        <v>5553</v>
      </c>
      <c r="K137" s="237" t="str">
        <f>IF(COUNTIF(L137:AY137,"&lt;&gt;")=0,"",SUMPRODUCT(((Recommendations[ImplStatus]="Implemented")+(Recommendations[ImplStatus]="Compensated"))*ISNUMBER(MATCH(Recommendations[Id],L137:AY137,0)))/COUNTIF(L137:AY137,"&lt;&gt;"))</f>
        <v/>
      </c>
      <c r="L137" s="240"/>
      <c r="M137" s="240"/>
      <c r="N137" s="240"/>
      <c r="O137" s="240"/>
      <c r="P137" s="240"/>
      <c r="Q137" s="240"/>
      <c r="R137" s="240"/>
      <c r="S137" s="240"/>
      <c r="T137" s="240"/>
      <c r="U137" s="240"/>
      <c r="V137" s="240"/>
      <c r="W137" s="240"/>
      <c r="X137" s="240"/>
      <c r="Y137" s="240"/>
      <c r="Z137" s="240"/>
      <c r="AA137" s="240"/>
      <c r="AB137" s="240"/>
      <c r="AC137" s="240"/>
      <c r="AD137" s="240"/>
      <c r="AE137" s="240"/>
      <c r="AF137" s="240"/>
      <c r="AG137" s="240"/>
      <c r="AH137" s="240"/>
      <c r="AI137" s="240"/>
      <c r="AJ137" s="240"/>
      <c r="AK137" s="240"/>
      <c r="AL137" s="240"/>
      <c r="AM137" s="240"/>
      <c r="AN137" s="240"/>
      <c r="AO137" s="240"/>
      <c r="AP137" s="240"/>
      <c r="AQ137" s="240"/>
      <c r="AR137" s="240"/>
      <c r="AS137" s="240"/>
      <c r="AT137" s="240"/>
      <c r="AU137" s="240"/>
      <c r="AV137" s="240"/>
      <c r="AW137" s="240"/>
      <c r="AX137" s="240"/>
      <c r="AY137" s="250"/>
    </row>
    <row r="138" spans="1:51" ht="60" customHeight="1" x14ac:dyDescent="0.35">
      <c r="A138" s="246" t="s">
        <v>5554</v>
      </c>
      <c r="B138" s="234" t="s">
        <v>5555</v>
      </c>
      <c r="C138" s="234" t="s">
        <v>5556</v>
      </c>
      <c r="D138" s="234" t="s">
        <v>19</v>
      </c>
      <c r="E138" s="234" t="s">
        <v>19</v>
      </c>
      <c r="F138" s="234" t="s">
        <v>19</v>
      </c>
      <c r="G138" s="234" t="s">
        <v>19</v>
      </c>
      <c r="H138" s="234" t="s">
        <v>5557</v>
      </c>
      <c r="I138" s="234" t="s">
        <v>19</v>
      </c>
      <c r="J138" s="234" t="s">
        <v>5558</v>
      </c>
      <c r="K138" s="237">
        <f>IF(COUNTIF(L138:AY138,"&lt;&gt;")=0,"",SUMPRODUCT(((Recommendations[ImplStatus]="Implemented")+(Recommendations[ImplStatus]="Compensated"))*ISNUMBER(MATCH(Recommendations[Id],L138:AY138,0)))/COUNTIF(L138:AY138,"&lt;&gt;"))</f>
        <v>0</v>
      </c>
      <c r="L138" s="240" t="s">
        <v>269</v>
      </c>
      <c r="M138" s="240" t="s">
        <v>274</v>
      </c>
      <c r="N138" s="240" t="s">
        <v>1680</v>
      </c>
      <c r="O138" s="240"/>
      <c r="P138" s="240"/>
      <c r="Q138" s="240"/>
      <c r="R138" s="240"/>
      <c r="S138" s="240"/>
      <c r="T138" s="240"/>
      <c r="U138" s="240"/>
      <c r="V138" s="240"/>
      <c r="W138" s="240"/>
      <c r="X138" s="240"/>
      <c r="Y138" s="240"/>
      <c r="Z138" s="240"/>
      <c r="AA138" s="240"/>
      <c r="AB138" s="240"/>
      <c r="AC138" s="240"/>
      <c r="AD138" s="240"/>
      <c r="AE138" s="240"/>
      <c r="AF138" s="240"/>
      <c r="AG138" s="240"/>
      <c r="AH138" s="240"/>
      <c r="AI138" s="240"/>
      <c r="AJ138" s="240"/>
      <c r="AK138" s="240"/>
      <c r="AL138" s="240"/>
      <c r="AM138" s="240"/>
      <c r="AN138" s="240"/>
      <c r="AO138" s="240"/>
      <c r="AP138" s="240"/>
      <c r="AQ138" s="240"/>
      <c r="AR138" s="240"/>
      <c r="AS138" s="240"/>
      <c r="AT138" s="240"/>
      <c r="AU138" s="240"/>
      <c r="AV138" s="240"/>
      <c r="AW138" s="240"/>
      <c r="AX138" s="240"/>
      <c r="AY138" s="250"/>
    </row>
    <row r="139" spans="1:51" ht="60" customHeight="1" x14ac:dyDescent="0.35">
      <c r="A139" s="246" t="s">
        <v>5559</v>
      </c>
      <c r="B139" s="234" t="s">
        <v>5560</v>
      </c>
      <c r="C139" s="234" t="s">
        <v>5561</v>
      </c>
      <c r="D139" s="234" t="s">
        <v>5562</v>
      </c>
      <c r="E139" s="234" t="s">
        <v>19</v>
      </c>
      <c r="F139" s="234" t="s">
        <v>19</v>
      </c>
      <c r="G139" s="234" t="s">
        <v>19</v>
      </c>
      <c r="H139" s="234" t="s">
        <v>5563</v>
      </c>
      <c r="I139" s="234" t="s">
        <v>5564</v>
      </c>
      <c r="J139" s="234" t="s">
        <v>5565</v>
      </c>
      <c r="K139" s="237" t="str">
        <f>IF(COUNTIF(L139:AY139,"&lt;&gt;")=0,"",SUMPRODUCT(((Recommendations[ImplStatus]="Implemented")+(Recommendations[ImplStatus]="Compensated"))*ISNUMBER(MATCH(Recommendations[Id],L139:AY139,0)))/COUNTIF(L139:AY139,"&lt;&gt;"))</f>
        <v/>
      </c>
      <c r="L139" s="240"/>
      <c r="M139" s="240"/>
      <c r="N139" s="240"/>
      <c r="O139" s="240"/>
      <c r="P139" s="240"/>
      <c r="Q139" s="240"/>
      <c r="R139" s="240"/>
      <c r="S139" s="240"/>
      <c r="T139" s="240"/>
      <c r="U139" s="240"/>
      <c r="V139" s="240"/>
      <c r="W139" s="240"/>
      <c r="X139" s="240"/>
      <c r="Y139" s="240"/>
      <c r="Z139" s="240"/>
      <c r="AA139" s="240"/>
      <c r="AB139" s="240"/>
      <c r="AC139" s="240"/>
      <c r="AD139" s="240"/>
      <c r="AE139" s="240"/>
      <c r="AF139" s="240"/>
      <c r="AG139" s="240"/>
      <c r="AH139" s="240"/>
      <c r="AI139" s="240"/>
      <c r="AJ139" s="240"/>
      <c r="AK139" s="240"/>
      <c r="AL139" s="240"/>
      <c r="AM139" s="240"/>
      <c r="AN139" s="240"/>
      <c r="AO139" s="240"/>
      <c r="AP139" s="240"/>
      <c r="AQ139" s="240"/>
      <c r="AR139" s="240"/>
      <c r="AS139" s="240"/>
      <c r="AT139" s="240"/>
      <c r="AU139" s="240"/>
      <c r="AV139" s="240"/>
      <c r="AW139" s="240"/>
      <c r="AX139" s="240"/>
      <c r="AY139" s="250"/>
    </row>
    <row r="140" spans="1:51" ht="60" customHeight="1" x14ac:dyDescent="0.35">
      <c r="A140" s="246" t="s">
        <v>5566</v>
      </c>
      <c r="B140" s="234" t="s">
        <v>5567</v>
      </c>
      <c r="C140" s="234" t="s">
        <v>5568</v>
      </c>
      <c r="D140" s="234" t="s">
        <v>5569</v>
      </c>
      <c r="E140" s="234" t="s">
        <v>19</v>
      </c>
      <c r="F140" s="234" t="s">
        <v>19</v>
      </c>
      <c r="G140" s="234" t="s">
        <v>19</v>
      </c>
      <c r="H140" s="234" t="s">
        <v>5570</v>
      </c>
      <c r="I140" s="234" t="s">
        <v>5293</v>
      </c>
      <c r="J140" s="234" t="s">
        <v>5571</v>
      </c>
      <c r="K140" s="237" t="str">
        <f>IF(COUNTIF(L140:AY140,"&lt;&gt;")=0,"",SUMPRODUCT(((Recommendations[ImplStatus]="Implemented")+(Recommendations[ImplStatus]="Compensated"))*ISNUMBER(MATCH(Recommendations[Id],L140:AY140,0)))/COUNTIF(L140:AY140,"&lt;&gt;"))</f>
        <v/>
      </c>
      <c r="L140" s="240"/>
      <c r="M140" s="240"/>
      <c r="N140" s="240"/>
      <c r="O140" s="240"/>
      <c r="P140" s="240"/>
      <c r="Q140" s="240"/>
      <c r="R140" s="240"/>
      <c r="S140" s="240"/>
      <c r="T140" s="240"/>
      <c r="U140" s="240"/>
      <c r="V140" s="240"/>
      <c r="W140" s="240"/>
      <c r="X140" s="240"/>
      <c r="Y140" s="240"/>
      <c r="Z140" s="240"/>
      <c r="AA140" s="240"/>
      <c r="AB140" s="240"/>
      <c r="AC140" s="240"/>
      <c r="AD140" s="240"/>
      <c r="AE140" s="240"/>
      <c r="AF140" s="240"/>
      <c r="AG140" s="240"/>
      <c r="AH140" s="240"/>
      <c r="AI140" s="240"/>
      <c r="AJ140" s="240"/>
      <c r="AK140" s="240"/>
      <c r="AL140" s="240"/>
      <c r="AM140" s="240"/>
      <c r="AN140" s="240"/>
      <c r="AO140" s="240"/>
      <c r="AP140" s="240"/>
      <c r="AQ140" s="240"/>
      <c r="AR140" s="240"/>
      <c r="AS140" s="240"/>
      <c r="AT140" s="240"/>
      <c r="AU140" s="240"/>
      <c r="AV140" s="240"/>
      <c r="AW140" s="240"/>
      <c r="AX140" s="240"/>
      <c r="AY140" s="250"/>
    </row>
    <row r="141" spans="1:51" ht="60" customHeight="1" x14ac:dyDescent="0.35">
      <c r="A141" s="246" t="s">
        <v>5572</v>
      </c>
      <c r="B141" s="234" t="s">
        <v>5573</v>
      </c>
      <c r="C141" s="234" t="s">
        <v>5574</v>
      </c>
      <c r="D141" s="234" t="s">
        <v>19</v>
      </c>
      <c r="E141" s="234" t="s">
        <v>5575</v>
      </c>
      <c r="F141" s="234" t="s">
        <v>19</v>
      </c>
      <c r="G141" s="234" t="s">
        <v>19</v>
      </c>
      <c r="H141" s="234" t="s">
        <v>5576</v>
      </c>
      <c r="I141" s="234" t="s">
        <v>5293</v>
      </c>
      <c r="J141" s="234" t="s">
        <v>5577</v>
      </c>
      <c r="K141" s="237" t="str">
        <f>IF(COUNTIF(L141:AY141,"&lt;&gt;")=0,"",SUMPRODUCT(((Recommendations[ImplStatus]="Implemented")+(Recommendations[ImplStatus]="Compensated"))*ISNUMBER(MATCH(Recommendations[Id],L141:AY141,0)))/COUNTIF(L141:AY141,"&lt;&gt;"))</f>
        <v/>
      </c>
      <c r="L141" s="240"/>
      <c r="M141" s="240"/>
      <c r="N141" s="240"/>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0"/>
      <c r="AT141" s="240"/>
      <c r="AU141" s="240"/>
      <c r="AV141" s="240"/>
      <c r="AW141" s="240"/>
      <c r="AX141" s="240"/>
      <c r="AY141" s="250"/>
    </row>
    <row r="142" spans="1:51" ht="60" customHeight="1" x14ac:dyDescent="0.35">
      <c r="A142" s="246" t="s">
        <v>5578</v>
      </c>
      <c r="B142" s="234" t="s">
        <v>5579</v>
      </c>
      <c r="C142" s="234" t="s">
        <v>5580</v>
      </c>
      <c r="D142" s="234" t="s">
        <v>5581</v>
      </c>
      <c r="E142" s="234" t="s">
        <v>5575</v>
      </c>
      <c r="F142" s="234" t="s">
        <v>19</v>
      </c>
      <c r="G142" s="234" t="s">
        <v>19</v>
      </c>
      <c r="H142" s="234" t="s">
        <v>5582</v>
      </c>
      <c r="I142" s="234" t="s">
        <v>5583</v>
      </c>
      <c r="J142" s="234" t="s">
        <v>5584</v>
      </c>
      <c r="K142" s="237" t="str">
        <f>IF(COUNTIF(L142:AY142,"&lt;&gt;")=0,"",SUMPRODUCT(((Recommendations[ImplStatus]="Implemented")+(Recommendations[ImplStatus]="Compensated"))*ISNUMBER(MATCH(Recommendations[Id],L142:AY142,0)))/COUNTIF(L142:AY142,"&lt;&gt;"))</f>
        <v/>
      </c>
      <c r="L142" s="240"/>
      <c r="M142" s="240"/>
      <c r="N142" s="240"/>
      <c r="O142" s="240"/>
      <c r="P142" s="240"/>
      <c r="Q142" s="240"/>
      <c r="R142" s="240"/>
      <c r="S142" s="240"/>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0"/>
      <c r="AT142" s="240"/>
      <c r="AU142" s="240"/>
      <c r="AV142" s="240"/>
      <c r="AW142" s="240"/>
      <c r="AX142" s="240"/>
      <c r="AY142" s="250"/>
    </row>
    <row r="143" spans="1:51" ht="60" customHeight="1" outlineLevel="1" x14ac:dyDescent="0.35">
      <c r="A143" s="245" t="s">
        <v>2313</v>
      </c>
      <c r="B143" s="233" t="s">
        <v>5585</v>
      </c>
      <c r="C143" s="233"/>
      <c r="D143" s="233"/>
      <c r="E143" s="233"/>
      <c r="F143" s="233"/>
      <c r="G143" s="233"/>
      <c r="H143" s="233"/>
      <c r="I143" s="233"/>
      <c r="J143" s="233"/>
      <c r="K143" s="236" t="str">
        <f>IF(COUNTIF(L143:AY143,"&lt;&gt;")=0,"",SUMPRODUCT(((Recommendations[ImplStatus]="Implemented")+(Recommendations[ImplStatus]="Compensated"))*ISNUMBER(MATCH(Recommendations[Id],L143:AY143,0)))/COUNTIF(L143:AY143,"&lt;&gt;"))</f>
        <v/>
      </c>
      <c r="L143" s="239"/>
      <c r="M143" s="239"/>
      <c r="N143" s="239"/>
      <c r="O143" s="239"/>
      <c r="P143" s="239"/>
      <c r="Q143" s="239"/>
      <c r="R143" s="239"/>
      <c r="S143" s="239"/>
      <c r="T143" s="239"/>
      <c r="U143" s="239"/>
      <c r="V143" s="239"/>
      <c r="W143" s="239"/>
      <c r="X143" s="239"/>
      <c r="Y143" s="239"/>
      <c r="Z143" s="239"/>
      <c r="AA143" s="239"/>
      <c r="AB143" s="239"/>
      <c r="AC143" s="239"/>
      <c r="AD143" s="239"/>
      <c r="AE143" s="239"/>
      <c r="AF143" s="239"/>
      <c r="AG143" s="239"/>
      <c r="AH143" s="239"/>
      <c r="AI143" s="239"/>
      <c r="AJ143" s="239"/>
      <c r="AK143" s="239"/>
      <c r="AL143" s="239"/>
      <c r="AM143" s="239"/>
      <c r="AN143" s="239"/>
      <c r="AO143" s="239"/>
      <c r="AP143" s="239"/>
      <c r="AQ143" s="239"/>
      <c r="AR143" s="239"/>
      <c r="AS143" s="239"/>
      <c r="AT143" s="239"/>
      <c r="AU143" s="239"/>
      <c r="AV143" s="239"/>
      <c r="AW143" s="239"/>
      <c r="AX143" s="239"/>
      <c r="AY143" s="249"/>
    </row>
    <row r="144" spans="1:51" ht="60" customHeight="1" x14ac:dyDescent="0.35">
      <c r="A144" s="246" t="s">
        <v>5586</v>
      </c>
      <c r="B144" s="234" t="s">
        <v>5587</v>
      </c>
      <c r="C144" s="234" t="s">
        <v>5588</v>
      </c>
      <c r="D144" s="234" t="s">
        <v>19</v>
      </c>
      <c r="E144" s="234" t="s">
        <v>19</v>
      </c>
      <c r="F144" s="234" t="s">
        <v>19</v>
      </c>
      <c r="G144" s="234" t="s">
        <v>19</v>
      </c>
      <c r="H144" s="234" t="s">
        <v>5589</v>
      </c>
      <c r="I144" s="234" t="s">
        <v>19</v>
      </c>
      <c r="J144" s="234" t="s">
        <v>5590</v>
      </c>
      <c r="K144" s="237">
        <f>IF(COUNTIF(L144:AY144,"&lt;&gt;")=0,"",SUMPRODUCT(((Recommendations[ImplStatus]="Implemented")+(Recommendations[ImplStatus]="Compensated"))*ISNUMBER(MATCH(Recommendations[Id],L144:AY144,0)))/COUNTIF(L144:AY144,"&lt;&gt;"))</f>
        <v>0</v>
      </c>
      <c r="L144" s="240" t="s">
        <v>278</v>
      </c>
      <c r="M144" s="240" t="s">
        <v>283</v>
      </c>
      <c r="N144" s="240" t="s">
        <v>1648</v>
      </c>
      <c r="O144" s="240" t="s">
        <v>1675</v>
      </c>
      <c r="P144" s="240"/>
      <c r="Q144" s="240"/>
      <c r="R144" s="240"/>
      <c r="S144" s="240"/>
      <c r="T144" s="240"/>
      <c r="U144" s="240"/>
      <c r="V144" s="240"/>
      <c r="W144" s="240"/>
      <c r="X144" s="240"/>
      <c r="Y144" s="240"/>
      <c r="Z144" s="240"/>
      <c r="AA144" s="240"/>
      <c r="AB144" s="240"/>
      <c r="AC144" s="240"/>
      <c r="AD144" s="240"/>
      <c r="AE144" s="240"/>
      <c r="AF144" s="240"/>
      <c r="AG144" s="240"/>
      <c r="AH144" s="240"/>
      <c r="AI144" s="240"/>
      <c r="AJ144" s="240"/>
      <c r="AK144" s="240"/>
      <c r="AL144" s="240"/>
      <c r="AM144" s="240"/>
      <c r="AN144" s="240"/>
      <c r="AO144" s="240"/>
      <c r="AP144" s="240"/>
      <c r="AQ144" s="240"/>
      <c r="AR144" s="240"/>
      <c r="AS144" s="240"/>
      <c r="AT144" s="240"/>
      <c r="AU144" s="240"/>
      <c r="AV144" s="240"/>
      <c r="AW144" s="240"/>
      <c r="AX144" s="240"/>
      <c r="AY144" s="250"/>
    </row>
    <row r="145" spans="1:51" ht="60" customHeight="1" x14ac:dyDescent="0.35">
      <c r="A145" s="246" t="s">
        <v>5591</v>
      </c>
      <c r="B145" s="234" t="s">
        <v>5592</v>
      </c>
      <c r="C145" s="234" t="s">
        <v>5593</v>
      </c>
      <c r="D145" s="234" t="s">
        <v>19</v>
      </c>
      <c r="E145" s="234" t="s">
        <v>19</v>
      </c>
      <c r="F145" s="234" t="s">
        <v>19</v>
      </c>
      <c r="G145" s="234" t="s">
        <v>19</v>
      </c>
      <c r="H145" s="234" t="s">
        <v>5594</v>
      </c>
      <c r="I145" s="234" t="s">
        <v>19</v>
      </c>
      <c r="J145" s="234" t="s">
        <v>5595</v>
      </c>
      <c r="K145" s="237" t="str">
        <f>IF(COUNTIF(L145:AY145,"&lt;&gt;")=0,"",SUMPRODUCT(((Recommendations[ImplStatus]="Implemented")+(Recommendations[ImplStatus]="Compensated"))*ISNUMBER(MATCH(Recommendations[Id],L145:AY145,0)))/COUNTIF(L145:AY145,"&lt;&gt;"))</f>
        <v/>
      </c>
      <c r="L145" s="240"/>
      <c r="M145" s="240"/>
      <c r="N145" s="240"/>
      <c r="O145" s="240"/>
      <c r="P145" s="240"/>
      <c r="Q145" s="240"/>
      <c r="R145" s="240"/>
      <c r="S145" s="240"/>
      <c r="T145" s="240"/>
      <c r="U145" s="240"/>
      <c r="V145" s="240"/>
      <c r="W145" s="240"/>
      <c r="X145" s="240"/>
      <c r="Y145" s="240"/>
      <c r="Z145" s="240"/>
      <c r="AA145" s="240"/>
      <c r="AB145" s="240"/>
      <c r="AC145" s="240"/>
      <c r="AD145" s="240"/>
      <c r="AE145" s="240"/>
      <c r="AF145" s="240"/>
      <c r="AG145" s="240"/>
      <c r="AH145" s="240"/>
      <c r="AI145" s="240"/>
      <c r="AJ145" s="240"/>
      <c r="AK145" s="240"/>
      <c r="AL145" s="240"/>
      <c r="AM145" s="240"/>
      <c r="AN145" s="240"/>
      <c r="AO145" s="240"/>
      <c r="AP145" s="240"/>
      <c r="AQ145" s="240"/>
      <c r="AR145" s="240"/>
      <c r="AS145" s="240"/>
      <c r="AT145" s="240"/>
      <c r="AU145" s="240"/>
      <c r="AV145" s="240"/>
      <c r="AW145" s="240"/>
      <c r="AX145" s="240"/>
      <c r="AY145" s="250"/>
    </row>
    <row r="146" spans="1:51" ht="60" customHeight="1" x14ac:dyDescent="0.35">
      <c r="A146" s="246" t="s">
        <v>5596</v>
      </c>
      <c r="B146" s="234" t="s">
        <v>5597</v>
      </c>
      <c r="C146" s="234" t="s">
        <v>5598</v>
      </c>
      <c r="D146" s="234" t="s">
        <v>5599</v>
      </c>
      <c r="E146" s="234" t="s">
        <v>19</v>
      </c>
      <c r="F146" s="234" t="s">
        <v>19</v>
      </c>
      <c r="G146" s="234" t="s">
        <v>19</v>
      </c>
      <c r="H146" s="234" t="s">
        <v>5600</v>
      </c>
      <c r="I146" s="234" t="s">
        <v>19</v>
      </c>
      <c r="J146" s="234" t="s">
        <v>5601</v>
      </c>
      <c r="K146" s="237" t="str">
        <f>IF(COUNTIF(L146:AY146,"&lt;&gt;")=0,"",SUMPRODUCT(((Recommendations[ImplStatus]="Implemented")+(Recommendations[ImplStatus]="Compensated"))*ISNUMBER(MATCH(Recommendations[Id],L146:AY146,0)))/COUNTIF(L146:AY146,"&lt;&gt;"))</f>
        <v/>
      </c>
      <c r="L146" s="240"/>
      <c r="M146" s="240"/>
      <c r="N146" s="240"/>
      <c r="O146" s="240"/>
      <c r="P146" s="240"/>
      <c r="Q146" s="240"/>
      <c r="R146" s="240"/>
      <c r="S146" s="240"/>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0"/>
      <c r="AT146" s="240"/>
      <c r="AU146" s="240"/>
      <c r="AV146" s="240"/>
      <c r="AW146" s="240"/>
      <c r="AX146" s="240"/>
      <c r="AY146" s="250"/>
    </row>
    <row r="147" spans="1:51" ht="60" customHeight="1" outlineLevel="1" x14ac:dyDescent="0.35">
      <c r="A147" s="244" t="s">
        <v>5602</v>
      </c>
      <c r="B147" s="232" t="s">
        <v>5603</v>
      </c>
      <c r="C147" s="232"/>
      <c r="D147" s="232"/>
      <c r="E147" s="232"/>
      <c r="F147" s="232"/>
      <c r="G147" s="232"/>
      <c r="H147" s="232"/>
      <c r="I147" s="232"/>
      <c r="J147" s="232"/>
      <c r="K147" s="235" t="str">
        <f>IF(COUNTIF(L147:AY147,"&lt;&gt;")=0,"",SUMPRODUCT(((Recommendations[ImplStatus]="Implemented")+(Recommendations[ImplStatus]="Compensated"))*ISNUMBER(MATCH(Recommendations[Id],L147:AY147,0)))/COUNTIF(L147:AY147,"&lt;&gt;"))</f>
        <v/>
      </c>
      <c r="L147" s="238"/>
      <c r="M147" s="238"/>
      <c r="N147" s="238"/>
      <c r="O147" s="238"/>
      <c r="P147" s="238"/>
      <c r="Q147" s="238"/>
      <c r="R147" s="238"/>
      <c r="S147" s="238"/>
      <c r="T147" s="238"/>
      <c r="U147" s="238"/>
      <c r="V147" s="238"/>
      <c r="W147" s="238"/>
      <c r="X147" s="238"/>
      <c r="Y147" s="238"/>
      <c r="Z147" s="238"/>
      <c r="AA147" s="238"/>
      <c r="AB147" s="238"/>
      <c r="AC147" s="238"/>
      <c r="AD147" s="238"/>
      <c r="AE147" s="238"/>
      <c r="AF147" s="238"/>
      <c r="AG147" s="238"/>
      <c r="AH147" s="238"/>
      <c r="AI147" s="238"/>
      <c r="AJ147" s="238"/>
      <c r="AK147" s="238"/>
      <c r="AL147" s="238"/>
      <c r="AM147" s="238"/>
      <c r="AN147" s="238"/>
      <c r="AO147" s="238"/>
      <c r="AP147" s="238"/>
      <c r="AQ147" s="238"/>
      <c r="AR147" s="238"/>
      <c r="AS147" s="238"/>
      <c r="AT147" s="238"/>
      <c r="AU147" s="238"/>
      <c r="AV147" s="238"/>
      <c r="AW147" s="238"/>
      <c r="AX147" s="238"/>
      <c r="AY147" s="248"/>
    </row>
    <row r="148" spans="1:51" ht="60" customHeight="1" outlineLevel="1" x14ac:dyDescent="0.35">
      <c r="A148" s="245" t="s">
        <v>2335</v>
      </c>
      <c r="B148" s="233" t="s">
        <v>5604</v>
      </c>
      <c r="C148" s="233"/>
      <c r="D148" s="233"/>
      <c r="E148" s="233"/>
      <c r="F148" s="233"/>
      <c r="G148" s="233"/>
      <c r="H148" s="233"/>
      <c r="I148" s="233"/>
      <c r="J148" s="233"/>
      <c r="K148" s="236" t="str">
        <f>IF(COUNTIF(L148:AY148,"&lt;&gt;")=0,"",SUMPRODUCT(((Recommendations[ImplStatus]="Implemented")+(Recommendations[ImplStatus]="Compensated"))*ISNUMBER(MATCH(Recommendations[Id],L148:AY148,0)))/COUNTIF(L148:AY148,"&lt;&gt;"))</f>
        <v/>
      </c>
      <c r="L148" s="239"/>
      <c r="M148" s="239"/>
      <c r="N148" s="239"/>
      <c r="O148" s="239"/>
      <c r="P148" s="239"/>
      <c r="Q148" s="239"/>
      <c r="R148" s="239"/>
      <c r="S148" s="239"/>
      <c r="T148" s="239"/>
      <c r="U148" s="239"/>
      <c r="V148" s="239"/>
      <c r="W148" s="239"/>
      <c r="X148" s="239"/>
      <c r="Y148" s="239"/>
      <c r="Z148" s="239"/>
      <c r="AA148" s="239"/>
      <c r="AB148" s="239"/>
      <c r="AC148" s="239"/>
      <c r="AD148" s="239"/>
      <c r="AE148" s="239"/>
      <c r="AF148" s="239"/>
      <c r="AG148" s="239"/>
      <c r="AH148" s="239"/>
      <c r="AI148" s="239"/>
      <c r="AJ148" s="239"/>
      <c r="AK148" s="239"/>
      <c r="AL148" s="239"/>
      <c r="AM148" s="239"/>
      <c r="AN148" s="239"/>
      <c r="AO148" s="239"/>
      <c r="AP148" s="239"/>
      <c r="AQ148" s="239"/>
      <c r="AR148" s="239"/>
      <c r="AS148" s="239"/>
      <c r="AT148" s="239"/>
      <c r="AU148" s="239"/>
      <c r="AV148" s="239"/>
      <c r="AW148" s="239"/>
      <c r="AX148" s="239"/>
      <c r="AY148" s="249"/>
    </row>
    <row r="149" spans="1:51" ht="60" customHeight="1" x14ac:dyDescent="0.35">
      <c r="A149" s="246" t="s">
        <v>5605</v>
      </c>
      <c r="B149" s="234" t="s">
        <v>5606</v>
      </c>
      <c r="C149" s="234" t="s">
        <v>5607</v>
      </c>
      <c r="D149" s="234" t="s">
        <v>5065</v>
      </c>
      <c r="E149" s="234" t="s">
        <v>4851</v>
      </c>
      <c r="F149" s="234" t="s">
        <v>19</v>
      </c>
      <c r="G149" s="234" t="s">
        <v>19</v>
      </c>
      <c r="H149" s="234" t="s">
        <v>5608</v>
      </c>
      <c r="I149" s="234" t="s">
        <v>19</v>
      </c>
      <c r="J149" s="234" t="s">
        <v>5609</v>
      </c>
      <c r="K149" s="237" t="str">
        <f>IF(COUNTIF(L149:AY149,"&lt;&gt;")=0,"",SUMPRODUCT(((Recommendations[ImplStatus]="Implemented")+(Recommendations[ImplStatus]="Compensated"))*ISNUMBER(MATCH(Recommendations[Id],L149:AY149,0)))/COUNTIF(L149:AY149,"&lt;&gt;"))</f>
        <v/>
      </c>
      <c r="L149" s="240"/>
      <c r="M149" s="240"/>
      <c r="N149" s="240"/>
      <c r="O149" s="240"/>
      <c r="P149" s="240"/>
      <c r="Q149" s="240"/>
      <c r="R149" s="240"/>
      <c r="S149" s="240"/>
      <c r="T149" s="240"/>
      <c r="U149" s="240"/>
      <c r="V149" s="240"/>
      <c r="W149" s="240"/>
      <c r="X149" s="240"/>
      <c r="Y149" s="240"/>
      <c r="Z149" s="240"/>
      <c r="AA149" s="240"/>
      <c r="AB149" s="240"/>
      <c r="AC149" s="240"/>
      <c r="AD149" s="240"/>
      <c r="AE149" s="240"/>
      <c r="AF149" s="240"/>
      <c r="AG149" s="240"/>
      <c r="AH149" s="240"/>
      <c r="AI149" s="240"/>
      <c r="AJ149" s="240"/>
      <c r="AK149" s="240"/>
      <c r="AL149" s="240"/>
      <c r="AM149" s="240"/>
      <c r="AN149" s="240"/>
      <c r="AO149" s="240"/>
      <c r="AP149" s="240"/>
      <c r="AQ149" s="240"/>
      <c r="AR149" s="240"/>
      <c r="AS149" s="240"/>
      <c r="AT149" s="240"/>
      <c r="AU149" s="240"/>
      <c r="AV149" s="240"/>
      <c r="AW149" s="240"/>
      <c r="AX149" s="240"/>
      <c r="AY149" s="250"/>
    </row>
    <row r="150" spans="1:51" ht="60" customHeight="1" x14ac:dyDescent="0.35">
      <c r="A150" s="246" t="s">
        <v>5610</v>
      </c>
      <c r="B150" s="234" t="s">
        <v>5611</v>
      </c>
      <c r="C150" s="234" t="s">
        <v>4856</v>
      </c>
      <c r="D150" s="234" t="s">
        <v>4857</v>
      </c>
      <c r="E150" s="234" t="s">
        <v>19</v>
      </c>
      <c r="F150" s="234" t="s">
        <v>4859</v>
      </c>
      <c r="G150" s="234" t="s">
        <v>19</v>
      </c>
      <c r="H150" s="234" t="s">
        <v>5612</v>
      </c>
      <c r="I150" s="234" t="s">
        <v>19</v>
      </c>
      <c r="J150" s="234" t="s">
        <v>5613</v>
      </c>
      <c r="K150" s="237" t="str">
        <f>IF(COUNTIF(L150:AY150,"&lt;&gt;")=0,"",SUMPRODUCT(((Recommendations[ImplStatus]="Implemented")+(Recommendations[ImplStatus]="Compensated"))*ISNUMBER(MATCH(Recommendations[Id],L150:AY150,0)))/COUNTIF(L150:AY150,"&lt;&gt;"))</f>
        <v/>
      </c>
      <c r="L150" s="240"/>
      <c r="M150" s="240"/>
      <c r="N150" s="240"/>
      <c r="O150" s="240"/>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c r="AW150" s="240"/>
      <c r="AX150" s="240"/>
      <c r="AY150" s="250"/>
    </row>
    <row r="151" spans="1:51" ht="60" customHeight="1" outlineLevel="1" x14ac:dyDescent="0.35">
      <c r="A151" s="245" t="s">
        <v>2339</v>
      </c>
      <c r="B151" s="233" t="s">
        <v>5614</v>
      </c>
      <c r="C151" s="233"/>
      <c r="D151" s="233"/>
      <c r="E151" s="233"/>
      <c r="F151" s="233"/>
      <c r="G151" s="233"/>
      <c r="H151" s="233"/>
      <c r="I151" s="233"/>
      <c r="J151" s="233"/>
      <c r="K151" s="236" t="str">
        <f>IF(COUNTIF(L151:AY151,"&lt;&gt;")=0,"",SUMPRODUCT(((Recommendations[ImplStatus]="Implemented")+(Recommendations[ImplStatus]="Compensated"))*ISNUMBER(MATCH(Recommendations[Id],L151:AY151,0)))/COUNTIF(L151:AY151,"&lt;&gt;"))</f>
        <v/>
      </c>
      <c r="L151" s="239"/>
      <c r="M151" s="239"/>
      <c r="N151" s="239"/>
      <c r="O151" s="239"/>
      <c r="P151" s="239"/>
      <c r="Q151" s="239"/>
      <c r="R151" s="239"/>
      <c r="S151" s="239"/>
      <c r="T151" s="239"/>
      <c r="U151" s="239"/>
      <c r="V151" s="239"/>
      <c r="W151" s="239"/>
      <c r="X151" s="239"/>
      <c r="Y151" s="239"/>
      <c r="Z151" s="239"/>
      <c r="AA151" s="239"/>
      <c r="AB151" s="239"/>
      <c r="AC151" s="239"/>
      <c r="AD151" s="239"/>
      <c r="AE151" s="239"/>
      <c r="AF151" s="239"/>
      <c r="AG151" s="239"/>
      <c r="AH151" s="239"/>
      <c r="AI151" s="239"/>
      <c r="AJ151" s="239"/>
      <c r="AK151" s="239"/>
      <c r="AL151" s="239"/>
      <c r="AM151" s="239"/>
      <c r="AN151" s="239"/>
      <c r="AO151" s="239"/>
      <c r="AP151" s="239"/>
      <c r="AQ151" s="239"/>
      <c r="AR151" s="239"/>
      <c r="AS151" s="239"/>
      <c r="AT151" s="239"/>
      <c r="AU151" s="239"/>
      <c r="AV151" s="239"/>
      <c r="AW151" s="239"/>
      <c r="AX151" s="239"/>
      <c r="AY151" s="249"/>
    </row>
    <row r="152" spans="1:51" ht="60" customHeight="1" x14ac:dyDescent="0.35">
      <c r="A152" s="246" t="s">
        <v>5615</v>
      </c>
      <c r="B152" s="234" t="s">
        <v>5616</v>
      </c>
      <c r="C152" s="234" t="s">
        <v>5617</v>
      </c>
      <c r="D152" s="234" t="s">
        <v>19</v>
      </c>
      <c r="E152" s="234" t="s">
        <v>19</v>
      </c>
      <c r="F152" s="234" t="s">
        <v>19</v>
      </c>
      <c r="G152" s="234" t="s">
        <v>19</v>
      </c>
      <c r="H152" s="234" t="s">
        <v>5618</v>
      </c>
      <c r="I152" s="234" t="s">
        <v>5619</v>
      </c>
      <c r="J152" s="234" t="s">
        <v>5620</v>
      </c>
      <c r="K152" s="237">
        <f>IF(COUNTIF(L152:AY152,"&lt;&gt;")=0,"",SUMPRODUCT(((Recommendations[ImplStatus]="Implemented")+(Recommendations[ImplStatus]="Compensated"))*ISNUMBER(MATCH(Recommendations[Id],L152:AY152,0)))/COUNTIF(L152:AY152,"&lt;&gt;"))</f>
        <v>0</v>
      </c>
      <c r="L152" s="240" t="s">
        <v>417</v>
      </c>
      <c r="M152" s="240" t="s">
        <v>788</v>
      </c>
      <c r="N152" s="240" t="s">
        <v>841</v>
      </c>
      <c r="O152" s="240" t="s">
        <v>1493</v>
      </c>
      <c r="P152" s="240"/>
      <c r="Q152" s="240"/>
      <c r="R152" s="240"/>
      <c r="S152" s="240"/>
      <c r="T152" s="240"/>
      <c r="U152" s="240"/>
      <c r="V152" s="240"/>
      <c r="W152" s="240"/>
      <c r="X152" s="240"/>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c r="AW152" s="240"/>
      <c r="AX152" s="240"/>
      <c r="AY152" s="250"/>
    </row>
    <row r="153" spans="1:51" ht="60" customHeight="1" x14ac:dyDescent="0.35">
      <c r="A153" s="246" t="s">
        <v>5621</v>
      </c>
      <c r="B153" s="234" t="s">
        <v>5622</v>
      </c>
      <c r="C153" s="234" t="s">
        <v>5623</v>
      </c>
      <c r="D153" s="234" t="s">
        <v>5624</v>
      </c>
      <c r="E153" s="234" t="s">
        <v>19</v>
      </c>
      <c r="F153" s="234" t="s">
        <v>5625</v>
      </c>
      <c r="G153" s="234" t="s">
        <v>19</v>
      </c>
      <c r="H153" s="234" t="s">
        <v>5626</v>
      </c>
      <c r="I153" s="234" t="s">
        <v>5627</v>
      </c>
      <c r="J153" s="234" t="s">
        <v>5628</v>
      </c>
      <c r="K153" s="237" t="str">
        <f>IF(COUNTIF(L153:AY153,"&lt;&gt;")=0,"",SUMPRODUCT(((Recommendations[ImplStatus]="Implemented")+(Recommendations[ImplStatus]="Compensated"))*ISNUMBER(MATCH(Recommendations[Id],L153:AY153,0)))/COUNTIF(L153:AY153,"&lt;&gt;"))</f>
        <v/>
      </c>
      <c r="L153" s="240"/>
      <c r="M153" s="240"/>
      <c r="N153" s="240"/>
      <c r="O153" s="240"/>
      <c r="P153" s="240"/>
      <c r="Q153" s="240"/>
      <c r="R153" s="240"/>
      <c r="S153" s="240"/>
      <c r="T153" s="240"/>
      <c r="U153" s="240"/>
      <c r="V153" s="240"/>
      <c r="W153" s="240"/>
      <c r="X153" s="240"/>
      <c r="Y153" s="240"/>
      <c r="Z153" s="240"/>
      <c r="AA153" s="240"/>
      <c r="AB153" s="240"/>
      <c r="AC153" s="240"/>
      <c r="AD153" s="240"/>
      <c r="AE153" s="240"/>
      <c r="AF153" s="240"/>
      <c r="AG153" s="240"/>
      <c r="AH153" s="240"/>
      <c r="AI153" s="240"/>
      <c r="AJ153" s="240"/>
      <c r="AK153" s="240"/>
      <c r="AL153" s="240"/>
      <c r="AM153" s="240"/>
      <c r="AN153" s="240"/>
      <c r="AO153" s="240"/>
      <c r="AP153" s="240"/>
      <c r="AQ153" s="240"/>
      <c r="AR153" s="240"/>
      <c r="AS153" s="240"/>
      <c r="AT153" s="240"/>
      <c r="AU153" s="240"/>
      <c r="AV153" s="240"/>
      <c r="AW153" s="240"/>
      <c r="AX153" s="240"/>
      <c r="AY153" s="250"/>
    </row>
    <row r="154" spans="1:51" ht="60" customHeight="1" x14ac:dyDescent="0.35">
      <c r="A154" s="246" t="s">
        <v>5629</v>
      </c>
      <c r="B154" s="234" t="s">
        <v>5630</v>
      </c>
      <c r="C154" s="234" t="s">
        <v>5631</v>
      </c>
      <c r="D154" s="234" t="s">
        <v>19</v>
      </c>
      <c r="E154" s="234" t="s">
        <v>19</v>
      </c>
      <c r="F154" s="234" t="s">
        <v>5632</v>
      </c>
      <c r="G154" s="234" t="s">
        <v>19</v>
      </c>
      <c r="H154" s="234" t="s">
        <v>5633</v>
      </c>
      <c r="I154" s="234" t="s">
        <v>19</v>
      </c>
      <c r="J154" s="234" t="s">
        <v>5634</v>
      </c>
      <c r="K154" s="237" t="str">
        <f>IF(COUNTIF(L154:AY154,"&lt;&gt;")=0,"",SUMPRODUCT(((Recommendations[ImplStatus]="Implemented")+(Recommendations[ImplStatus]="Compensated"))*ISNUMBER(MATCH(Recommendations[Id],L154:AY154,0)))/COUNTIF(L154:AY154,"&lt;&gt;"))</f>
        <v/>
      </c>
      <c r="L154" s="240"/>
      <c r="M154" s="240"/>
      <c r="N154" s="240"/>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0"/>
      <c r="AT154" s="240"/>
      <c r="AU154" s="240"/>
      <c r="AV154" s="240"/>
      <c r="AW154" s="240"/>
      <c r="AX154" s="240"/>
      <c r="AY154" s="250"/>
    </row>
    <row r="155" spans="1:51" ht="60" customHeight="1" x14ac:dyDescent="0.35">
      <c r="A155" s="246" t="s">
        <v>5635</v>
      </c>
      <c r="B155" s="234" t="s">
        <v>5636</v>
      </c>
      <c r="C155" s="234" t="s">
        <v>5637</v>
      </c>
      <c r="D155" s="234" t="s">
        <v>19</v>
      </c>
      <c r="E155" s="234" t="s">
        <v>19</v>
      </c>
      <c r="F155" s="234" t="s">
        <v>19</v>
      </c>
      <c r="G155" s="234" t="s">
        <v>19</v>
      </c>
      <c r="H155" s="234" t="s">
        <v>5638</v>
      </c>
      <c r="I155" s="234" t="s">
        <v>5639</v>
      </c>
      <c r="J155" s="234" t="s">
        <v>5640</v>
      </c>
      <c r="K155" s="237" t="str">
        <f>IF(COUNTIF(L155:AY155,"&lt;&gt;")=0,"",SUMPRODUCT(((Recommendations[ImplStatus]="Implemented")+(Recommendations[ImplStatus]="Compensated"))*ISNUMBER(MATCH(Recommendations[Id],L155:AY155,0)))/COUNTIF(L155:AY155,"&lt;&gt;"))</f>
        <v/>
      </c>
      <c r="L155" s="240"/>
      <c r="M155" s="240"/>
      <c r="N155" s="240"/>
      <c r="O155" s="240"/>
      <c r="P155" s="240"/>
      <c r="Q155" s="240"/>
      <c r="R155" s="240"/>
      <c r="S155" s="240"/>
      <c r="T155" s="240"/>
      <c r="U155" s="240"/>
      <c r="V155" s="240"/>
      <c r="W155" s="240"/>
      <c r="X155" s="240"/>
      <c r="Y155" s="240"/>
      <c r="Z155" s="240"/>
      <c r="AA155" s="240"/>
      <c r="AB155" s="240"/>
      <c r="AC155" s="240"/>
      <c r="AD155" s="240"/>
      <c r="AE155" s="240"/>
      <c r="AF155" s="240"/>
      <c r="AG155" s="240"/>
      <c r="AH155" s="240"/>
      <c r="AI155" s="240"/>
      <c r="AJ155" s="240"/>
      <c r="AK155" s="240"/>
      <c r="AL155" s="240"/>
      <c r="AM155" s="240"/>
      <c r="AN155" s="240"/>
      <c r="AO155" s="240"/>
      <c r="AP155" s="240"/>
      <c r="AQ155" s="240"/>
      <c r="AR155" s="240"/>
      <c r="AS155" s="240"/>
      <c r="AT155" s="240"/>
      <c r="AU155" s="240"/>
      <c r="AV155" s="240"/>
      <c r="AW155" s="240"/>
      <c r="AX155" s="240"/>
      <c r="AY155" s="250"/>
    </row>
    <row r="156" spans="1:51" ht="60" customHeight="1" x14ac:dyDescent="0.35">
      <c r="A156" s="246" t="s">
        <v>5641</v>
      </c>
      <c r="B156" s="234" t="s">
        <v>5642</v>
      </c>
      <c r="C156" s="234" t="s">
        <v>5643</v>
      </c>
      <c r="D156" s="234" t="s">
        <v>19</v>
      </c>
      <c r="E156" s="234" t="s">
        <v>19</v>
      </c>
      <c r="F156" s="234" t="s">
        <v>19</v>
      </c>
      <c r="G156" s="234" t="s">
        <v>19</v>
      </c>
      <c r="H156" s="234" t="s">
        <v>5644</v>
      </c>
      <c r="I156" s="234" t="s">
        <v>19</v>
      </c>
      <c r="J156" s="234" t="s">
        <v>5645</v>
      </c>
      <c r="K156" s="237">
        <f>IF(COUNTIF(L156:AY156,"&lt;&gt;")=0,"",SUMPRODUCT(((Recommendations[ImplStatus]="Implemented")+(Recommendations[ImplStatus]="Compensated"))*ISNUMBER(MATCH(Recommendations[Id],L156:AY156,0)))/COUNTIF(L156:AY156,"&lt;&gt;"))</f>
        <v>0</v>
      </c>
      <c r="L156" s="240" t="s">
        <v>798</v>
      </c>
      <c r="M156" s="240" t="s">
        <v>803</v>
      </c>
      <c r="N156" s="240"/>
      <c r="O156" s="240"/>
      <c r="P156" s="240"/>
      <c r="Q156" s="240"/>
      <c r="R156" s="240"/>
      <c r="S156" s="240"/>
      <c r="T156" s="240"/>
      <c r="U156" s="240"/>
      <c r="V156" s="240"/>
      <c r="W156" s="240"/>
      <c r="X156" s="240"/>
      <c r="Y156" s="240"/>
      <c r="Z156" s="240"/>
      <c r="AA156" s="240"/>
      <c r="AB156" s="240"/>
      <c r="AC156" s="240"/>
      <c r="AD156" s="240"/>
      <c r="AE156" s="240"/>
      <c r="AF156" s="240"/>
      <c r="AG156" s="240"/>
      <c r="AH156" s="240"/>
      <c r="AI156" s="240"/>
      <c r="AJ156" s="240"/>
      <c r="AK156" s="240"/>
      <c r="AL156" s="240"/>
      <c r="AM156" s="240"/>
      <c r="AN156" s="240"/>
      <c r="AO156" s="240"/>
      <c r="AP156" s="240"/>
      <c r="AQ156" s="240"/>
      <c r="AR156" s="240"/>
      <c r="AS156" s="240"/>
      <c r="AT156" s="240"/>
      <c r="AU156" s="240"/>
      <c r="AV156" s="240"/>
      <c r="AW156" s="240"/>
      <c r="AX156" s="240"/>
      <c r="AY156" s="250"/>
    </row>
    <row r="157" spans="1:51" ht="60" customHeight="1" x14ac:dyDescent="0.35">
      <c r="A157" s="246" t="s">
        <v>5646</v>
      </c>
      <c r="B157" s="234" t="s">
        <v>5647</v>
      </c>
      <c r="C157" s="234" t="s">
        <v>5648</v>
      </c>
      <c r="D157" s="234" t="s">
        <v>5649</v>
      </c>
      <c r="E157" s="234" t="s">
        <v>19</v>
      </c>
      <c r="F157" s="234" t="s">
        <v>19</v>
      </c>
      <c r="G157" s="234" t="s">
        <v>19</v>
      </c>
      <c r="H157" s="234" t="s">
        <v>5650</v>
      </c>
      <c r="I157" s="234" t="s">
        <v>19</v>
      </c>
      <c r="J157" s="234" t="s">
        <v>5651</v>
      </c>
      <c r="K157" s="237">
        <f>IF(COUNTIF(L157:AY157,"&lt;&gt;")=0,"",SUMPRODUCT(((Recommendations[ImplStatus]="Implemented")+(Recommendations[ImplStatus]="Compensated"))*ISNUMBER(MATCH(Recommendations[Id],L157:AY157,0)))/COUNTIF(L157:AY157,"&lt;&gt;"))</f>
        <v>0</v>
      </c>
      <c r="L157" s="240" t="s">
        <v>588</v>
      </c>
      <c r="M157" s="240" t="s">
        <v>798</v>
      </c>
      <c r="N157" s="240" t="s">
        <v>803</v>
      </c>
      <c r="O157" s="240" t="s">
        <v>816</v>
      </c>
      <c r="P157" s="240"/>
      <c r="Q157" s="240"/>
      <c r="R157" s="240"/>
      <c r="S157" s="240"/>
      <c r="T157" s="240"/>
      <c r="U157" s="240"/>
      <c r="V157" s="240"/>
      <c r="W157" s="240"/>
      <c r="X157" s="240"/>
      <c r="Y157" s="240"/>
      <c r="Z157" s="240"/>
      <c r="AA157" s="240"/>
      <c r="AB157" s="240"/>
      <c r="AC157" s="240"/>
      <c r="AD157" s="240"/>
      <c r="AE157" s="240"/>
      <c r="AF157" s="240"/>
      <c r="AG157" s="240"/>
      <c r="AH157" s="240"/>
      <c r="AI157" s="240"/>
      <c r="AJ157" s="240"/>
      <c r="AK157" s="240"/>
      <c r="AL157" s="240"/>
      <c r="AM157" s="240"/>
      <c r="AN157" s="240"/>
      <c r="AO157" s="240"/>
      <c r="AP157" s="240"/>
      <c r="AQ157" s="240"/>
      <c r="AR157" s="240"/>
      <c r="AS157" s="240"/>
      <c r="AT157" s="240"/>
      <c r="AU157" s="240"/>
      <c r="AV157" s="240"/>
      <c r="AW157" s="240"/>
      <c r="AX157" s="240"/>
      <c r="AY157" s="250"/>
    </row>
    <row r="158" spans="1:51" ht="60" customHeight="1" x14ac:dyDescent="0.35">
      <c r="A158" s="246" t="s">
        <v>5652</v>
      </c>
      <c r="B158" s="234" t="s">
        <v>5653</v>
      </c>
      <c r="C158" s="234" t="s">
        <v>5654</v>
      </c>
      <c r="D158" s="234" t="s">
        <v>5655</v>
      </c>
      <c r="E158" s="234" t="s">
        <v>19</v>
      </c>
      <c r="F158" s="234" t="s">
        <v>19</v>
      </c>
      <c r="G158" s="234" t="s">
        <v>19</v>
      </c>
      <c r="H158" s="234" t="s">
        <v>19</v>
      </c>
      <c r="I158" s="234" t="s">
        <v>19</v>
      </c>
      <c r="J158" s="234" t="s">
        <v>5656</v>
      </c>
      <c r="K158" s="237" t="str">
        <f>IF(COUNTIF(L158:AY158,"&lt;&gt;")=0,"",SUMPRODUCT(((Recommendations[ImplStatus]="Implemented")+(Recommendations[ImplStatus]="Compensated"))*ISNUMBER(MATCH(Recommendations[Id],L158:AY158,0)))/COUNTIF(L158:AY158,"&lt;&gt;"))</f>
        <v/>
      </c>
      <c r="L158" s="240"/>
      <c r="M158" s="240"/>
      <c r="N158" s="240"/>
      <c r="O158" s="240"/>
      <c r="P158" s="240"/>
      <c r="Q158" s="240"/>
      <c r="R158" s="240"/>
      <c r="S158" s="240"/>
      <c r="T158" s="240"/>
      <c r="U158" s="240"/>
      <c r="V158" s="240"/>
      <c r="W158" s="240"/>
      <c r="X158" s="240"/>
      <c r="Y158" s="240"/>
      <c r="Z158" s="240"/>
      <c r="AA158" s="240"/>
      <c r="AB158" s="240"/>
      <c r="AC158" s="240"/>
      <c r="AD158" s="240"/>
      <c r="AE158" s="240"/>
      <c r="AF158" s="240"/>
      <c r="AG158" s="240"/>
      <c r="AH158" s="240"/>
      <c r="AI158" s="240"/>
      <c r="AJ158" s="240"/>
      <c r="AK158" s="240"/>
      <c r="AL158" s="240"/>
      <c r="AM158" s="240"/>
      <c r="AN158" s="240"/>
      <c r="AO158" s="240"/>
      <c r="AP158" s="240"/>
      <c r="AQ158" s="240"/>
      <c r="AR158" s="240"/>
      <c r="AS158" s="240"/>
      <c r="AT158" s="240"/>
      <c r="AU158" s="240"/>
      <c r="AV158" s="240"/>
      <c r="AW158" s="240"/>
      <c r="AX158" s="240"/>
      <c r="AY158" s="250"/>
    </row>
    <row r="159" spans="1:51" ht="60" customHeight="1" x14ac:dyDescent="0.35">
      <c r="A159" s="246" t="s">
        <v>5657</v>
      </c>
      <c r="B159" s="234" t="s">
        <v>5658</v>
      </c>
      <c r="C159" s="234" t="s">
        <v>5659</v>
      </c>
      <c r="D159" s="234" t="s">
        <v>5660</v>
      </c>
      <c r="E159" s="234" t="s">
        <v>19</v>
      </c>
      <c r="F159" s="234" t="s">
        <v>5661</v>
      </c>
      <c r="G159" s="234" t="s">
        <v>19</v>
      </c>
      <c r="H159" s="234" t="s">
        <v>5662</v>
      </c>
      <c r="I159" s="234" t="s">
        <v>5663</v>
      </c>
      <c r="J159" s="234" t="s">
        <v>5664</v>
      </c>
      <c r="K159" s="237">
        <f>IF(COUNTIF(L159:AY159,"&lt;&gt;")=0,"",SUMPRODUCT(((Recommendations[ImplStatus]="Implemented")+(Recommendations[ImplStatus]="Compensated"))*ISNUMBER(MATCH(Recommendations[Id],L159:AY159,0)))/COUNTIF(L159:AY159,"&lt;&gt;"))</f>
        <v>0</v>
      </c>
      <c r="L159" s="240" t="s">
        <v>677</v>
      </c>
      <c r="M159" s="240" t="s">
        <v>682</v>
      </c>
      <c r="N159" s="240" t="s">
        <v>692</v>
      </c>
      <c r="O159" s="240" t="s">
        <v>697</v>
      </c>
      <c r="P159" s="240" t="s">
        <v>702</v>
      </c>
      <c r="Q159" s="240" t="s">
        <v>707</v>
      </c>
      <c r="R159" s="240" t="s">
        <v>712</v>
      </c>
      <c r="S159" s="240" t="s">
        <v>716</v>
      </c>
      <c r="T159" s="240" t="s">
        <v>1723</v>
      </c>
      <c r="U159" s="240" t="s">
        <v>1733</v>
      </c>
      <c r="V159" s="240"/>
      <c r="W159" s="240"/>
      <c r="X159" s="240"/>
      <c r="Y159" s="240"/>
      <c r="Z159" s="240"/>
      <c r="AA159" s="240"/>
      <c r="AB159" s="240"/>
      <c r="AC159" s="240"/>
      <c r="AD159" s="240"/>
      <c r="AE159" s="240"/>
      <c r="AF159" s="240"/>
      <c r="AG159" s="240"/>
      <c r="AH159" s="240"/>
      <c r="AI159" s="240"/>
      <c r="AJ159" s="240"/>
      <c r="AK159" s="240"/>
      <c r="AL159" s="240"/>
      <c r="AM159" s="240"/>
      <c r="AN159" s="240"/>
      <c r="AO159" s="240"/>
      <c r="AP159" s="240"/>
      <c r="AQ159" s="240"/>
      <c r="AR159" s="240"/>
      <c r="AS159" s="240"/>
      <c r="AT159" s="240"/>
      <c r="AU159" s="240"/>
      <c r="AV159" s="240"/>
      <c r="AW159" s="240"/>
      <c r="AX159" s="240"/>
      <c r="AY159" s="250"/>
    </row>
    <row r="160" spans="1:51" ht="60" customHeight="1" outlineLevel="1" x14ac:dyDescent="0.35">
      <c r="A160" s="245" t="s">
        <v>2343</v>
      </c>
      <c r="B160" s="233" t="s">
        <v>5665</v>
      </c>
      <c r="C160" s="233"/>
      <c r="D160" s="233"/>
      <c r="E160" s="233"/>
      <c r="F160" s="233"/>
      <c r="G160" s="233"/>
      <c r="H160" s="233"/>
      <c r="I160" s="233"/>
      <c r="J160" s="233"/>
      <c r="K160" s="236" t="str">
        <f>IF(COUNTIF(L160:AY160,"&lt;&gt;")=0,"",SUMPRODUCT(((Recommendations[ImplStatus]="Implemented")+(Recommendations[ImplStatus]="Compensated"))*ISNUMBER(MATCH(Recommendations[Id],L160:AY160,0)))/COUNTIF(L160:AY160,"&lt;&gt;"))</f>
        <v/>
      </c>
      <c r="L160" s="239"/>
      <c r="M160" s="239"/>
      <c r="N160" s="239"/>
      <c r="O160" s="239"/>
      <c r="P160" s="239"/>
      <c r="Q160" s="239"/>
      <c r="R160" s="239"/>
      <c r="S160" s="239"/>
      <c r="T160" s="239"/>
      <c r="U160" s="239"/>
      <c r="V160" s="239"/>
      <c r="W160" s="239"/>
      <c r="X160" s="239"/>
      <c r="Y160" s="239"/>
      <c r="Z160" s="239"/>
      <c r="AA160" s="239"/>
      <c r="AB160" s="239"/>
      <c r="AC160" s="239"/>
      <c r="AD160" s="239"/>
      <c r="AE160" s="239"/>
      <c r="AF160" s="239"/>
      <c r="AG160" s="239"/>
      <c r="AH160" s="239"/>
      <c r="AI160" s="239"/>
      <c r="AJ160" s="239"/>
      <c r="AK160" s="239"/>
      <c r="AL160" s="239"/>
      <c r="AM160" s="239"/>
      <c r="AN160" s="239"/>
      <c r="AO160" s="239"/>
      <c r="AP160" s="239"/>
      <c r="AQ160" s="239"/>
      <c r="AR160" s="239"/>
      <c r="AS160" s="239"/>
      <c r="AT160" s="239"/>
      <c r="AU160" s="239"/>
      <c r="AV160" s="239"/>
      <c r="AW160" s="239"/>
      <c r="AX160" s="239"/>
      <c r="AY160" s="249"/>
    </row>
    <row r="161" spans="1:51" ht="60" customHeight="1" x14ac:dyDescent="0.35">
      <c r="A161" s="246" t="s">
        <v>5666</v>
      </c>
      <c r="B161" s="234" t="s">
        <v>5667</v>
      </c>
      <c r="C161" s="234" t="s">
        <v>5668</v>
      </c>
      <c r="D161" s="234" t="s">
        <v>5669</v>
      </c>
      <c r="E161" s="234" t="s">
        <v>19</v>
      </c>
      <c r="F161" s="234" t="s">
        <v>19</v>
      </c>
      <c r="G161" s="234" t="s">
        <v>5670</v>
      </c>
      <c r="H161" s="234" t="s">
        <v>5671</v>
      </c>
      <c r="I161" s="234" t="s">
        <v>5672</v>
      </c>
      <c r="J161" s="234" t="s">
        <v>5673</v>
      </c>
      <c r="K161" s="237">
        <f>IF(COUNTIF(L161:AY161,"&lt;&gt;")=0,"",SUMPRODUCT(((Recommendations[ImplStatus]="Implemented")+(Recommendations[ImplStatus]="Compensated"))*ISNUMBER(MATCH(Recommendations[Id],L161:AY161,0)))/COUNTIF(L161:AY161,"&lt;&gt;"))</f>
        <v>0</v>
      </c>
      <c r="L161" s="240" t="s">
        <v>846</v>
      </c>
      <c r="M161" s="240" t="s">
        <v>851</v>
      </c>
      <c r="N161" s="240" t="s">
        <v>855</v>
      </c>
      <c r="O161" s="240" t="s">
        <v>1653</v>
      </c>
      <c r="P161" s="240"/>
      <c r="Q161" s="240"/>
      <c r="R161" s="240"/>
      <c r="S161" s="240"/>
      <c r="T161" s="240"/>
      <c r="U161" s="240"/>
      <c r="V161" s="240"/>
      <c r="W161" s="240"/>
      <c r="X161" s="240"/>
      <c r="Y161" s="240"/>
      <c r="Z161" s="240"/>
      <c r="AA161" s="240"/>
      <c r="AB161" s="240"/>
      <c r="AC161" s="240"/>
      <c r="AD161" s="240"/>
      <c r="AE161" s="240"/>
      <c r="AF161" s="240"/>
      <c r="AG161" s="240"/>
      <c r="AH161" s="240"/>
      <c r="AI161" s="240"/>
      <c r="AJ161" s="240"/>
      <c r="AK161" s="240"/>
      <c r="AL161" s="240"/>
      <c r="AM161" s="240"/>
      <c r="AN161" s="240"/>
      <c r="AO161" s="240"/>
      <c r="AP161" s="240"/>
      <c r="AQ161" s="240"/>
      <c r="AR161" s="240"/>
      <c r="AS161" s="240"/>
      <c r="AT161" s="240"/>
      <c r="AU161" s="240"/>
      <c r="AV161" s="240"/>
      <c r="AW161" s="240"/>
      <c r="AX161" s="240"/>
      <c r="AY161" s="250"/>
    </row>
    <row r="162" spans="1:51" ht="60" customHeight="1" x14ac:dyDescent="0.35">
      <c r="A162" s="246" t="s">
        <v>5674</v>
      </c>
      <c r="B162" s="234" t="s">
        <v>5675</v>
      </c>
      <c r="C162" s="234" t="s">
        <v>5676</v>
      </c>
      <c r="D162" s="234" t="s">
        <v>5677</v>
      </c>
      <c r="E162" s="234" t="s">
        <v>19</v>
      </c>
      <c r="F162" s="234" t="s">
        <v>19</v>
      </c>
      <c r="G162" s="234" t="s">
        <v>19</v>
      </c>
      <c r="H162" s="234" t="s">
        <v>5678</v>
      </c>
      <c r="I162" s="234" t="s">
        <v>19</v>
      </c>
      <c r="J162" s="234" t="s">
        <v>5679</v>
      </c>
      <c r="K162" s="237">
        <f>IF(COUNTIF(L162:AY162,"&lt;&gt;")=0,"",SUMPRODUCT(((Recommendations[ImplStatus]="Implemented")+(Recommendations[ImplStatus]="Compensated"))*ISNUMBER(MATCH(Recommendations[Id],L162:AY162,0)))/COUNTIF(L162:AY162,"&lt;&gt;"))</f>
        <v>0</v>
      </c>
      <c r="L162" s="240" t="s">
        <v>92</v>
      </c>
      <c r="M162" s="240"/>
      <c r="N162" s="240"/>
      <c r="O162" s="240"/>
      <c r="P162" s="240"/>
      <c r="Q162" s="240"/>
      <c r="R162" s="240"/>
      <c r="S162" s="240"/>
      <c r="T162" s="240"/>
      <c r="U162" s="240"/>
      <c r="V162" s="240"/>
      <c r="W162" s="240"/>
      <c r="X162" s="240"/>
      <c r="Y162" s="240"/>
      <c r="Z162" s="240"/>
      <c r="AA162" s="240"/>
      <c r="AB162" s="240"/>
      <c r="AC162" s="240"/>
      <c r="AD162" s="240"/>
      <c r="AE162" s="240"/>
      <c r="AF162" s="240"/>
      <c r="AG162" s="240"/>
      <c r="AH162" s="240"/>
      <c r="AI162" s="240"/>
      <c r="AJ162" s="240"/>
      <c r="AK162" s="240"/>
      <c r="AL162" s="240"/>
      <c r="AM162" s="240"/>
      <c r="AN162" s="240"/>
      <c r="AO162" s="240"/>
      <c r="AP162" s="240"/>
      <c r="AQ162" s="240"/>
      <c r="AR162" s="240"/>
      <c r="AS162" s="240"/>
      <c r="AT162" s="240"/>
      <c r="AU162" s="240"/>
      <c r="AV162" s="240"/>
      <c r="AW162" s="240"/>
      <c r="AX162" s="240"/>
      <c r="AY162" s="250"/>
    </row>
    <row r="163" spans="1:51" ht="60" customHeight="1" x14ac:dyDescent="0.35">
      <c r="A163" s="246" t="s">
        <v>5680</v>
      </c>
      <c r="B163" s="234" t="s">
        <v>5681</v>
      </c>
      <c r="C163" s="234" t="s">
        <v>5682</v>
      </c>
      <c r="D163" s="234" t="s">
        <v>5677</v>
      </c>
      <c r="E163" s="234" t="s">
        <v>19</v>
      </c>
      <c r="F163" s="234" t="s">
        <v>5683</v>
      </c>
      <c r="G163" s="234" t="s">
        <v>19</v>
      </c>
      <c r="H163" s="234" t="s">
        <v>5684</v>
      </c>
      <c r="I163" s="234" t="s">
        <v>19</v>
      </c>
      <c r="J163" s="234" t="s">
        <v>5685</v>
      </c>
      <c r="K163" s="237" t="str">
        <f>IF(COUNTIF(L163:AY163,"&lt;&gt;")=0,"",SUMPRODUCT(((Recommendations[ImplStatus]="Implemented")+(Recommendations[ImplStatus]="Compensated"))*ISNUMBER(MATCH(Recommendations[Id],L163:AY163,0)))/COUNTIF(L163:AY163,"&lt;&gt;"))</f>
        <v/>
      </c>
      <c r="L163" s="240"/>
      <c r="M163" s="240"/>
      <c r="N163" s="240"/>
      <c r="O163" s="240"/>
      <c r="P163" s="240"/>
      <c r="Q163" s="240"/>
      <c r="R163" s="240"/>
      <c r="S163" s="240"/>
      <c r="T163" s="240"/>
      <c r="U163" s="240"/>
      <c r="V163" s="240"/>
      <c r="W163" s="240"/>
      <c r="X163" s="240"/>
      <c r="Y163" s="240"/>
      <c r="Z163" s="240"/>
      <c r="AA163" s="240"/>
      <c r="AB163" s="240"/>
      <c r="AC163" s="240"/>
      <c r="AD163" s="240"/>
      <c r="AE163" s="240"/>
      <c r="AF163" s="240"/>
      <c r="AG163" s="240"/>
      <c r="AH163" s="240"/>
      <c r="AI163" s="240"/>
      <c r="AJ163" s="240"/>
      <c r="AK163" s="240"/>
      <c r="AL163" s="240"/>
      <c r="AM163" s="240"/>
      <c r="AN163" s="240"/>
      <c r="AO163" s="240"/>
      <c r="AP163" s="240"/>
      <c r="AQ163" s="240"/>
      <c r="AR163" s="240"/>
      <c r="AS163" s="240"/>
      <c r="AT163" s="240"/>
      <c r="AU163" s="240"/>
      <c r="AV163" s="240"/>
      <c r="AW163" s="240"/>
      <c r="AX163" s="240"/>
      <c r="AY163" s="250"/>
    </row>
    <row r="164" spans="1:51" ht="60" customHeight="1" x14ac:dyDescent="0.35">
      <c r="A164" s="246" t="s">
        <v>5686</v>
      </c>
      <c r="B164" s="234" t="s">
        <v>5687</v>
      </c>
      <c r="C164" s="234" t="s">
        <v>5688</v>
      </c>
      <c r="D164" s="234" t="s">
        <v>5689</v>
      </c>
      <c r="E164" s="234" t="s">
        <v>19</v>
      </c>
      <c r="F164" s="234" t="s">
        <v>19</v>
      </c>
      <c r="G164" s="234" t="s">
        <v>19</v>
      </c>
      <c r="H164" s="234" t="s">
        <v>5690</v>
      </c>
      <c r="I164" s="234" t="s">
        <v>5691</v>
      </c>
      <c r="J164" s="234" t="s">
        <v>5692</v>
      </c>
      <c r="K164" s="237">
        <f>IF(COUNTIF(L164:AY164,"&lt;&gt;")=0,"",SUMPRODUCT(((Recommendations[ImplStatus]="Implemented")+(Recommendations[ImplStatus]="Compensated"))*ISNUMBER(MATCH(Recommendations[Id],L164:AY164,0)))/COUNTIF(L164:AY164,"&lt;&gt;"))</f>
        <v>0</v>
      </c>
      <c r="L164" s="240" t="s">
        <v>593</v>
      </c>
      <c r="M164" s="240" t="s">
        <v>598</v>
      </c>
      <c r="N164" s="240" t="s">
        <v>603</v>
      </c>
      <c r="O164" s="240" t="s">
        <v>607</v>
      </c>
      <c r="P164" s="240" t="s">
        <v>611</v>
      </c>
      <c r="Q164" s="240" t="s">
        <v>615</v>
      </c>
      <c r="R164" s="240" t="s">
        <v>619</v>
      </c>
      <c r="S164" s="240" t="s">
        <v>623</v>
      </c>
      <c r="T164" s="240" t="s">
        <v>644</v>
      </c>
      <c r="U164" s="240" t="s">
        <v>648</v>
      </c>
      <c r="V164" s="240" t="s">
        <v>658</v>
      </c>
      <c r="W164" s="240" t="s">
        <v>663</v>
      </c>
      <c r="X164" s="240"/>
      <c r="Y164" s="240"/>
      <c r="Z164" s="240"/>
      <c r="AA164" s="240"/>
      <c r="AB164" s="240"/>
      <c r="AC164" s="240"/>
      <c r="AD164" s="240"/>
      <c r="AE164" s="240"/>
      <c r="AF164" s="240"/>
      <c r="AG164" s="240"/>
      <c r="AH164" s="240"/>
      <c r="AI164" s="240"/>
      <c r="AJ164" s="240"/>
      <c r="AK164" s="240"/>
      <c r="AL164" s="240"/>
      <c r="AM164" s="240"/>
      <c r="AN164" s="240"/>
      <c r="AO164" s="240"/>
      <c r="AP164" s="240"/>
      <c r="AQ164" s="240"/>
      <c r="AR164" s="240"/>
      <c r="AS164" s="240"/>
      <c r="AT164" s="240"/>
      <c r="AU164" s="240"/>
      <c r="AV164" s="240"/>
      <c r="AW164" s="240"/>
      <c r="AX164" s="240"/>
      <c r="AY164" s="250"/>
    </row>
    <row r="165" spans="1:51" ht="60" customHeight="1" x14ac:dyDescent="0.35">
      <c r="A165" s="246" t="s">
        <v>5693</v>
      </c>
      <c r="B165" s="234" t="s">
        <v>5694</v>
      </c>
      <c r="C165" s="234" t="s">
        <v>5695</v>
      </c>
      <c r="D165" s="234" t="s">
        <v>19</v>
      </c>
      <c r="E165" s="234" t="s">
        <v>19</v>
      </c>
      <c r="F165" s="234" t="s">
        <v>19</v>
      </c>
      <c r="G165" s="234" t="s">
        <v>19</v>
      </c>
      <c r="H165" s="234" t="s">
        <v>5696</v>
      </c>
      <c r="I165" s="234" t="s">
        <v>19</v>
      </c>
      <c r="J165" s="234" t="s">
        <v>5697</v>
      </c>
      <c r="K165" s="237" t="str">
        <f>IF(COUNTIF(L165:AY165,"&lt;&gt;")=0,"",SUMPRODUCT(((Recommendations[ImplStatus]="Implemented")+(Recommendations[ImplStatus]="Compensated"))*ISNUMBER(MATCH(Recommendations[Id],L165:AY165,0)))/COUNTIF(L165:AY165,"&lt;&gt;"))</f>
        <v/>
      </c>
      <c r="L165" s="240"/>
      <c r="M165" s="240"/>
      <c r="N165" s="240"/>
      <c r="O165" s="240"/>
      <c r="P165" s="240"/>
      <c r="Q165" s="240"/>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50"/>
    </row>
    <row r="166" spans="1:51" ht="60" customHeight="1" x14ac:dyDescent="0.35">
      <c r="A166" s="246" t="s">
        <v>5698</v>
      </c>
      <c r="B166" s="234" t="s">
        <v>5699</v>
      </c>
      <c r="C166" s="234" t="s">
        <v>5700</v>
      </c>
      <c r="D166" s="234" t="s">
        <v>5701</v>
      </c>
      <c r="E166" s="234" t="s">
        <v>19</v>
      </c>
      <c r="F166" s="234" t="s">
        <v>19</v>
      </c>
      <c r="G166" s="234" t="s">
        <v>19</v>
      </c>
      <c r="H166" s="234" t="s">
        <v>5702</v>
      </c>
      <c r="I166" s="234" t="s">
        <v>5703</v>
      </c>
      <c r="J166" s="234" t="s">
        <v>5704</v>
      </c>
      <c r="K166" s="237">
        <f>IF(COUNTIF(L166:AY166,"&lt;&gt;")=0,"",SUMPRODUCT(((Recommendations[ImplStatus]="Implemented")+(Recommendations[ImplStatus]="Compensated"))*ISNUMBER(MATCH(Recommendations[Id],L166:AY166,0)))/COUNTIF(L166:AY166,"&lt;&gt;"))</f>
        <v>0</v>
      </c>
      <c r="L166" s="240" t="s">
        <v>725</v>
      </c>
      <c r="M166" s="240" t="s">
        <v>730</v>
      </c>
      <c r="N166" s="240" t="s">
        <v>735</v>
      </c>
      <c r="O166" s="240" t="s">
        <v>740</v>
      </c>
      <c r="P166" s="240" t="s">
        <v>745</v>
      </c>
      <c r="Q166" s="240" t="s">
        <v>750</v>
      </c>
      <c r="R166" s="240" t="s">
        <v>755</v>
      </c>
      <c r="S166" s="240" t="s">
        <v>760</v>
      </c>
      <c r="T166" s="240" t="s">
        <v>783</v>
      </c>
      <c r="U166" s="240" t="s">
        <v>821</v>
      </c>
      <c r="V166" s="240" t="s">
        <v>831</v>
      </c>
      <c r="W166" s="240" t="s">
        <v>1685</v>
      </c>
      <c r="X166" s="240" t="s">
        <v>1690</v>
      </c>
      <c r="Y166" s="240" t="s">
        <v>1695</v>
      </c>
      <c r="Z166" s="240" t="s">
        <v>1699</v>
      </c>
      <c r="AA166" s="240"/>
      <c r="AB166" s="240"/>
      <c r="AC166" s="240"/>
      <c r="AD166" s="240"/>
      <c r="AE166" s="240"/>
      <c r="AF166" s="240"/>
      <c r="AG166" s="240"/>
      <c r="AH166" s="240"/>
      <c r="AI166" s="240"/>
      <c r="AJ166" s="240"/>
      <c r="AK166" s="240"/>
      <c r="AL166" s="240"/>
      <c r="AM166" s="240"/>
      <c r="AN166" s="240"/>
      <c r="AO166" s="240"/>
      <c r="AP166" s="240"/>
      <c r="AQ166" s="240"/>
      <c r="AR166" s="240"/>
      <c r="AS166" s="240"/>
      <c r="AT166" s="240"/>
      <c r="AU166" s="240"/>
      <c r="AV166" s="240"/>
      <c r="AW166" s="240"/>
      <c r="AX166" s="240"/>
      <c r="AY166" s="250"/>
    </row>
    <row r="167" spans="1:51" ht="60" customHeight="1" x14ac:dyDescent="0.35">
      <c r="A167" s="246" t="s">
        <v>5705</v>
      </c>
      <c r="B167" s="234" t="s">
        <v>5706</v>
      </c>
      <c r="C167" s="234" t="s">
        <v>5707</v>
      </c>
      <c r="D167" s="234" t="s">
        <v>19</v>
      </c>
      <c r="E167" s="234" t="s">
        <v>19</v>
      </c>
      <c r="F167" s="234" t="s">
        <v>19</v>
      </c>
      <c r="G167" s="234" t="s">
        <v>19</v>
      </c>
      <c r="H167" s="234" t="s">
        <v>5708</v>
      </c>
      <c r="I167" s="234" t="s">
        <v>5709</v>
      </c>
      <c r="J167" s="234" t="s">
        <v>5710</v>
      </c>
      <c r="K167" s="237" t="str">
        <f>IF(COUNTIF(L167:AY167,"&lt;&gt;")=0,"",SUMPRODUCT(((Recommendations[ImplStatus]="Implemented")+(Recommendations[ImplStatus]="Compensated"))*ISNUMBER(MATCH(Recommendations[Id],L167:AY167,0)))/COUNTIF(L167:AY167,"&lt;&gt;"))</f>
        <v/>
      </c>
      <c r="L167" s="240"/>
      <c r="M167" s="240"/>
      <c r="N167" s="240"/>
      <c r="O167" s="240"/>
      <c r="P167" s="240"/>
      <c r="Q167" s="240"/>
      <c r="R167" s="240"/>
      <c r="S167" s="240"/>
      <c r="T167" s="240"/>
      <c r="U167" s="240"/>
      <c r="V167" s="240"/>
      <c r="W167" s="240"/>
      <c r="X167" s="240"/>
      <c r="Y167" s="240"/>
      <c r="Z167" s="240"/>
      <c r="AA167" s="240"/>
      <c r="AB167" s="240"/>
      <c r="AC167" s="240"/>
      <c r="AD167" s="240"/>
      <c r="AE167" s="240"/>
      <c r="AF167" s="240"/>
      <c r="AG167" s="240"/>
      <c r="AH167" s="240"/>
      <c r="AI167" s="240"/>
      <c r="AJ167" s="240"/>
      <c r="AK167" s="240"/>
      <c r="AL167" s="240"/>
      <c r="AM167" s="240"/>
      <c r="AN167" s="240"/>
      <c r="AO167" s="240"/>
      <c r="AP167" s="240"/>
      <c r="AQ167" s="240"/>
      <c r="AR167" s="240"/>
      <c r="AS167" s="240"/>
      <c r="AT167" s="240"/>
      <c r="AU167" s="240"/>
      <c r="AV167" s="240"/>
      <c r="AW167" s="240"/>
      <c r="AX167" s="240"/>
      <c r="AY167" s="250"/>
    </row>
    <row r="168" spans="1:51" ht="60" customHeight="1" x14ac:dyDescent="0.35">
      <c r="A168" s="246" t="s">
        <v>5711</v>
      </c>
      <c r="B168" s="234" t="s">
        <v>5712</v>
      </c>
      <c r="C168" s="234" t="s">
        <v>5713</v>
      </c>
      <c r="D168" s="234" t="s">
        <v>5714</v>
      </c>
      <c r="E168" s="234" t="s">
        <v>19</v>
      </c>
      <c r="F168" s="234" t="s">
        <v>19</v>
      </c>
      <c r="G168" s="234" t="s">
        <v>19</v>
      </c>
      <c r="H168" s="234" t="s">
        <v>5715</v>
      </c>
      <c r="I168" s="234" t="s">
        <v>19</v>
      </c>
      <c r="J168" s="234" t="s">
        <v>5716</v>
      </c>
      <c r="K168" s="237" t="str">
        <f>IF(COUNTIF(L168:AY168,"&lt;&gt;")=0,"",SUMPRODUCT(((Recommendations[ImplStatus]="Implemented")+(Recommendations[ImplStatus]="Compensated"))*ISNUMBER(MATCH(Recommendations[Id],L168:AY168,0)))/COUNTIF(L168:AY168,"&lt;&gt;"))</f>
        <v/>
      </c>
      <c r="L168" s="240"/>
      <c r="M168" s="240"/>
      <c r="N168" s="240"/>
      <c r="O168" s="240"/>
      <c r="P168" s="240"/>
      <c r="Q168" s="240"/>
      <c r="R168" s="240"/>
      <c r="S168" s="240"/>
      <c r="T168" s="240"/>
      <c r="U168" s="240"/>
      <c r="V168" s="240"/>
      <c r="W168" s="240"/>
      <c r="X168" s="240"/>
      <c r="Y168" s="240"/>
      <c r="Z168" s="240"/>
      <c r="AA168" s="240"/>
      <c r="AB168" s="240"/>
      <c r="AC168" s="240"/>
      <c r="AD168" s="240"/>
      <c r="AE168" s="240"/>
      <c r="AF168" s="240"/>
      <c r="AG168" s="240"/>
      <c r="AH168" s="240"/>
      <c r="AI168" s="240"/>
      <c r="AJ168" s="240"/>
      <c r="AK168" s="240"/>
      <c r="AL168" s="240"/>
      <c r="AM168" s="240"/>
      <c r="AN168" s="240"/>
      <c r="AO168" s="240"/>
      <c r="AP168" s="240"/>
      <c r="AQ168" s="240"/>
      <c r="AR168" s="240"/>
      <c r="AS168" s="240"/>
      <c r="AT168" s="240"/>
      <c r="AU168" s="240"/>
      <c r="AV168" s="240"/>
      <c r="AW168" s="240"/>
      <c r="AX168" s="240"/>
      <c r="AY168" s="250"/>
    </row>
    <row r="169" spans="1:51" ht="60" customHeight="1" x14ac:dyDescent="0.35">
      <c r="A169" s="246" t="s">
        <v>5717</v>
      </c>
      <c r="B169" s="234" t="s">
        <v>5718</v>
      </c>
      <c r="C169" s="234" t="s">
        <v>5719</v>
      </c>
      <c r="D169" s="234" t="s">
        <v>5720</v>
      </c>
      <c r="E169" s="234" t="s">
        <v>19</v>
      </c>
      <c r="F169" s="234" t="s">
        <v>19</v>
      </c>
      <c r="G169" s="234" t="s">
        <v>5721</v>
      </c>
      <c r="H169" s="234" t="s">
        <v>5722</v>
      </c>
      <c r="I169" s="234" t="s">
        <v>5723</v>
      </c>
      <c r="J169" s="234" t="s">
        <v>5724</v>
      </c>
      <c r="K169" s="237">
        <f>IF(COUNTIF(L169:AY169,"&lt;&gt;")=0,"",SUMPRODUCT(((Recommendations[ImplStatus]="Implemented")+(Recommendations[ImplStatus]="Compensated"))*ISNUMBER(MATCH(Recommendations[Id],L169:AY169,0)))/COUNTIF(L169:AY169,"&lt;&gt;"))</f>
        <v>0</v>
      </c>
      <c r="L169" s="240" t="s">
        <v>774</v>
      </c>
      <c r="M169" s="240" t="s">
        <v>779</v>
      </c>
      <c r="N169" s="240"/>
      <c r="O169" s="240"/>
      <c r="P169" s="240"/>
      <c r="Q169" s="240"/>
      <c r="R169" s="240"/>
      <c r="S169" s="240"/>
      <c r="T169" s="240"/>
      <c r="U169" s="240"/>
      <c r="V169" s="240"/>
      <c r="W169" s="240"/>
      <c r="X169" s="240"/>
      <c r="Y169" s="240"/>
      <c r="Z169" s="240"/>
      <c r="AA169" s="240"/>
      <c r="AB169" s="240"/>
      <c r="AC169" s="240"/>
      <c r="AD169" s="240"/>
      <c r="AE169" s="240"/>
      <c r="AF169" s="240"/>
      <c r="AG169" s="240"/>
      <c r="AH169" s="240"/>
      <c r="AI169" s="240"/>
      <c r="AJ169" s="240"/>
      <c r="AK169" s="240"/>
      <c r="AL169" s="240"/>
      <c r="AM169" s="240"/>
      <c r="AN169" s="240"/>
      <c r="AO169" s="240"/>
      <c r="AP169" s="240"/>
      <c r="AQ169" s="240"/>
      <c r="AR169" s="240"/>
      <c r="AS169" s="240"/>
      <c r="AT169" s="240"/>
      <c r="AU169" s="240"/>
      <c r="AV169" s="240"/>
      <c r="AW169" s="240"/>
      <c r="AX169" s="240"/>
      <c r="AY169" s="250"/>
    </row>
    <row r="170" spans="1:51" ht="60" customHeight="1" x14ac:dyDescent="0.35">
      <c r="A170" s="246" t="s">
        <v>5725</v>
      </c>
      <c r="B170" s="234" t="s">
        <v>5726</v>
      </c>
      <c r="C170" s="234" t="s">
        <v>5727</v>
      </c>
      <c r="D170" s="234" t="s">
        <v>5728</v>
      </c>
      <c r="E170" s="234" t="s">
        <v>19</v>
      </c>
      <c r="F170" s="234" t="s">
        <v>19</v>
      </c>
      <c r="G170" s="234" t="s">
        <v>19</v>
      </c>
      <c r="H170" s="234" t="s">
        <v>5729</v>
      </c>
      <c r="I170" s="234" t="s">
        <v>5730</v>
      </c>
      <c r="J170" s="234" t="s">
        <v>5731</v>
      </c>
      <c r="K170" s="237" t="str">
        <f>IF(COUNTIF(L170:AY170,"&lt;&gt;")=0,"",SUMPRODUCT(((Recommendations[ImplStatus]="Implemented")+(Recommendations[ImplStatus]="Compensated"))*ISNUMBER(MATCH(Recommendations[Id],L170:AY170,0)))/COUNTIF(L170:AY170,"&lt;&gt;"))</f>
        <v/>
      </c>
      <c r="L170" s="240"/>
      <c r="M170" s="240"/>
      <c r="N170" s="240"/>
      <c r="O170" s="240"/>
      <c r="P170" s="240"/>
      <c r="Q170" s="240"/>
      <c r="R170" s="240"/>
      <c r="S170" s="240"/>
      <c r="T170" s="240"/>
      <c r="U170" s="240"/>
      <c r="V170" s="240"/>
      <c r="W170" s="240"/>
      <c r="X170" s="240"/>
      <c r="Y170" s="240"/>
      <c r="Z170" s="240"/>
      <c r="AA170" s="240"/>
      <c r="AB170" s="240"/>
      <c r="AC170" s="240"/>
      <c r="AD170" s="240"/>
      <c r="AE170" s="240"/>
      <c r="AF170" s="240"/>
      <c r="AG170" s="240"/>
      <c r="AH170" s="240"/>
      <c r="AI170" s="240"/>
      <c r="AJ170" s="240"/>
      <c r="AK170" s="240"/>
      <c r="AL170" s="240"/>
      <c r="AM170" s="240"/>
      <c r="AN170" s="240"/>
      <c r="AO170" s="240"/>
      <c r="AP170" s="240"/>
      <c r="AQ170" s="240"/>
      <c r="AR170" s="240"/>
      <c r="AS170" s="240"/>
      <c r="AT170" s="240"/>
      <c r="AU170" s="240"/>
      <c r="AV170" s="240"/>
      <c r="AW170" s="240"/>
      <c r="AX170" s="240"/>
      <c r="AY170" s="250"/>
    </row>
    <row r="171" spans="1:51" ht="60" customHeight="1" x14ac:dyDescent="0.35">
      <c r="A171" s="246" t="s">
        <v>5732</v>
      </c>
      <c r="B171" s="234" t="s">
        <v>5733</v>
      </c>
      <c r="C171" s="234" t="s">
        <v>5727</v>
      </c>
      <c r="D171" s="234" t="s">
        <v>5734</v>
      </c>
      <c r="E171" s="234" t="s">
        <v>19</v>
      </c>
      <c r="F171" s="234" t="s">
        <v>19</v>
      </c>
      <c r="G171" s="234" t="s">
        <v>5735</v>
      </c>
      <c r="H171" s="234" t="s">
        <v>5729</v>
      </c>
      <c r="I171" s="234" t="s">
        <v>5736</v>
      </c>
      <c r="J171" s="234" t="s">
        <v>5737</v>
      </c>
      <c r="K171" s="237" t="str">
        <f>IF(COUNTIF(L171:AY171,"&lt;&gt;")=0,"",SUMPRODUCT(((Recommendations[ImplStatus]="Implemented")+(Recommendations[ImplStatus]="Compensated"))*ISNUMBER(MATCH(Recommendations[Id],L171:AY171,0)))/COUNTIF(L171:AY171,"&lt;&gt;"))</f>
        <v/>
      </c>
      <c r="L171" s="240"/>
      <c r="M171" s="240"/>
      <c r="N171" s="240"/>
      <c r="O171" s="240"/>
      <c r="P171" s="240"/>
      <c r="Q171" s="240"/>
      <c r="R171" s="240"/>
      <c r="S171" s="240"/>
      <c r="T171" s="240"/>
      <c r="U171" s="240"/>
      <c r="V171" s="240"/>
      <c r="W171" s="240"/>
      <c r="X171" s="240"/>
      <c r="Y171" s="240"/>
      <c r="Z171" s="240"/>
      <c r="AA171" s="240"/>
      <c r="AB171" s="240"/>
      <c r="AC171" s="240"/>
      <c r="AD171" s="240"/>
      <c r="AE171" s="240"/>
      <c r="AF171" s="240"/>
      <c r="AG171" s="240"/>
      <c r="AH171" s="240"/>
      <c r="AI171" s="240"/>
      <c r="AJ171" s="240"/>
      <c r="AK171" s="240"/>
      <c r="AL171" s="240"/>
      <c r="AM171" s="240"/>
      <c r="AN171" s="240"/>
      <c r="AO171" s="240"/>
      <c r="AP171" s="240"/>
      <c r="AQ171" s="240"/>
      <c r="AR171" s="240"/>
      <c r="AS171" s="240"/>
      <c r="AT171" s="240"/>
      <c r="AU171" s="240"/>
      <c r="AV171" s="240"/>
      <c r="AW171" s="240"/>
      <c r="AX171" s="240"/>
      <c r="AY171" s="250"/>
    </row>
    <row r="172" spans="1:51" ht="60" customHeight="1" x14ac:dyDescent="0.35">
      <c r="A172" s="246" t="s">
        <v>5738</v>
      </c>
      <c r="B172" s="234" t="s">
        <v>5739</v>
      </c>
      <c r="C172" s="234" t="s">
        <v>5740</v>
      </c>
      <c r="D172" s="234" t="s">
        <v>5741</v>
      </c>
      <c r="E172" s="234" t="s">
        <v>19</v>
      </c>
      <c r="F172" s="234" t="s">
        <v>19</v>
      </c>
      <c r="G172" s="234" t="s">
        <v>19</v>
      </c>
      <c r="H172" s="234" t="s">
        <v>5742</v>
      </c>
      <c r="I172" s="234" t="s">
        <v>19</v>
      </c>
      <c r="J172" s="234" t="s">
        <v>5743</v>
      </c>
      <c r="K172" s="237" t="str">
        <f>IF(COUNTIF(L172:AY172,"&lt;&gt;")=0,"",SUMPRODUCT(((Recommendations[ImplStatus]="Implemented")+(Recommendations[ImplStatus]="Compensated"))*ISNUMBER(MATCH(Recommendations[Id],L172:AY172,0)))/COUNTIF(L172:AY172,"&lt;&gt;"))</f>
        <v/>
      </c>
      <c r="L172" s="240"/>
      <c r="M172" s="240"/>
      <c r="N172" s="240"/>
      <c r="O172" s="240"/>
      <c r="P172" s="240"/>
      <c r="Q172" s="240"/>
      <c r="R172" s="240"/>
      <c r="S172" s="240"/>
      <c r="T172" s="240"/>
      <c r="U172" s="240"/>
      <c r="V172" s="240"/>
      <c r="W172" s="240"/>
      <c r="X172" s="240"/>
      <c r="Y172" s="240"/>
      <c r="Z172" s="240"/>
      <c r="AA172" s="240"/>
      <c r="AB172" s="240"/>
      <c r="AC172" s="240"/>
      <c r="AD172" s="240"/>
      <c r="AE172" s="240"/>
      <c r="AF172" s="240"/>
      <c r="AG172" s="240"/>
      <c r="AH172" s="240"/>
      <c r="AI172" s="240"/>
      <c r="AJ172" s="240"/>
      <c r="AK172" s="240"/>
      <c r="AL172" s="240"/>
      <c r="AM172" s="240"/>
      <c r="AN172" s="240"/>
      <c r="AO172" s="240"/>
      <c r="AP172" s="240"/>
      <c r="AQ172" s="240"/>
      <c r="AR172" s="240"/>
      <c r="AS172" s="240"/>
      <c r="AT172" s="240"/>
      <c r="AU172" s="240"/>
      <c r="AV172" s="240"/>
      <c r="AW172" s="240"/>
      <c r="AX172" s="240"/>
      <c r="AY172" s="250"/>
    </row>
    <row r="173" spans="1:51" ht="60" customHeight="1" outlineLevel="1" x14ac:dyDescent="0.35">
      <c r="A173" s="245" t="s">
        <v>2347</v>
      </c>
      <c r="B173" s="233" t="s">
        <v>5744</v>
      </c>
      <c r="C173" s="233"/>
      <c r="D173" s="233"/>
      <c r="E173" s="233"/>
      <c r="F173" s="233"/>
      <c r="G173" s="233"/>
      <c r="H173" s="233"/>
      <c r="I173" s="233"/>
      <c r="J173" s="233"/>
      <c r="K173" s="236" t="str">
        <f>IF(COUNTIF(L173:AY173,"&lt;&gt;")=0,"",SUMPRODUCT(((Recommendations[ImplStatus]="Implemented")+(Recommendations[ImplStatus]="Compensated"))*ISNUMBER(MATCH(Recommendations[Id],L173:AY173,0)))/COUNTIF(L173:AY173,"&lt;&gt;"))</f>
        <v/>
      </c>
      <c r="L173" s="239"/>
      <c r="M173" s="239"/>
      <c r="N173" s="239"/>
      <c r="O173" s="239"/>
      <c r="P173" s="239"/>
      <c r="Q173" s="239"/>
      <c r="R173" s="239"/>
      <c r="S173" s="239"/>
      <c r="T173" s="239"/>
      <c r="U173" s="239"/>
      <c r="V173" s="239"/>
      <c r="W173" s="239"/>
      <c r="X173" s="239"/>
      <c r="Y173" s="239"/>
      <c r="Z173" s="239"/>
      <c r="AA173" s="239"/>
      <c r="AB173" s="239"/>
      <c r="AC173" s="239"/>
      <c r="AD173" s="239"/>
      <c r="AE173" s="239"/>
      <c r="AF173" s="239"/>
      <c r="AG173" s="239"/>
      <c r="AH173" s="239"/>
      <c r="AI173" s="239"/>
      <c r="AJ173" s="239"/>
      <c r="AK173" s="239"/>
      <c r="AL173" s="239"/>
      <c r="AM173" s="239"/>
      <c r="AN173" s="239"/>
      <c r="AO173" s="239"/>
      <c r="AP173" s="239"/>
      <c r="AQ173" s="239"/>
      <c r="AR173" s="239"/>
      <c r="AS173" s="239"/>
      <c r="AT173" s="239"/>
      <c r="AU173" s="239"/>
      <c r="AV173" s="239"/>
      <c r="AW173" s="239"/>
      <c r="AX173" s="239"/>
      <c r="AY173" s="249"/>
    </row>
    <row r="174" spans="1:51" ht="60" customHeight="1" x14ac:dyDescent="0.35">
      <c r="A174" s="246" t="s">
        <v>5745</v>
      </c>
      <c r="B174" s="234" t="s">
        <v>5746</v>
      </c>
      <c r="C174" s="234" t="s">
        <v>5747</v>
      </c>
      <c r="D174" s="234" t="s">
        <v>5748</v>
      </c>
      <c r="E174" s="234" t="s">
        <v>5749</v>
      </c>
      <c r="F174" s="234" t="s">
        <v>19</v>
      </c>
      <c r="G174" s="234" t="s">
        <v>19</v>
      </c>
      <c r="H174" s="234" t="s">
        <v>5750</v>
      </c>
      <c r="I174" s="234" t="s">
        <v>5751</v>
      </c>
      <c r="J174" s="234" t="s">
        <v>5752</v>
      </c>
      <c r="K174" s="237" t="str">
        <f>IF(COUNTIF(L174:AY174,"&lt;&gt;")=0,"",SUMPRODUCT(((Recommendations[ImplStatus]="Implemented")+(Recommendations[ImplStatus]="Compensated"))*ISNUMBER(MATCH(Recommendations[Id],L174:AY174,0)))/COUNTIF(L174:AY174,"&lt;&gt;"))</f>
        <v/>
      </c>
      <c r="L174" s="240"/>
      <c r="M174" s="240"/>
      <c r="N174" s="240"/>
      <c r="O174" s="240"/>
      <c r="P174" s="240"/>
      <c r="Q174" s="240"/>
      <c r="R174" s="240"/>
      <c r="S174" s="240"/>
      <c r="T174" s="240"/>
      <c r="U174" s="240"/>
      <c r="V174" s="240"/>
      <c r="W174" s="240"/>
      <c r="X174" s="240"/>
      <c r="Y174" s="240"/>
      <c r="Z174" s="240"/>
      <c r="AA174" s="240"/>
      <c r="AB174" s="240"/>
      <c r="AC174" s="240"/>
      <c r="AD174" s="240"/>
      <c r="AE174" s="240"/>
      <c r="AF174" s="240"/>
      <c r="AG174" s="240"/>
      <c r="AH174" s="240"/>
      <c r="AI174" s="240"/>
      <c r="AJ174" s="240"/>
      <c r="AK174" s="240"/>
      <c r="AL174" s="240"/>
      <c r="AM174" s="240"/>
      <c r="AN174" s="240"/>
      <c r="AO174" s="240"/>
      <c r="AP174" s="240"/>
      <c r="AQ174" s="240"/>
      <c r="AR174" s="240"/>
      <c r="AS174" s="240"/>
      <c r="AT174" s="240"/>
      <c r="AU174" s="240"/>
      <c r="AV174" s="240"/>
      <c r="AW174" s="240"/>
      <c r="AX174" s="240"/>
      <c r="AY174" s="250"/>
    </row>
    <row r="175" spans="1:51" ht="60" customHeight="1" x14ac:dyDescent="0.35">
      <c r="A175" s="246" t="s">
        <v>5753</v>
      </c>
      <c r="B175" s="234" t="s">
        <v>5754</v>
      </c>
      <c r="C175" s="234" t="s">
        <v>5755</v>
      </c>
      <c r="D175" s="234" t="s">
        <v>19</v>
      </c>
      <c r="E175" s="234" t="s">
        <v>5756</v>
      </c>
      <c r="F175" s="234" t="s">
        <v>19</v>
      </c>
      <c r="G175" s="234" t="s">
        <v>19</v>
      </c>
      <c r="H175" s="234" t="s">
        <v>5757</v>
      </c>
      <c r="I175" s="234" t="s">
        <v>19</v>
      </c>
      <c r="J175" s="234" t="s">
        <v>5758</v>
      </c>
      <c r="K175" s="237">
        <f>IF(COUNTIF(L175:AY175,"&lt;&gt;")=0,"",SUMPRODUCT(((Recommendations[ImplStatus]="Implemented")+(Recommendations[ImplStatus]="Compensated"))*ISNUMBER(MATCH(Recommendations[Id],L175:AY175,0)))/COUNTIF(L175:AY175,"&lt;&gt;"))</f>
        <v>0</v>
      </c>
      <c r="L175" s="240" t="s">
        <v>240</v>
      </c>
      <c r="M175" s="240" t="s">
        <v>293</v>
      </c>
      <c r="N175" s="240" t="s">
        <v>298</v>
      </c>
      <c r="O175" s="240" t="s">
        <v>303</v>
      </c>
      <c r="P175" s="240" t="s">
        <v>720</v>
      </c>
      <c r="Q175" s="240" t="s">
        <v>793</v>
      </c>
      <c r="R175" s="240"/>
      <c r="S175" s="240"/>
      <c r="T175" s="240"/>
      <c r="U175" s="240"/>
      <c r="V175" s="240"/>
      <c r="W175" s="240"/>
      <c r="X175" s="240"/>
      <c r="Y175" s="240"/>
      <c r="Z175" s="240"/>
      <c r="AA175" s="240"/>
      <c r="AB175" s="240"/>
      <c r="AC175" s="240"/>
      <c r="AD175" s="240"/>
      <c r="AE175" s="240"/>
      <c r="AF175" s="240"/>
      <c r="AG175" s="240"/>
      <c r="AH175" s="240"/>
      <c r="AI175" s="240"/>
      <c r="AJ175" s="240"/>
      <c r="AK175" s="240"/>
      <c r="AL175" s="240"/>
      <c r="AM175" s="240"/>
      <c r="AN175" s="240"/>
      <c r="AO175" s="240"/>
      <c r="AP175" s="240"/>
      <c r="AQ175" s="240"/>
      <c r="AR175" s="240"/>
      <c r="AS175" s="240"/>
      <c r="AT175" s="240"/>
      <c r="AU175" s="240"/>
      <c r="AV175" s="240"/>
      <c r="AW175" s="240"/>
      <c r="AX175" s="240"/>
      <c r="AY175" s="250"/>
    </row>
    <row r="176" spans="1:51" ht="60" customHeight="1" x14ac:dyDescent="0.35">
      <c r="A176" s="246" t="s">
        <v>5759</v>
      </c>
      <c r="B176" s="234" t="s">
        <v>5760</v>
      </c>
      <c r="C176" s="234" t="s">
        <v>5761</v>
      </c>
      <c r="D176" s="234" t="s">
        <v>19</v>
      </c>
      <c r="E176" s="234" t="s">
        <v>5762</v>
      </c>
      <c r="F176" s="234" t="s">
        <v>19</v>
      </c>
      <c r="G176" s="234" t="s">
        <v>19</v>
      </c>
      <c r="H176" s="234" t="s">
        <v>5763</v>
      </c>
      <c r="I176" s="234" t="s">
        <v>5764</v>
      </c>
      <c r="J176" s="234" t="s">
        <v>5765</v>
      </c>
      <c r="K176" s="237" t="str">
        <f>IF(COUNTIF(L176:AY176,"&lt;&gt;")=0,"",SUMPRODUCT(((Recommendations[ImplStatus]="Implemented")+(Recommendations[ImplStatus]="Compensated"))*ISNUMBER(MATCH(Recommendations[Id],L176:AY176,0)))/COUNTIF(L176:AY176,"&lt;&gt;"))</f>
        <v/>
      </c>
      <c r="L176" s="240"/>
      <c r="M176" s="240"/>
      <c r="N176" s="240"/>
      <c r="O176" s="240"/>
      <c r="P176" s="240"/>
      <c r="Q176" s="240"/>
      <c r="R176" s="240"/>
      <c r="S176" s="240"/>
      <c r="T176" s="240"/>
      <c r="U176" s="240"/>
      <c r="V176" s="240"/>
      <c r="W176" s="240"/>
      <c r="X176" s="240"/>
      <c r="Y176" s="240"/>
      <c r="Z176" s="240"/>
      <c r="AA176" s="240"/>
      <c r="AB176" s="240"/>
      <c r="AC176" s="240"/>
      <c r="AD176" s="240"/>
      <c r="AE176" s="240"/>
      <c r="AF176" s="240"/>
      <c r="AG176" s="240"/>
      <c r="AH176" s="240"/>
      <c r="AI176" s="240"/>
      <c r="AJ176" s="240"/>
      <c r="AK176" s="240"/>
      <c r="AL176" s="240"/>
      <c r="AM176" s="240"/>
      <c r="AN176" s="240"/>
      <c r="AO176" s="240"/>
      <c r="AP176" s="240"/>
      <c r="AQ176" s="240"/>
      <c r="AR176" s="240"/>
      <c r="AS176" s="240"/>
      <c r="AT176" s="240"/>
      <c r="AU176" s="240"/>
      <c r="AV176" s="240"/>
      <c r="AW176" s="240"/>
      <c r="AX176" s="240"/>
      <c r="AY176" s="250"/>
    </row>
    <row r="177" spans="1:51" ht="60" customHeight="1" outlineLevel="1" x14ac:dyDescent="0.35">
      <c r="A177" s="245" t="s">
        <v>2352</v>
      </c>
      <c r="B177" s="233" t="s">
        <v>5766</v>
      </c>
      <c r="C177" s="233"/>
      <c r="D177" s="233"/>
      <c r="E177" s="233"/>
      <c r="F177" s="233"/>
      <c r="G177" s="233"/>
      <c r="H177" s="233"/>
      <c r="I177" s="233"/>
      <c r="J177" s="233"/>
      <c r="K177" s="236" t="str">
        <f>IF(COUNTIF(L177:AY177,"&lt;&gt;")=0,"",SUMPRODUCT(((Recommendations[ImplStatus]="Implemented")+(Recommendations[ImplStatus]="Compensated"))*ISNUMBER(MATCH(Recommendations[Id],L177:AY177,0)))/COUNTIF(L177:AY177,"&lt;&gt;"))</f>
        <v/>
      </c>
      <c r="L177" s="239"/>
      <c r="M177" s="239"/>
      <c r="N177" s="239"/>
      <c r="O177" s="239"/>
      <c r="P177" s="239"/>
      <c r="Q177" s="239"/>
      <c r="R177" s="239"/>
      <c r="S177" s="239"/>
      <c r="T177" s="239"/>
      <c r="U177" s="239"/>
      <c r="V177" s="239"/>
      <c r="W177" s="239"/>
      <c r="X177" s="239"/>
      <c r="Y177" s="239"/>
      <c r="Z177" s="239"/>
      <c r="AA177" s="239"/>
      <c r="AB177" s="239"/>
      <c r="AC177" s="239"/>
      <c r="AD177" s="239"/>
      <c r="AE177" s="239"/>
      <c r="AF177" s="239"/>
      <c r="AG177" s="239"/>
      <c r="AH177" s="239"/>
      <c r="AI177" s="239"/>
      <c r="AJ177" s="239"/>
      <c r="AK177" s="239"/>
      <c r="AL177" s="239"/>
      <c r="AM177" s="239"/>
      <c r="AN177" s="239"/>
      <c r="AO177" s="239"/>
      <c r="AP177" s="239"/>
      <c r="AQ177" s="239"/>
      <c r="AR177" s="239"/>
      <c r="AS177" s="239"/>
      <c r="AT177" s="239"/>
      <c r="AU177" s="239"/>
      <c r="AV177" s="239"/>
      <c r="AW177" s="239"/>
      <c r="AX177" s="239"/>
      <c r="AY177" s="249"/>
    </row>
    <row r="178" spans="1:51" ht="60" customHeight="1" x14ac:dyDescent="0.35">
      <c r="A178" s="246" t="s">
        <v>5767</v>
      </c>
      <c r="B178" s="234" t="s">
        <v>5768</v>
      </c>
      <c r="C178" s="234" t="s">
        <v>5769</v>
      </c>
      <c r="D178" s="234" t="s">
        <v>5770</v>
      </c>
      <c r="E178" s="234" t="s">
        <v>5771</v>
      </c>
      <c r="F178" s="234" t="s">
        <v>5772</v>
      </c>
      <c r="G178" s="234" t="s">
        <v>19</v>
      </c>
      <c r="H178" s="234" t="s">
        <v>5773</v>
      </c>
      <c r="I178" s="234" t="s">
        <v>5774</v>
      </c>
      <c r="J178" s="234" t="s">
        <v>5775</v>
      </c>
      <c r="K178" s="237" t="str">
        <f>IF(COUNTIF(L178:AY178,"&lt;&gt;")=0,"",SUMPRODUCT(((Recommendations[ImplStatus]="Implemented")+(Recommendations[ImplStatus]="Compensated"))*ISNUMBER(MATCH(Recommendations[Id],L178:AY178,0)))/COUNTIF(L178:AY178,"&lt;&gt;"))</f>
        <v/>
      </c>
      <c r="L178" s="240"/>
      <c r="M178" s="240"/>
      <c r="N178" s="240"/>
      <c r="O178" s="240"/>
      <c r="P178" s="240"/>
      <c r="Q178" s="240"/>
      <c r="R178" s="240"/>
      <c r="S178" s="240"/>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0"/>
      <c r="AT178" s="240"/>
      <c r="AU178" s="240"/>
      <c r="AV178" s="240"/>
      <c r="AW178" s="240"/>
      <c r="AX178" s="240"/>
      <c r="AY178" s="250"/>
    </row>
    <row r="179" spans="1:51" ht="60" customHeight="1" outlineLevel="1" x14ac:dyDescent="0.35">
      <c r="A179" s="245" t="s">
        <v>2356</v>
      </c>
      <c r="B179" s="233" t="s">
        <v>5776</v>
      </c>
      <c r="C179" s="233"/>
      <c r="D179" s="233"/>
      <c r="E179" s="233"/>
      <c r="F179" s="233"/>
      <c r="G179" s="233"/>
      <c r="H179" s="233"/>
      <c r="I179" s="233"/>
      <c r="J179" s="233"/>
      <c r="K179" s="236" t="str">
        <f>IF(COUNTIF(L179:AY179,"&lt;&gt;")=0,"",SUMPRODUCT(((Recommendations[ImplStatus]="Implemented")+(Recommendations[ImplStatus]="Compensated"))*ISNUMBER(MATCH(Recommendations[Id],L179:AY179,0)))/COUNTIF(L179:AY179,"&lt;&gt;"))</f>
        <v/>
      </c>
      <c r="L179" s="239"/>
      <c r="M179" s="239"/>
      <c r="N179" s="239"/>
      <c r="O179" s="239"/>
      <c r="P179" s="239"/>
      <c r="Q179" s="239"/>
      <c r="R179" s="239"/>
      <c r="S179" s="239"/>
      <c r="T179" s="239"/>
      <c r="U179" s="239"/>
      <c r="V179" s="239"/>
      <c r="W179" s="239"/>
      <c r="X179" s="239"/>
      <c r="Y179" s="239"/>
      <c r="Z179" s="239"/>
      <c r="AA179" s="239"/>
      <c r="AB179" s="239"/>
      <c r="AC179" s="239"/>
      <c r="AD179" s="239"/>
      <c r="AE179" s="239"/>
      <c r="AF179" s="239"/>
      <c r="AG179" s="239"/>
      <c r="AH179" s="239"/>
      <c r="AI179" s="239"/>
      <c r="AJ179" s="239"/>
      <c r="AK179" s="239"/>
      <c r="AL179" s="239"/>
      <c r="AM179" s="239"/>
      <c r="AN179" s="239"/>
      <c r="AO179" s="239"/>
      <c r="AP179" s="239"/>
      <c r="AQ179" s="239"/>
      <c r="AR179" s="239"/>
      <c r="AS179" s="239"/>
      <c r="AT179" s="239"/>
      <c r="AU179" s="239"/>
      <c r="AV179" s="239"/>
      <c r="AW179" s="239"/>
      <c r="AX179" s="239"/>
      <c r="AY179" s="249"/>
    </row>
    <row r="180" spans="1:51" ht="60" customHeight="1" x14ac:dyDescent="0.35">
      <c r="A180" s="246" t="s">
        <v>5777</v>
      </c>
      <c r="B180" s="234" t="s">
        <v>5778</v>
      </c>
      <c r="C180" s="234" t="s">
        <v>5779</v>
      </c>
      <c r="D180" s="234" t="s">
        <v>5770</v>
      </c>
      <c r="E180" s="234" t="s">
        <v>5780</v>
      </c>
      <c r="F180" s="234" t="s">
        <v>19</v>
      </c>
      <c r="G180" s="234" t="s">
        <v>19</v>
      </c>
      <c r="H180" s="234" t="s">
        <v>5781</v>
      </c>
      <c r="I180" s="234" t="s">
        <v>5293</v>
      </c>
      <c r="J180" s="234" t="s">
        <v>5782</v>
      </c>
      <c r="K180" s="237" t="str">
        <f>IF(COUNTIF(L180:AY180,"&lt;&gt;")=0,"",SUMPRODUCT(((Recommendations[ImplStatus]="Implemented")+(Recommendations[ImplStatus]="Compensated"))*ISNUMBER(MATCH(Recommendations[Id],L180:AY180,0)))/COUNTIF(L180:AY180,"&lt;&gt;"))</f>
        <v/>
      </c>
      <c r="L180" s="240"/>
      <c r="M180" s="240"/>
      <c r="N180" s="240"/>
      <c r="O180" s="240"/>
      <c r="P180" s="240"/>
      <c r="Q180" s="240"/>
      <c r="R180" s="240"/>
      <c r="S180" s="240"/>
      <c r="T180" s="240"/>
      <c r="U180" s="240"/>
      <c r="V180" s="240"/>
      <c r="W180" s="240"/>
      <c r="X180" s="240"/>
      <c r="Y180" s="240"/>
      <c r="Z180" s="240"/>
      <c r="AA180" s="240"/>
      <c r="AB180" s="240"/>
      <c r="AC180" s="240"/>
      <c r="AD180" s="240"/>
      <c r="AE180" s="240"/>
      <c r="AF180" s="240"/>
      <c r="AG180" s="240"/>
      <c r="AH180" s="240"/>
      <c r="AI180" s="240"/>
      <c r="AJ180" s="240"/>
      <c r="AK180" s="240"/>
      <c r="AL180" s="240"/>
      <c r="AM180" s="240"/>
      <c r="AN180" s="240"/>
      <c r="AO180" s="240"/>
      <c r="AP180" s="240"/>
      <c r="AQ180" s="240"/>
      <c r="AR180" s="240"/>
      <c r="AS180" s="240"/>
      <c r="AT180" s="240"/>
      <c r="AU180" s="240"/>
      <c r="AV180" s="240"/>
      <c r="AW180" s="240"/>
      <c r="AX180" s="240"/>
      <c r="AY180" s="250"/>
    </row>
    <row r="181" spans="1:51" ht="60" customHeight="1" x14ac:dyDescent="0.35">
      <c r="A181" s="246" t="s">
        <v>5783</v>
      </c>
      <c r="B181" s="234" t="s">
        <v>5784</v>
      </c>
      <c r="C181" s="234" t="s">
        <v>5785</v>
      </c>
      <c r="D181" s="234" t="s">
        <v>5786</v>
      </c>
      <c r="E181" s="234" t="s">
        <v>19</v>
      </c>
      <c r="F181" s="234" t="s">
        <v>19</v>
      </c>
      <c r="G181" s="234" t="s">
        <v>19</v>
      </c>
      <c r="H181" s="234" t="s">
        <v>5787</v>
      </c>
      <c r="I181" s="234" t="s">
        <v>5788</v>
      </c>
      <c r="J181" s="234" t="s">
        <v>5789</v>
      </c>
      <c r="K181" s="237" t="str">
        <f>IF(COUNTIF(L181:AY181,"&lt;&gt;")=0,"",SUMPRODUCT(((Recommendations[ImplStatus]="Implemented")+(Recommendations[ImplStatus]="Compensated"))*ISNUMBER(MATCH(Recommendations[Id],L181:AY181,0)))/COUNTIF(L181:AY181,"&lt;&gt;"))</f>
        <v/>
      </c>
      <c r="L181" s="240"/>
      <c r="M181" s="240"/>
      <c r="N181" s="240"/>
      <c r="O181" s="240"/>
      <c r="P181" s="240"/>
      <c r="Q181" s="240"/>
      <c r="R181" s="240"/>
      <c r="S181" s="240"/>
      <c r="T181" s="240"/>
      <c r="U181" s="240"/>
      <c r="V181" s="240"/>
      <c r="W181" s="240"/>
      <c r="X181" s="240"/>
      <c r="Y181" s="240"/>
      <c r="Z181" s="240"/>
      <c r="AA181" s="240"/>
      <c r="AB181" s="240"/>
      <c r="AC181" s="240"/>
      <c r="AD181" s="240"/>
      <c r="AE181" s="240"/>
      <c r="AF181" s="240"/>
      <c r="AG181" s="240"/>
      <c r="AH181" s="240"/>
      <c r="AI181" s="240"/>
      <c r="AJ181" s="240"/>
      <c r="AK181" s="240"/>
      <c r="AL181" s="240"/>
      <c r="AM181" s="240"/>
      <c r="AN181" s="240"/>
      <c r="AO181" s="240"/>
      <c r="AP181" s="240"/>
      <c r="AQ181" s="240"/>
      <c r="AR181" s="240"/>
      <c r="AS181" s="240"/>
      <c r="AT181" s="240"/>
      <c r="AU181" s="240"/>
      <c r="AV181" s="240"/>
      <c r="AW181" s="240"/>
      <c r="AX181" s="240"/>
      <c r="AY181" s="250"/>
    </row>
    <row r="182" spans="1:51" ht="60" customHeight="1" x14ac:dyDescent="0.35">
      <c r="A182" s="246" t="s">
        <v>5790</v>
      </c>
      <c r="B182" s="234" t="s">
        <v>5791</v>
      </c>
      <c r="C182" s="234" t="s">
        <v>5792</v>
      </c>
      <c r="D182" s="234" t="s">
        <v>5793</v>
      </c>
      <c r="E182" s="234" t="s">
        <v>19</v>
      </c>
      <c r="F182" s="234" t="s">
        <v>19</v>
      </c>
      <c r="G182" s="234" t="s">
        <v>19</v>
      </c>
      <c r="H182" s="234" t="s">
        <v>5794</v>
      </c>
      <c r="I182" s="234" t="s">
        <v>5293</v>
      </c>
      <c r="J182" s="234" t="s">
        <v>5795</v>
      </c>
      <c r="K182" s="237" t="str">
        <f>IF(COUNTIF(L182:AY182,"&lt;&gt;")=0,"",SUMPRODUCT(((Recommendations[ImplStatus]="Implemented")+(Recommendations[ImplStatus]="Compensated"))*ISNUMBER(MATCH(Recommendations[Id],L182:AY182,0)))/COUNTIF(L182:AY182,"&lt;&gt;"))</f>
        <v/>
      </c>
      <c r="L182" s="240"/>
      <c r="M182" s="240"/>
      <c r="N182" s="240"/>
      <c r="O182" s="240"/>
      <c r="P182" s="240"/>
      <c r="Q182" s="240"/>
      <c r="R182" s="240"/>
      <c r="S182" s="240"/>
      <c r="T182" s="240"/>
      <c r="U182" s="240"/>
      <c r="V182" s="240"/>
      <c r="W182" s="240"/>
      <c r="X182" s="240"/>
      <c r="Y182" s="240"/>
      <c r="Z182" s="240"/>
      <c r="AA182" s="240"/>
      <c r="AB182" s="240"/>
      <c r="AC182" s="240"/>
      <c r="AD182" s="240"/>
      <c r="AE182" s="240"/>
      <c r="AF182" s="240"/>
      <c r="AG182" s="240"/>
      <c r="AH182" s="240"/>
      <c r="AI182" s="240"/>
      <c r="AJ182" s="240"/>
      <c r="AK182" s="240"/>
      <c r="AL182" s="240"/>
      <c r="AM182" s="240"/>
      <c r="AN182" s="240"/>
      <c r="AO182" s="240"/>
      <c r="AP182" s="240"/>
      <c r="AQ182" s="240"/>
      <c r="AR182" s="240"/>
      <c r="AS182" s="240"/>
      <c r="AT182" s="240"/>
      <c r="AU182" s="240"/>
      <c r="AV182" s="240"/>
      <c r="AW182" s="240"/>
      <c r="AX182" s="240"/>
      <c r="AY182" s="250"/>
    </row>
    <row r="183" spans="1:51" ht="60" customHeight="1" outlineLevel="1" x14ac:dyDescent="0.35">
      <c r="A183" s="244" t="s">
        <v>5796</v>
      </c>
      <c r="B183" s="232" t="s">
        <v>5797</v>
      </c>
      <c r="C183" s="232"/>
      <c r="D183" s="232"/>
      <c r="E183" s="232"/>
      <c r="F183" s="232"/>
      <c r="G183" s="232"/>
      <c r="H183" s="232"/>
      <c r="I183" s="232"/>
      <c r="J183" s="232"/>
      <c r="K183" s="235" t="str">
        <f>IF(COUNTIF(L183:AY183,"&lt;&gt;")=0,"",SUMPRODUCT(((Recommendations[ImplStatus]="Implemented")+(Recommendations[ImplStatus]="Compensated"))*ISNUMBER(MATCH(Recommendations[Id],L183:AY183,0)))/COUNTIF(L183:AY183,"&lt;&gt;"))</f>
        <v/>
      </c>
      <c r="L183" s="238"/>
      <c r="M183" s="238"/>
      <c r="N183" s="238"/>
      <c r="O183" s="238"/>
      <c r="P183" s="238"/>
      <c r="Q183" s="238"/>
      <c r="R183" s="238"/>
      <c r="S183" s="238"/>
      <c r="T183" s="238"/>
      <c r="U183" s="238"/>
      <c r="V183" s="238"/>
      <c r="W183" s="238"/>
      <c r="X183" s="238"/>
      <c r="Y183" s="238"/>
      <c r="Z183" s="238"/>
      <c r="AA183" s="238"/>
      <c r="AB183" s="238"/>
      <c r="AC183" s="238"/>
      <c r="AD183" s="238"/>
      <c r="AE183" s="238"/>
      <c r="AF183" s="238"/>
      <c r="AG183" s="238"/>
      <c r="AH183" s="238"/>
      <c r="AI183" s="238"/>
      <c r="AJ183" s="238"/>
      <c r="AK183" s="238"/>
      <c r="AL183" s="238"/>
      <c r="AM183" s="238"/>
      <c r="AN183" s="238"/>
      <c r="AO183" s="238"/>
      <c r="AP183" s="238"/>
      <c r="AQ183" s="238"/>
      <c r="AR183" s="238"/>
      <c r="AS183" s="238"/>
      <c r="AT183" s="238"/>
      <c r="AU183" s="238"/>
      <c r="AV183" s="238"/>
      <c r="AW183" s="238"/>
      <c r="AX183" s="238"/>
      <c r="AY183" s="248"/>
    </row>
    <row r="184" spans="1:51" ht="60" customHeight="1" outlineLevel="1" x14ac:dyDescent="0.35">
      <c r="A184" s="245" t="s">
        <v>2386</v>
      </c>
      <c r="B184" s="233" t="s">
        <v>5798</v>
      </c>
      <c r="C184" s="233"/>
      <c r="D184" s="233"/>
      <c r="E184" s="233"/>
      <c r="F184" s="233"/>
      <c r="G184" s="233"/>
      <c r="H184" s="233"/>
      <c r="I184" s="233"/>
      <c r="J184" s="233"/>
      <c r="K184" s="236" t="str">
        <f>IF(COUNTIF(L184:AY184,"&lt;&gt;")=0,"",SUMPRODUCT(((Recommendations[ImplStatus]="Implemented")+(Recommendations[ImplStatus]="Compensated"))*ISNUMBER(MATCH(Recommendations[Id],L184:AY184,0)))/COUNTIF(L184:AY184,"&lt;&gt;"))</f>
        <v/>
      </c>
      <c r="L184" s="239"/>
      <c r="M184" s="239"/>
      <c r="N184" s="239"/>
      <c r="O184" s="239"/>
      <c r="P184" s="239"/>
      <c r="Q184" s="239"/>
      <c r="R184" s="239"/>
      <c r="S184" s="239"/>
      <c r="T184" s="239"/>
      <c r="U184" s="239"/>
      <c r="V184" s="239"/>
      <c r="W184" s="239"/>
      <c r="X184" s="239"/>
      <c r="Y184" s="239"/>
      <c r="Z184" s="239"/>
      <c r="AA184" s="239"/>
      <c r="AB184" s="239"/>
      <c r="AC184" s="239"/>
      <c r="AD184" s="239"/>
      <c r="AE184" s="239"/>
      <c r="AF184" s="239"/>
      <c r="AG184" s="239"/>
      <c r="AH184" s="239"/>
      <c r="AI184" s="239"/>
      <c r="AJ184" s="239"/>
      <c r="AK184" s="239"/>
      <c r="AL184" s="239"/>
      <c r="AM184" s="239"/>
      <c r="AN184" s="239"/>
      <c r="AO184" s="239"/>
      <c r="AP184" s="239"/>
      <c r="AQ184" s="239"/>
      <c r="AR184" s="239"/>
      <c r="AS184" s="239"/>
      <c r="AT184" s="239"/>
      <c r="AU184" s="239"/>
      <c r="AV184" s="239"/>
      <c r="AW184" s="239"/>
      <c r="AX184" s="239"/>
      <c r="AY184" s="249"/>
    </row>
    <row r="185" spans="1:51" ht="60" customHeight="1" x14ac:dyDescent="0.35">
      <c r="A185" s="246" t="s">
        <v>5799</v>
      </c>
      <c r="B185" s="234" t="s">
        <v>5800</v>
      </c>
      <c r="C185" s="234" t="s">
        <v>5801</v>
      </c>
      <c r="D185" s="234" t="s">
        <v>5065</v>
      </c>
      <c r="E185" s="234" t="s">
        <v>5802</v>
      </c>
      <c r="F185" s="234" t="s">
        <v>19</v>
      </c>
      <c r="G185" s="234" t="s">
        <v>19</v>
      </c>
      <c r="H185" s="234" t="s">
        <v>5803</v>
      </c>
      <c r="I185" s="234" t="s">
        <v>19</v>
      </c>
      <c r="J185" s="234" t="s">
        <v>5804</v>
      </c>
      <c r="K185" s="237" t="str">
        <f>IF(COUNTIF(L185:AY185,"&lt;&gt;")=0,"",SUMPRODUCT(((Recommendations[ImplStatus]="Implemented")+(Recommendations[ImplStatus]="Compensated"))*ISNUMBER(MATCH(Recommendations[Id],L185:AY185,0)))/COUNTIF(L185:AY185,"&lt;&gt;"))</f>
        <v/>
      </c>
      <c r="L185" s="240"/>
      <c r="M185" s="240"/>
      <c r="N185" s="240"/>
      <c r="O185" s="240"/>
      <c r="P185" s="240"/>
      <c r="Q185" s="240"/>
      <c r="R185" s="240"/>
      <c r="S185" s="240"/>
      <c r="T185" s="240"/>
      <c r="U185" s="240"/>
      <c r="V185" s="240"/>
      <c r="W185" s="240"/>
      <c r="X185" s="240"/>
      <c r="Y185" s="240"/>
      <c r="Z185" s="240"/>
      <c r="AA185" s="240"/>
      <c r="AB185" s="240"/>
      <c r="AC185" s="240"/>
      <c r="AD185" s="240"/>
      <c r="AE185" s="240"/>
      <c r="AF185" s="240"/>
      <c r="AG185" s="240"/>
      <c r="AH185" s="240"/>
      <c r="AI185" s="240"/>
      <c r="AJ185" s="240"/>
      <c r="AK185" s="240"/>
      <c r="AL185" s="240"/>
      <c r="AM185" s="240"/>
      <c r="AN185" s="240"/>
      <c r="AO185" s="240"/>
      <c r="AP185" s="240"/>
      <c r="AQ185" s="240"/>
      <c r="AR185" s="240"/>
      <c r="AS185" s="240"/>
      <c r="AT185" s="240"/>
      <c r="AU185" s="240"/>
      <c r="AV185" s="240"/>
      <c r="AW185" s="240"/>
      <c r="AX185" s="240"/>
      <c r="AY185" s="250"/>
    </row>
    <row r="186" spans="1:51" ht="60" customHeight="1" x14ac:dyDescent="0.35">
      <c r="A186" s="246" t="s">
        <v>5805</v>
      </c>
      <c r="B186" s="234" t="s">
        <v>5806</v>
      </c>
      <c r="C186" s="234" t="s">
        <v>5070</v>
      </c>
      <c r="D186" s="234" t="s">
        <v>5807</v>
      </c>
      <c r="E186" s="234" t="s">
        <v>19</v>
      </c>
      <c r="F186" s="234" t="s">
        <v>19</v>
      </c>
      <c r="G186" s="234" t="s">
        <v>19</v>
      </c>
      <c r="H186" s="234" t="s">
        <v>5808</v>
      </c>
      <c r="I186" s="234" t="s">
        <v>19</v>
      </c>
      <c r="J186" s="234" t="s">
        <v>5809</v>
      </c>
      <c r="K186" s="237" t="str">
        <f>IF(COUNTIF(L186:AY186,"&lt;&gt;")=0,"",SUMPRODUCT(((Recommendations[ImplStatus]="Implemented")+(Recommendations[ImplStatus]="Compensated"))*ISNUMBER(MATCH(Recommendations[Id],L186:AY186,0)))/COUNTIF(L186:AY186,"&lt;&gt;"))</f>
        <v/>
      </c>
      <c r="L186" s="240"/>
      <c r="M186" s="240"/>
      <c r="N186" s="240"/>
      <c r="O186" s="240"/>
      <c r="P186" s="240"/>
      <c r="Q186" s="240"/>
      <c r="R186" s="240"/>
      <c r="S186" s="240"/>
      <c r="T186" s="240"/>
      <c r="U186" s="240"/>
      <c r="V186" s="240"/>
      <c r="W186" s="240"/>
      <c r="X186" s="240"/>
      <c r="Y186" s="240"/>
      <c r="Z186" s="240"/>
      <c r="AA186" s="240"/>
      <c r="AB186" s="240"/>
      <c r="AC186" s="240"/>
      <c r="AD186" s="240"/>
      <c r="AE186" s="240"/>
      <c r="AF186" s="240"/>
      <c r="AG186" s="240"/>
      <c r="AH186" s="240"/>
      <c r="AI186" s="240"/>
      <c r="AJ186" s="240"/>
      <c r="AK186" s="240"/>
      <c r="AL186" s="240"/>
      <c r="AM186" s="240"/>
      <c r="AN186" s="240"/>
      <c r="AO186" s="240"/>
      <c r="AP186" s="240"/>
      <c r="AQ186" s="240"/>
      <c r="AR186" s="240"/>
      <c r="AS186" s="240"/>
      <c r="AT186" s="240"/>
      <c r="AU186" s="240"/>
      <c r="AV186" s="240"/>
      <c r="AW186" s="240"/>
      <c r="AX186" s="240"/>
      <c r="AY186" s="250"/>
    </row>
    <row r="187" spans="1:51" ht="60" customHeight="1" outlineLevel="1" x14ac:dyDescent="0.35">
      <c r="A187" s="245" t="s">
        <v>2390</v>
      </c>
      <c r="B187" s="233" t="s">
        <v>5810</v>
      </c>
      <c r="C187" s="233"/>
      <c r="D187" s="233"/>
      <c r="E187" s="233"/>
      <c r="F187" s="233"/>
      <c r="G187" s="233"/>
      <c r="H187" s="233"/>
      <c r="I187" s="233"/>
      <c r="J187" s="233"/>
      <c r="K187" s="236" t="str">
        <f>IF(COUNTIF(L187:AY187,"&lt;&gt;")=0,"",SUMPRODUCT(((Recommendations[ImplStatus]="Implemented")+(Recommendations[ImplStatus]="Compensated"))*ISNUMBER(MATCH(Recommendations[Id],L187:AY187,0)))/COUNTIF(L187:AY187,"&lt;&gt;"))</f>
        <v/>
      </c>
      <c r="L187" s="239"/>
      <c r="M187" s="239"/>
      <c r="N187" s="239"/>
      <c r="O187" s="239"/>
      <c r="P187" s="239"/>
      <c r="Q187" s="239"/>
      <c r="R187" s="239"/>
      <c r="S187" s="239"/>
      <c r="T187" s="239"/>
      <c r="U187" s="239"/>
      <c r="V187" s="239"/>
      <c r="W187" s="239"/>
      <c r="X187" s="239"/>
      <c r="Y187" s="239"/>
      <c r="Z187" s="239"/>
      <c r="AA187" s="239"/>
      <c r="AB187" s="239"/>
      <c r="AC187" s="239"/>
      <c r="AD187" s="239"/>
      <c r="AE187" s="239"/>
      <c r="AF187" s="239"/>
      <c r="AG187" s="239"/>
      <c r="AH187" s="239"/>
      <c r="AI187" s="239"/>
      <c r="AJ187" s="239"/>
      <c r="AK187" s="239"/>
      <c r="AL187" s="239"/>
      <c r="AM187" s="239"/>
      <c r="AN187" s="239"/>
      <c r="AO187" s="239"/>
      <c r="AP187" s="239"/>
      <c r="AQ187" s="239"/>
      <c r="AR187" s="239"/>
      <c r="AS187" s="239"/>
      <c r="AT187" s="239"/>
      <c r="AU187" s="239"/>
      <c r="AV187" s="239"/>
      <c r="AW187" s="239"/>
      <c r="AX187" s="239"/>
      <c r="AY187" s="249"/>
    </row>
    <row r="188" spans="1:51" ht="60" customHeight="1" x14ac:dyDescent="0.35">
      <c r="A188" s="246" t="s">
        <v>5811</v>
      </c>
      <c r="B188" s="234" t="s">
        <v>5812</v>
      </c>
      <c r="C188" s="234" t="s">
        <v>5813</v>
      </c>
      <c r="D188" s="234" t="s">
        <v>5814</v>
      </c>
      <c r="E188" s="234" t="s">
        <v>19</v>
      </c>
      <c r="F188" s="234" t="s">
        <v>5815</v>
      </c>
      <c r="G188" s="234" t="s">
        <v>19</v>
      </c>
      <c r="H188" s="234" t="s">
        <v>5816</v>
      </c>
      <c r="I188" s="234" t="s">
        <v>5817</v>
      </c>
      <c r="J188" s="234" t="s">
        <v>5818</v>
      </c>
      <c r="K188" s="237" t="str">
        <f>IF(COUNTIF(L188:AY188,"&lt;&gt;")=0,"",SUMPRODUCT(((Recommendations[ImplStatus]="Implemented")+(Recommendations[ImplStatus]="Compensated"))*ISNUMBER(MATCH(Recommendations[Id],L188:AY188,0)))/COUNTIF(L188:AY188,"&lt;&gt;"))</f>
        <v/>
      </c>
      <c r="L188" s="240"/>
      <c r="M188" s="240"/>
      <c r="N188" s="240"/>
      <c r="O188" s="240"/>
      <c r="P188" s="240"/>
      <c r="Q188" s="240"/>
      <c r="R188" s="240"/>
      <c r="S188" s="240"/>
      <c r="T188" s="240"/>
      <c r="U188" s="240"/>
      <c r="V188" s="240"/>
      <c r="W188" s="240"/>
      <c r="X188" s="240"/>
      <c r="Y188" s="240"/>
      <c r="Z188" s="240"/>
      <c r="AA188" s="240"/>
      <c r="AB188" s="240"/>
      <c r="AC188" s="240"/>
      <c r="AD188" s="240"/>
      <c r="AE188" s="240"/>
      <c r="AF188" s="240"/>
      <c r="AG188" s="240"/>
      <c r="AH188" s="240"/>
      <c r="AI188" s="240"/>
      <c r="AJ188" s="240"/>
      <c r="AK188" s="240"/>
      <c r="AL188" s="240"/>
      <c r="AM188" s="240"/>
      <c r="AN188" s="240"/>
      <c r="AO188" s="240"/>
      <c r="AP188" s="240"/>
      <c r="AQ188" s="240"/>
      <c r="AR188" s="240"/>
      <c r="AS188" s="240"/>
      <c r="AT188" s="240"/>
      <c r="AU188" s="240"/>
      <c r="AV188" s="240"/>
      <c r="AW188" s="240"/>
      <c r="AX188" s="240"/>
      <c r="AY188" s="250"/>
    </row>
    <row r="189" spans="1:51" ht="60" customHeight="1" x14ac:dyDescent="0.35">
      <c r="A189" s="246" t="s">
        <v>5819</v>
      </c>
      <c r="B189" s="234" t="s">
        <v>5820</v>
      </c>
      <c r="C189" s="234" t="s">
        <v>5821</v>
      </c>
      <c r="D189" s="234" t="s">
        <v>5822</v>
      </c>
      <c r="E189" s="234" t="s">
        <v>19</v>
      </c>
      <c r="F189" s="234" t="s">
        <v>19</v>
      </c>
      <c r="G189" s="234" t="s">
        <v>19</v>
      </c>
      <c r="H189" s="234" t="s">
        <v>5823</v>
      </c>
      <c r="I189" s="234" t="s">
        <v>19</v>
      </c>
      <c r="J189" s="234" t="s">
        <v>5824</v>
      </c>
      <c r="K189" s="237" t="str">
        <f>IF(COUNTIF(L189:AY189,"&lt;&gt;")=0,"",SUMPRODUCT(((Recommendations[ImplStatus]="Implemented")+(Recommendations[ImplStatus]="Compensated"))*ISNUMBER(MATCH(Recommendations[Id],L189:AY189,0)))/COUNTIF(L189:AY189,"&lt;&gt;"))</f>
        <v/>
      </c>
      <c r="L189" s="240"/>
      <c r="M189" s="240"/>
      <c r="N189" s="240"/>
      <c r="O189" s="240"/>
      <c r="P189" s="240"/>
      <c r="Q189" s="240"/>
      <c r="R189" s="240"/>
      <c r="S189" s="240"/>
      <c r="T189" s="240"/>
      <c r="U189" s="240"/>
      <c r="V189" s="240"/>
      <c r="W189" s="240"/>
      <c r="X189" s="240"/>
      <c r="Y189" s="240"/>
      <c r="Z189" s="240"/>
      <c r="AA189" s="240"/>
      <c r="AB189" s="240"/>
      <c r="AC189" s="240"/>
      <c r="AD189" s="240"/>
      <c r="AE189" s="240"/>
      <c r="AF189" s="240"/>
      <c r="AG189" s="240"/>
      <c r="AH189" s="240"/>
      <c r="AI189" s="240"/>
      <c r="AJ189" s="240"/>
      <c r="AK189" s="240"/>
      <c r="AL189" s="240"/>
      <c r="AM189" s="240"/>
      <c r="AN189" s="240"/>
      <c r="AO189" s="240"/>
      <c r="AP189" s="240"/>
      <c r="AQ189" s="240"/>
      <c r="AR189" s="240"/>
      <c r="AS189" s="240"/>
      <c r="AT189" s="240"/>
      <c r="AU189" s="240"/>
      <c r="AV189" s="240"/>
      <c r="AW189" s="240"/>
      <c r="AX189" s="240"/>
      <c r="AY189" s="250"/>
    </row>
    <row r="190" spans="1:51" ht="60" customHeight="1" x14ac:dyDescent="0.35">
      <c r="A190" s="246" t="s">
        <v>5825</v>
      </c>
      <c r="B190" s="234" t="s">
        <v>5826</v>
      </c>
      <c r="C190" s="234" t="s">
        <v>5827</v>
      </c>
      <c r="D190" s="234" t="s">
        <v>5828</v>
      </c>
      <c r="E190" s="234" t="s">
        <v>19</v>
      </c>
      <c r="F190" s="234" t="s">
        <v>5829</v>
      </c>
      <c r="G190" s="234" t="s">
        <v>19</v>
      </c>
      <c r="H190" s="234" t="s">
        <v>5830</v>
      </c>
      <c r="I190" s="234" t="s">
        <v>19</v>
      </c>
      <c r="J190" s="234" t="s">
        <v>5831</v>
      </c>
      <c r="K190" s="237" t="str">
        <f>IF(COUNTIF(L190:AY190,"&lt;&gt;")=0,"",SUMPRODUCT(((Recommendations[ImplStatus]="Implemented")+(Recommendations[ImplStatus]="Compensated"))*ISNUMBER(MATCH(Recommendations[Id],L190:AY190,0)))/COUNTIF(L190:AY190,"&lt;&gt;"))</f>
        <v/>
      </c>
      <c r="L190" s="240"/>
      <c r="M190" s="240"/>
      <c r="N190" s="240"/>
      <c r="O190" s="240"/>
      <c r="P190" s="240"/>
      <c r="Q190" s="240"/>
      <c r="R190" s="240"/>
      <c r="S190" s="240"/>
      <c r="T190" s="240"/>
      <c r="U190" s="240"/>
      <c r="V190" s="240"/>
      <c r="W190" s="240"/>
      <c r="X190" s="240"/>
      <c r="Y190" s="240"/>
      <c r="Z190" s="240"/>
      <c r="AA190" s="240"/>
      <c r="AB190" s="240"/>
      <c r="AC190" s="240"/>
      <c r="AD190" s="240"/>
      <c r="AE190" s="240"/>
      <c r="AF190" s="240"/>
      <c r="AG190" s="240"/>
      <c r="AH190" s="240"/>
      <c r="AI190" s="240"/>
      <c r="AJ190" s="240"/>
      <c r="AK190" s="240"/>
      <c r="AL190" s="240"/>
      <c r="AM190" s="240"/>
      <c r="AN190" s="240"/>
      <c r="AO190" s="240"/>
      <c r="AP190" s="240"/>
      <c r="AQ190" s="240"/>
      <c r="AR190" s="240"/>
      <c r="AS190" s="240"/>
      <c r="AT190" s="240"/>
      <c r="AU190" s="240"/>
      <c r="AV190" s="240"/>
      <c r="AW190" s="240"/>
      <c r="AX190" s="240"/>
      <c r="AY190" s="250"/>
    </row>
    <row r="191" spans="1:51" ht="60" customHeight="1" x14ac:dyDescent="0.35">
      <c r="A191" s="246" t="s">
        <v>5832</v>
      </c>
      <c r="B191" s="234" t="s">
        <v>5833</v>
      </c>
      <c r="C191" s="234" t="s">
        <v>5834</v>
      </c>
      <c r="D191" s="234" t="s">
        <v>19</v>
      </c>
      <c r="E191" s="234" t="s">
        <v>19</v>
      </c>
      <c r="F191" s="234" t="s">
        <v>19</v>
      </c>
      <c r="G191" s="234" t="s">
        <v>19</v>
      </c>
      <c r="H191" s="234" t="s">
        <v>5835</v>
      </c>
      <c r="I191" s="234" t="s">
        <v>19</v>
      </c>
      <c r="J191" s="234" t="s">
        <v>5836</v>
      </c>
      <c r="K191" s="237" t="str">
        <f>IF(COUNTIF(L191:AY191,"&lt;&gt;")=0,"",SUMPRODUCT(((Recommendations[ImplStatus]="Implemented")+(Recommendations[ImplStatus]="Compensated"))*ISNUMBER(MATCH(Recommendations[Id],L191:AY191,0)))/COUNTIF(L191:AY191,"&lt;&gt;"))</f>
        <v/>
      </c>
      <c r="L191" s="240"/>
      <c r="M191" s="240"/>
      <c r="N191" s="240"/>
      <c r="O191" s="240"/>
      <c r="P191" s="240"/>
      <c r="Q191" s="240"/>
      <c r="R191" s="240"/>
      <c r="S191" s="240"/>
      <c r="T191" s="240"/>
      <c r="U191" s="240"/>
      <c r="V191" s="240"/>
      <c r="W191" s="240"/>
      <c r="X191" s="240"/>
      <c r="Y191" s="240"/>
      <c r="Z191" s="240"/>
      <c r="AA191" s="240"/>
      <c r="AB191" s="240"/>
      <c r="AC191" s="240"/>
      <c r="AD191" s="240"/>
      <c r="AE191" s="240"/>
      <c r="AF191" s="240"/>
      <c r="AG191" s="240"/>
      <c r="AH191" s="240"/>
      <c r="AI191" s="240"/>
      <c r="AJ191" s="240"/>
      <c r="AK191" s="240"/>
      <c r="AL191" s="240"/>
      <c r="AM191" s="240"/>
      <c r="AN191" s="240"/>
      <c r="AO191" s="240"/>
      <c r="AP191" s="240"/>
      <c r="AQ191" s="240"/>
      <c r="AR191" s="240"/>
      <c r="AS191" s="240"/>
      <c r="AT191" s="240"/>
      <c r="AU191" s="240"/>
      <c r="AV191" s="240"/>
      <c r="AW191" s="240"/>
      <c r="AX191" s="240"/>
      <c r="AY191" s="250"/>
    </row>
    <row r="192" spans="1:51" ht="60" customHeight="1" x14ac:dyDescent="0.35">
      <c r="A192" s="246" t="s">
        <v>5837</v>
      </c>
      <c r="B192" s="234" t="s">
        <v>5838</v>
      </c>
      <c r="C192" s="234" t="s">
        <v>5839</v>
      </c>
      <c r="D192" s="234" t="s">
        <v>5840</v>
      </c>
      <c r="E192" s="234" t="s">
        <v>5841</v>
      </c>
      <c r="F192" s="234" t="s">
        <v>19</v>
      </c>
      <c r="G192" s="234" t="s">
        <v>19</v>
      </c>
      <c r="H192" s="234" t="s">
        <v>5842</v>
      </c>
      <c r="I192" s="234" t="s">
        <v>19</v>
      </c>
      <c r="J192" s="234" t="s">
        <v>5843</v>
      </c>
      <c r="K192" s="237" t="str">
        <f>IF(COUNTIF(L192:AY192,"&lt;&gt;")=0,"",SUMPRODUCT(((Recommendations[ImplStatus]="Implemented")+(Recommendations[ImplStatus]="Compensated"))*ISNUMBER(MATCH(Recommendations[Id],L192:AY192,0)))/COUNTIF(L192:AY192,"&lt;&gt;"))</f>
        <v/>
      </c>
      <c r="L192" s="240"/>
      <c r="M192" s="240"/>
      <c r="N192" s="240"/>
      <c r="O192" s="240"/>
      <c r="P192" s="240"/>
      <c r="Q192" s="240"/>
      <c r="R192" s="240"/>
      <c r="S192" s="240"/>
      <c r="T192" s="240"/>
      <c r="U192" s="240"/>
      <c r="V192" s="240"/>
      <c r="W192" s="240"/>
      <c r="X192" s="240"/>
      <c r="Y192" s="240"/>
      <c r="Z192" s="240"/>
      <c r="AA192" s="240"/>
      <c r="AB192" s="240"/>
      <c r="AC192" s="240"/>
      <c r="AD192" s="240"/>
      <c r="AE192" s="240"/>
      <c r="AF192" s="240"/>
      <c r="AG192" s="240"/>
      <c r="AH192" s="240"/>
      <c r="AI192" s="240"/>
      <c r="AJ192" s="240"/>
      <c r="AK192" s="240"/>
      <c r="AL192" s="240"/>
      <c r="AM192" s="240"/>
      <c r="AN192" s="240"/>
      <c r="AO192" s="240"/>
      <c r="AP192" s="240"/>
      <c r="AQ192" s="240"/>
      <c r="AR192" s="240"/>
      <c r="AS192" s="240"/>
      <c r="AT192" s="240"/>
      <c r="AU192" s="240"/>
      <c r="AV192" s="240"/>
      <c r="AW192" s="240"/>
      <c r="AX192" s="240"/>
      <c r="AY192" s="250"/>
    </row>
    <row r="193" spans="1:51" ht="60" customHeight="1" outlineLevel="1" x14ac:dyDescent="0.35">
      <c r="A193" s="245" t="s">
        <v>2394</v>
      </c>
      <c r="B193" s="233" t="s">
        <v>5844</v>
      </c>
      <c r="C193" s="233"/>
      <c r="D193" s="233"/>
      <c r="E193" s="233"/>
      <c r="F193" s="233"/>
      <c r="G193" s="233"/>
      <c r="H193" s="233"/>
      <c r="I193" s="233"/>
      <c r="J193" s="233"/>
      <c r="K193" s="236" t="str">
        <f>IF(COUNTIF(L193:AY193,"&lt;&gt;")=0,"",SUMPRODUCT(((Recommendations[ImplStatus]="Implemented")+(Recommendations[ImplStatus]="Compensated"))*ISNUMBER(MATCH(Recommendations[Id],L193:AY193,0)))/COUNTIF(L193:AY193,"&lt;&gt;"))</f>
        <v/>
      </c>
      <c r="L193" s="239"/>
      <c r="M193" s="239"/>
      <c r="N193" s="239"/>
      <c r="O193" s="239"/>
      <c r="P193" s="239"/>
      <c r="Q193" s="239"/>
      <c r="R193" s="239"/>
      <c r="S193" s="239"/>
      <c r="T193" s="239"/>
      <c r="U193" s="239"/>
      <c r="V193" s="239"/>
      <c r="W193" s="239"/>
      <c r="X193" s="239"/>
      <c r="Y193" s="239"/>
      <c r="Z193" s="239"/>
      <c r="AA193" s="239"/>
      <c r="AB193" s="239"/>
      <c r="AC193" s="239"/>
      <c r="AD193" s="239"/>
      <c r="AE193" s="239"/>
      <c r="AF193" s="239"/>
      <c r="AG193" s="239"/>
      <c r="AH193" s="239"/>
      <c r="AI193" s="239"/>
      <c r="AJ193" s="239"/>
      <c r="AK193" s="239"/>
      <c r="AL193" s="239"/>
      <c r="AM193" s="239"/>
      <c r="AN193" s="239"/>
      <c r="AO193" s="239"/>
      <c r="AP193" s="239"/>
      <c r="AQ193" s="239"/>
      <c r="AR193" s="239"/>
      <c r="AS193" s="239"/>
      <c r="AT193" s="239"/>
      <c r="AU193" s="239"/>
      <c r="AV193" s="239"/>
      <c r="AW193" s="239"/>
      <c r="AX193" s="239"/>
      <c r="AY193" s="249"/>
    </row>
    <row r="194" spans="1:51" ht="60" customHeight="1" x14ac:dyDescent="0.35">
      <c r="A194" s="246" t="s">
        <v>5845</v>
      </c>
      <c r="B194" s="234" t="s">
        <v>5846</v>
      </c>
      <c r="C194" s="234" t="s">
        <v>5847</v>
      </c>
      <c r="D194" s="234" t="s">
        <v>5840</v>
      </c>
      <c r="E194" s="234" t="s">
        <v>5841</v>
      </c>
      <c r="F194" s="234" t="s">
        <v>5848</v>
      </c>
      <c r="G194" s="234" t="s">
        <v>19</v>
      </c>
      <c r="H194" s="234" t="s">
        <v>5849</v>
      </c>
      <c r="I194" s="234" t="s">
        <v>19</v>
      </c>
      <c r="J194" s="234" t="s">
        <v>5850</v>
      </c>
      <c r="K194" s="237" t="str">
        <f>IF(COUNTIF(L194:AY194,"&lt;&gt;")=0,"",SUMPRODUCT(((Recommendations[ImplStatus]="Implemented")+(Recommendations[ImplStatus]="Compensated"))*ISNUMBER(MATCH(Recommendations[Id],L194:AY194,0)))/COUNTIF(L194:AY194,"&lt;&gt;"))</f>
        <v/>
      </c>
      <c r="L194" s="240"/>
      <c r="M194" s="240"/>
      <c r="N194" s="240"/>
      <c r="O194" s="240"/>
      <c r="P194" s="240"/>
      <c r="Q194" s="240"/>
      <c r="R194" s="240"/>
      <c r="S194" s="240"/>
      <c r="T194" s="240"/>
      <c r="U194" s="240"/>
      <c r="V194" s="240"/>
      <c r="W194" s="240"/>
      <c r="X194" s="240"/>
      <c r="Y194" s="240"/>
      <c r="Z194" s="240"/>
      <c r="AA194" s="240"/>
      <c r="AB194" s="240"/>
      <c r="AC194" s="240"/>
      <c r="AD194" s="240"/>
      <c r="AE194" s="240"/>
      <c r="AF194" s="240"/>
      <c r="AG194" s="240"/>
      <c r="AH194" s="240"/>
      <c r="AI194" s="240"/>
      <c r="AJ194" s="240"/>
      <c r="AK194" s="240"/>
      <c r="AL194" s="240"/>
      <c r="AM194" s="240"/>
      <c r="AN194" s="240"/>
      <c r="AO194" s="240"/>
      <c r="AP194" s="240"/>
      <c r="AQ194" s="240"/>
      <c r="AR194" s="240"/>
      <c r="AS194" s="240"/>
      <c r="AT194" s="240"/>
      <c r="AU194" s="240"/>
      <c r="AV194" s="240"/>
      <c r="AW194" s="240"/>
      <c r="AX194" s="240"/>
      <c r="AY194" s="250"/>
    </row>
    <row r="195" spans="1:51" ht="60" customHeight="1" x14ac:dyDescent="0.35">
      <c r="A195" s="246" t="s">
        <v>5851</v>
      </c>
      <c r="B195" s="234" t="s">
        <v>5852</v>
      </c>
      <c r="C195" s="234" t="s">
        <v>5853</v>
      </c>
      <c r="D195" s="234" t="s">
        <v>5854</v>
      </c>
      <c r="E195" s="234" t="s">
        <v>19</v>
      </c>
      <c r="F195" s="234" t="s">
        <v>19</v>
      </c>
      <c r="G195" s="234" t="s">
        <v>19</v>
      </c>
      <c r="H195" s="234" t="s">
        <v>5855</v>
      </c>
      <c r="I195" s="234" t="s">
        <v>19</v>
      </c>
      <c r="J195" s="234" t="s">
        <v>5856</v>
      </c>
      <c r="K195" s="237" t="str">
        <f>IF(COUNTIF(L195:AY195,"&lt;&gt;")=0,"",SUMPRODUCT(((Recommendations[ImplStatus]="Implemented")+(Recommendations[ImplStatus]="Compensated"))*ISNUMBER(MATCH(Recommendations[Id],L195:AY195,0)))/COUNTIF(L195:AY195,"&lt;&gt;"))</f>
        <v/>
      </c>
      <c r="L195" s="240"/>
      <c r="M195" s="240"/>
      <c r="N195" s="240"/>
      <c r="O195" s="240"/>
      <c r="P195" s="240"/>
      <c r="Q195" s="240"/>
      <c r="R195" s="240"/>
      <c r="S195" s="240"/>
      <c r="T195" s="240"/>
      <c r="U195" s="240"/>
      <c r="V195" s="240"/>
      <c r="W195" s="240"/>
      <c r="X195" s="240"/>
      <c r="Y195" s="240"/>
      <c r="Z195" s="240"/>
      <c r="AA195" s="240"/>
      <c r="AB195" s="240"/>
      <c r="AC195" s="240"/>
      <c r="AD195" s="240"/>
      <c r="AE195" s="240"/>
      <c r="AF195" s="240"/>
      <c r="AG195" s="240"/>
      <c r="AH195" s="240"/>
      <c r="AI195" s="240"/>
      <c r="AJ195" s="240"/>
      <c r="AK195" s="240"/>
      <c r="AL195" s="240"/>
      <c r="AM195" s="240"/>
      <c r="AN195" s="240"/>
      <c r="AO195" s="240"/>
      <c r="AP195" s="240"/>
      <c r="AQ195" s="240"/>
      <c r="AR195" s="240"/>
      <c r="AS195" s="240"/>
      <c r="AT195" s="240"/>
      <c r="AU195" s="240"/>
      <c r="AV195" s="240"/>
      <c r="AW195" s="240"/>
      <c r="AX195" s="240"/>
      <c r="AY195" s="250"/>
    </row>
    <row r="196" spans="1:51" ht="60" customHeight="1" x14ac:dyDescent="0.35">
      <c r="A196" s="246" t="s">
        <v>5857</v>
      </c>
      <c r="B196" s="234" t="s">
        <v>5858</v>
      </c>
      <c r="C196" s="234" t="s">
        <v>5859</v>
      </c>
      <c r="D196" s="234" t="s">
        <v>19</v>
      </c>
      <c r="E196" s="234" t="s">
        <v>5860</v>
      </c>
      <c r="F196" s="234" t="s">
        <v>19</v>
      </c>
      <c r="G196" s="234" t="s">
        <v>19</v>
      </c>
      <c r="H196" s="234" t="s">
        <v>5861</v>
      </c>
      <c r="I196" s="234" t="s">
        <v>19</v>
      </c>
      <c r="J196" s="234" t="s">
        <v>5862</v>
      </c>
      <c r="K196" s="237" t="str">
        <f>IF(COUNTIF(L196:AY196,"&lt;&gt;")=0,"",SUMPRODUCT(((Recommendations[ImplStatus]="Implemented")+(Recommendations[ImplStatus]="Compensated"))*ISNUMBER(MATCH(Recommendations[Id],L196:AY196,0)))/COUNTIF(L196:AY196,"&lt;&gt;"))</f>
        <v/>
      </c>
      <c r="L196" s="240"/>
      <c r="M196" s="240"/>
      <c r="N196" s="240"/>
      <c r="O196" s="240"/>
      <c r="P196" s="240"/>
      <c r="Q196" s="240"/>
      <c r="R196" s="240"/>
      <c r="S196" s="240"/>
      <c r="T196" s="240"/>
      <c r="U196" s="240"/>
      <c r="V196" s="240"/>
      <c r="W196" s="240"/>
      <c r="X196" s="240"/>
      <c r="Y196" s="240"/>
      <c r="Z196" s="240"/>
      <c r="AA196" s="240"/>
      <c r="AB196" s="240"/>
      <c r="AC196" s="240"/>
      <c r="AD196" s="240"/>
      <c r="AE196" s="240"/>
      <c r="AF196" s="240"/>
      <c r="AG196" s="240"/>
      <c r="AH196" s="240"/>
      <c r="AI196" s="240"/>
      <c r="AJ196" s="240"/>
      <c r="AK196" s="240"/>
      <c r="AL196" s="240"/>
      <c r="AM196" s="240"/>
      <c r="AN196" s="240"/>
      <c r="AO196" s="240"/>
      <c r="AP196" s="240"/>
      <c r="AQ196" s="240"/>
      <c r="AR196" s="240"/>
      <c r="AS196" s="240"/>
      <c r="AT196" s="240"/>
      <c r="AU196" s="240"/>
      <c r="AV196" s="240"/>
      <c r="AW196" s="240"/>
      <c r="AX196" s="240"/>
      <c r="AY196" s="250"/>
    </row>
    <row r="197" spans="1:51" ht="60" customHeight="1" x14ac:dyDescent="0.35">
      <c r="A197" s="246" t="s">
        <v>5863</v>
      </c>
      <c r="B197" s="234" t="s">
        <v>5864</v>
      </c>
      <c r="C197" s="234" t="s">
        <v>5865</v>
      </c>
      <c r="D197" s="234" t="s">
        <v>19</v>
      </c>
      <c r="E197" s="234" t="s">
        <v>19</v>
      </c>
      <c r="F197" s="234" t="s">
        <v>19</v>
      </c>
      <c r="G197" s="234" t="s">
        <v>19</v>
      </c>
      <c r="H197" s="234" t="s">
        <v>5866</v>
      </c>
      <c r="I197" s="234" t="s">
        <v>19</v>
      </c>
      <c r="J197" s="234" t="s">
        <v>5867</v>
      </c>
      <c r="K197" s="237" t="str">
        <f>IF(COUNTIF(L197:AY197,"&lt;&gt;")=0,"",SUMPRODUCT(((Recommendations[ImplStatus]="Implemented")+(Recommendations[ImplStatus]="Compensated"))*ISNUMBER(MATCH(Recommendations[Id],L197:AY197,0)))/COUNTIF(L197:AY197,"&lt;&gt;"))</f>
        <v/>
      </c>
      <c r="L197" s="240"/>
      <c r="M197" s="240"/>
      <c r="N197" s="240"/>
      <c r="O197" s="240"/>
      <c r="P197" s="240"/>
      <c r="Q197" s="240"/>
      <c r="R197" s="240"/>
      <c r="S197" s="240"/>
      <c r="T197" s="240"/>
      <c r="U197" s="240"/>
      <c r="V197" s="240"/>
      <c r="W197" s="240"/>
      <c r="X197" s="240"/>
      <c r="Y197" s="240"/>
      <c r="Z197" s="240"/>
      <c r="AA197" s="240"/>
      <c r="AB197" s="240"/>
      <c r="AC197" s="240"/>
      <c r="AD197" s="240"/>
      <c r="AE197" s="240"/>
      <c r="AF197" s="240"/>
      <c r="AG197" s="240"/>
      <c r="AH197" s="240"/>
      <c r="AI197" s="240"/>
      <c r="AJ197" s="240"/>
      <c r="AK197" s="240"/>
      <c r="AL197" s="240"/>
      <c r="AM197" s="240"/>
      <c r="AN197" s="240"/>
      <c r="AO197" s="240"/>
      <c r="AP197" s="240"/>
      <c r="AQ197" s="240"/>
      <c r="AR197" s="240"/>
      <c r="AS197" s="240"/>
      <c r="AT197" s="240"/>
      <c r="AU197" s="240"/>
      <c r="AV197" s="240"/>
      <c r="AW197" s="240"/>
      <c r="AX197" s="240"/>
      <c r="AY197" s="250"/>
    </row>
    <row r="198" spans="1:51" ht="60" customHeight="1" x14ac:dyDescent="0.35">
      <c r="A198" s="246" t="s">
        <v>5868</v>
      </c>
      <c r="B198" s="234" t="s">
        <v>5869</v>
      </c>
      <c r="C198" s="234" t="s">
        <v>5870</v>
      </c>
      <c r="D198" s="234" t="s">
        <v>5871</v>
      </c>
      <c r="E198" s="234" t="s">
        <v>19</v>
      </c>
      <c r="F198" s="234" t="s">
        <v>19</v>
      </c>
      <c r="G198" s="234" t="s">
        <v>19</v>
      </c>
      <c r="H198" s="234" t="s">
        <v>5872</v>
      </c>
      <c r="I198" s="234" t="s">
        <v>19</v>
      </c>
      <c r="J198" s="234" t="s">
        <v>5873</v>
      </c>
      <c r="K198" s="237" t="str">
        <f>IF(COUNTIF(L198:AY198,"&lt;&gt;")=0,"",SUMPRODUCT(((Recommendations[ImplStatus]="Implemented")+(Recommendations[ImplStatus]="Compensated"))*ISNUMBER(MATCH(Recommendations[Id],L198:AY198,0)))/COUNTIF(L198:AY198,"&lt;&gt;"))</f>
        <v/>
      </c>
      <c r="L198" s="240"/>
      <c r="M198" s="240"/>
      <c r="N198" s="240"/>
      <c r="O198" s="240"/>
      <c r="P198" s="240"/>
      <c r="Q198" s="240"/>
      <c r="R198" s="240"/>
      <c r="S198" s="240"/>
      <c r="T198" s="240"/>
      <c r="U198" s="240"/>
      <c r="V198" s="240"/>
      <c r="W198" s="240"/>
      <c r="X198" s="240"/>
      <c r="Y198" s="240"/>
      <c r="Z198" s="240"/>
      <c r="AA198" s="240"/>
      <c r="AB198" s="240"/>
      <c r="AC198" s="240"/>
      <c r="AD198" s="240"/>
      <c r="AE198" s="240"/>
      <c r="AF198" s="240"/>
      <c r="AG198" s="240"/>
      <c r="AH198" s="240"/>
      <c r="AI198" s="240"/>
      <c r="AJ198" s="240"/>
      <c r="AK198" s="240"/>
      <c r="AL198" s="240"/>
      <c r="AM198" s="240"/>
      <c r="AN198" s="240"/>
      <c r="AO198" s="240"/>
      <c r="AP198" s="240"/>
      <c r="AQ198" s="240"/>
      <c r="AR198" s="240"/>
      <c r="AS198" s="240"/>
      <c r="AT198" s="240"/>
      <c r="AU198" s="240"/>
      <c r="AV198" s="240"/>
      <c r="AW198" s="240"/>
      <c r="AX198" s="240"/>
      <c r="AY198" s="250"/>
    </row>
    <row r="199" spans="1:51" ht="60" customHeight="1" outlineLevel="1" x14ac:dyDescent="0.35">
      <c r="A199" s="245" t="s">
        <v>2398</v>
      </c>
      <c r="B199" s="233" t="s">
        <v>5874</v>
      </c>
      <c r="C199" s="233"/>
      <c r="D199" s="233"/>
      <c r="E199" s="233"/>
      <c r="F199" s="233"/>
      <c r="G199" s="233"/>
      <c r="H199" s="233"/>
      <c r="I199" s="233"/>
      <c r="J199" s="233"/>
      <c r="K199" s="236" t="str">
        <f>IF(COUNTIF(L199:AY199,"&lt;&gt;")=0,"",SUMPRODUCT(((Recommendations[ImplStatus]="Implemented")+(Recommendations[ImplStatus]="Compensated"))*ISNUMBER(MATCH(Recommendations[Id],L199:AY199,0)))/COUNTIF(L199:AY199,"&lt;&gt;"))</f>
        <v/>
      </c>
      <c r="L199" s="239"/>
      <c r="M199" s="239"/>
      <c r="N199" s="239"/>
      <c r="O199" s="239"/>
      <c r="P199" s="239"/>
      <c r="Q199" s="239"/>
      <c r="R199" s="239"/>
      <c r="S199" s="239"/>
      <c r="T199" s="239"/>
      <c r="U199" s="239"/>
      <c r="V199" s="239"/>
      <c r="W199" s="239"/>
      <c r="X199" s="239"/>
      <c r="Y199" s="239"/>
      <c r="Z199" s="239"/>
      <c r="AA199" s="239"/>
      <c r="AB199" s="239"/>
      <c r="AC199" s="239"/>
      <c r="AD199" s="239"/>
      <c r="AE199" s="239"/>
      <c r="AF199" s="239"/>
      <c r="AG199" s="239"/>
      <c r="AH199" s="239"/>
      <c r="AI199" s="239"/>
      <c r="AJ199" s="239"/>
      <c r="AK199" s="239"/>
      <c r="AL199" s="239"/>
      <c r="AM199" s="239"/>
      <c r="AN199" s="239"/>
      <c r="AO199" s="239"/>
      <c r="AP199" s="239"/>
      <c r="AQ199" s="239"/>
      <c r="AR199" s="239"/>
      <c r="AS199" s="239"/>
      <c r="AT199" s="239"/>
      <c r="AU199" s="239"/>
      <c r="AV199" s="239"/>
      <c r="AW199" s="239"/>
      <c r="AX199" s="239"/>
      <c r="AY199" s="249"/>
    </row>
    <row r="200" spans="1:51" ht="60" customHeight="1" x14ac:dyDescent="0.35">
      <c r="A200" s="246" t="s">
        <v>5875</v>
      </c>
      <c r="B200" s="234" t="s">
        <v>5876</v>
      </c>
      <c r="C200" s="234" t="s">
        <v>5877</v>
      </c>
      <c r="D200" s="234" t="s">
        <v>19</v>
      </c>
      <c r="E200" s="234" t="s">
        <v>19</v>
      </c>
      <c r="F200" s="234" t="s">
        <v>19</v>
      </c>
      <c r="G200" s="234" t="s">
        <v>19</v>
      </c>
      <c r="H200" s="234" t="s">
        <v>5878</v>
      </c>
      <c r="I200" s="234" t="s">
        <v>19</v>
      </c>
      <c r="J200" s="234" t="s">
        <v>19</v>
      </c>
      <c r="K200" s="237" t="str">
        <f>IF(COUNTIF(L200:AY200,"&lt;&gt;")=0,"",SUMPRODUCT(((Recommendations[ImplStatus]="Implemented")+(Recommendations[ImplStatus]="Compensated"))*ISNUMBER(MATCH(Recommendations[Id],L200:AY200,0)))/COUNTIF(L200:AY200,"&lt;&gt;"))</f>
        <v/>
      </c>
      <c r="L200" s="240"/>
      <c r="M200" s="240"/>
      <c r="N200" s="240"/>
      <c r="O200" s="240"/>
      <c r="P200" s="240"/>
      <c r="Q200" s="240"/>
      <c r="R200" s="240"/>
      <c r="S200" s="240"/>
      <c r="T200" s="240"/>
      <c r="U200" s="240"/>
      <c r="V200" s="240"/>
      <c r="W200" s="240"/>
      <c r="X200" s="240"/>
      <c r="Y200" s="240"/>
      <c r="Z200" s="240"/>
      <c r="AA200" s="240"/>
      <c r="AB200" s="240"/>
      <c r="AC200" s="240"/>
      <c r="AD200" s="240"/>
      <c r="AE200" s="240"/>
      <c r="AF200" s="240"/>
      <c r="AG200" s="240"/>
      <c r="AH200" s="240"/>
      <c r="AI200" s="240"/>
      <c r="AJ200" s="240"/>
      <c r="AK200" s="240"/>
      <c r="AL200" s="240"/>
      <c r="AM200" s="240"/>
      <c r="AN200" s="240"/>
      <c r="AO200" s="240"/>
      <c r="AP200" s="240"/>
      <c r="AQ200" s="240"/>
      <c r="AR200" s="240"/>
      <c r="AS200" s="240"/>
      <c r="AT200" s="240"/>
      <c r="AU200" s="240"/>
      <c r="AV200" s="240"/>
      <c r="AW200" s="240"/>
      <c r="AX200" s="240"/>
      <c r="AY200" s="250"/>
    </row>
    <row r="201" spans="1:51" ht="60" customHeight="1" x14ac:dyDescent="0.35">
      <c r="A201" s="246" t="s">
        <v>5879</v>
      </c>
      <c r="B201" s="234" t="s">
        <v>5880</v>
      </c>
      <c r="C201" s="234" t="s">
        <v>5881</v>
      </c>
      <c r="D201" s="234" t="s">
        <v>5882</v>
      </c>
      <c r="E201" s="234" t="s">
        <v>19</v>
      </c>
      <c r="F201" s="234" t="s">
        <v>19</v>
      </c>
      <c r="G201" s="234" t="s">
        <v>19</v>
      </c>
      <c r="H201" s="234" t="s">
        <v>5883</v>
      </c>
      <c r="I201" s="234" t="s">
        <v>19</v>
      </c>
      <c r="J201" s="234" t="s">
        <v>5884</v>
      </c>
      <c r="K201" s="237" t="str">
        <f>IF(COUNTIF(L201:AY201,"&lt;&gt;")=0,"",SUMPRODUCT(((Recommendations[ImplStatus]="Implemented")+(Recommendations[ImplStatus]="Compensated"))*ISNUMBER(MATCH(Recommendations[Id],L201:AY201,0)))/COUNTIF(L201:AY201,"&lt;&gt;"))</f>
        <v/>
      </c>
      <c r="L201" s="240"/>
      <c r="M201" s="240"/>
      <c r="N201" s="240"/>
      <c r="O201" s="240"/>
      <c r="P201" s="240"/>
      <c r="Q201" s="240"/>
      <c r="R201" s="240"/>
      <c r="S201" s="240"/>
      <c r="T201" s="240"/>
      <c r="U201" s="240"/>
      <c r="V201" s="240"/>
      <c r="W201" s="240"/>
      <c r="X201" s="240"/>
      <c r="Y201" s="240"/>
      <c r="Z201" s="240"/>
      <c r="AA201" s="240"/>
      <c r="AB201" s="240"/>
      <c r="AC201" s="240"/>
      <c r="AD201" s="240"/>
      <c r="AE201" s="240"/>
      <c r="AF201" s="240"/>
      <c r="AG201" s="240"/>
      <c r="AH201" s="240"/>
      <c r="AI201" s="240"/>
      <c r="AJ201" s="240"/>
      <c r="AK201" s="240"/>
      <c r="AL201" s="240"/>
      <c r="AM201" s="240"/>
      <c r="AN201" s="240"/>
      <c r="AO201" s="240"/>
      <c r="AP201" s="240"/>
      <c r="AQ201" s="240"/>
      <c r="AR201" s="240"/>
      <c r="AS201" s="240"/>
      <c r="AT201" s="240"/>
      <c r="AU201" s="240"/>
      <c r="AV201" s="240"/>
      <c r="AW201" s="240"/>
      <c r="AX201" s="240"/>
      <c r="AY201" s="250"/>
    </row>
    <row r="202" spans="1:51" ht="60" customHeight="1" x14ac:dyDescent="0.35">
      <c r="A202" s="246" t="s">
        <v>5885</v>
      </c>
      <c r="B202" s="234" t="s">
        <v>5886</v>
      </c>
      <c r="C202" s="234" t="s">
        <v>5887</v>
      </c>
      <c r="D202" s="234" t="s">
        <v>19</v>
      </c>
      <c r="E202" s="234" t="s">
        <v>19</v>
      </c>
      <c r="F202" s="234" t="s">
        <v>19</v>
      </c>
      <c r="G202" s="234" t="s">
        <v>19</v>
      </c>
      <c r="H202" s="234" t="s">
        <v>5888</v>
      </c>
      <c r="I202" s="234" t="s">
        <v>19</v>
      </c>
      <c r="J202" s="234" t="s">
        <v>5889</v>
      </c>
      <c r="K202" s="237" t="str">
        <f>IF(COUNTIF(L202:AY202,"&lt;&gt;")=0,"",SUMPRODUCT(((Recommendations[ImplStatus]="Implemented")+(Recommendations[ImplStatus]="Compensated"))*ISNUMBER(MATCH(Recommendations[Id],L202:AY202,0)))/COUNTIF(L202:AY202,"&lt;&gt;"))</f>
        <v/>
      </c>
      <c r="L202" s="240"/>
      <c r="M202" s="240"/>
      <c r="N202" s="240"/>
      <c r="O202" s="240"/>
      <c r="P202" s="240"/>
      <c r="Q202" s="240"/>
      <c r="R202" s="240"/>
      <c r="S202" s="240"/>
      <c r="T202" s="240"/>
      <c r="U202" s="240"/>
      <c r="V202" s="240"/>
      <c r="W202" s="240"/>
      <c r="X202" s="240"/>
      <c r="Y202" s="240"/>
      <c r="Z202" s="240"/>
      <c r="AA202" s="240"/>
      <c r="AB202" s="240"/>
      <c r="AC202" s="240"/>
      <c r="AD202" s="240"/>
      <c r="AE202" s="240"/>
      <c r="AF202" s="240"/>
      <c r="AG202" s="240"/>
      <c r="AH202" s="240"/>
      <c r="AI202" s="240"/>
      <c r="AJ202" s="240"/>
      <c r="AK202" s="240"/>
      <c r="AL202" s="240"/>
      <c r="AM202" s="240"/>
      <c r="AN202" s="240"/>
      <c r="AO202" s="240"/>
      <c r="AP202" s="240"/>
      <c r="AQ202" s="240"/>
      <c r="AR202" s="240"/>
      <c r="AS202" s="240"/>
      <c r="AT202" s="240"/>
      <c r="AU202" s="240"/>
      <c r="AV202" s="240"/>
      <c r="AW202" s="240"/>
      <c r="AX202" s="240"/>
      <c r="AY202" s="250"/>
    </row>
    <row r="203" spans="1:51" ht="60" customHeight="1" x14ac:dyDescent="0.35">
      <c r="A203" s="246" t="s">
        <v>5890</v>
      </c>
      <c r="B203" s="234" t="s">
        <v>5891</v>
      </c>
      <c r="C203" s="234" t="s">
        <v>5892</v>
      </c>
      <c r="D203" s="234" t="s">
        <v>5893</v>
      </c>
      <c r="E203" s="234" t="s">
        <v>19</v>
      </c>
      <c r="F203" s="234" t="s">
        <v>19</v>
      </c>
      <c r="G203" s="234" t="s">
        <v>19</v>
      </c>
      <c r="H203" s="234" t="s">
        <v>5894</v>
      </c>
      <c r="I203" s="234" t="s">
        <v>19</v>
      </c>
      <c r="J203" s="234" t="s">
        <v>5895</v>
      </c>
      <c r="K203" s="237" t="str">
        <f>IF(COUNTIF(L203:AY203,"&lt;&gt;")=0,"",SUMPRODUCT(((Recommendations[ImplStatus]="Implemented")+(Recommendations[ImplStatus]="Compensated"))*ISNUMBER(MATCH(Recommendations[Id],L203:AY203,0)))/COUNTIF(L203:AY203,"&lt;&gt;"))</f>
        <v/>
      </c>
      <c r="L203" s="240"/>
      <c r="M203" s="240"/>
      <c r="N203" s="240"/>
      <c r="O203" s="240"/>
      <c r="P203" s="240"/>
      <c r="Q203" s="240"/>
      <c r="R203" s="240"/>
      <c r="S203" s="240"/>
      <c r="T203" s="240"/>
      <c r="U203" s="240"/>
      <c r="V203" s="240"/>
      <c r="W203" s="240"/>
      <c r="X203" s="240"/>
      <c r="Y203" s="240"/>
      <c r="Z203" s="240"/>
      <c r="AA203" s="240"/>
      <c r="AB203" s="240"/>
      <c r="AC203" s="240"/>
      <c r="AD203" s="240"/>
      <c r="AE203" s="240"/>
      <c r="AF203" s="240"/>
      <c r="AG203" s="240"/>
      <c r="AH203" s="240"/>
      <c r="AI203" s="240"/>
      <c r="AJ203" s="240"/>
      <c r="AK203" s="240"/>
      <c r="AL203" s="240"/>
      <c r="AM203" s="240"/>
      <c r="AN203" s="240"/>
      <c r="AO203" s="240"/>
      <c r="AP203" s="240"/>
      <c r="AQ203" s="240"/>
      <c r="AR203" s="240"/>
      <c r="AS203" s="240"/>
      <c r="AT203" s="240"/>
      <c r="AU203" s="240"/>
      <c r="AV203" s="240"/>
      <c r="AW203" s="240"/>
      <c r="AX203" s="240"/>
      <c r="AY203" s="250"/>
    </row>
    <row r="204" spans="1:51" ht="60" customHeight="1" x14ac:dyDescent="0.35">
      <c r="A204" s="246" t="s">
        <v>5896</v>
      </c>
      <c r="B204" s="234" t="s">
        <v>5897</v>
      </c>
      <c r="C204" s="234" t="s">
        <v>5898</v>
      </c>
      <c r="D204" s="234" t="s">
        <v>19</v>
      </c>
      <c r="E204" s="234" t="s">
        <v>19</v>
      </c>
      <c r="F204" s="234" t="s">
        <v>19</v>
      </c>
      <c r="G204" s="234" t="s">
        <v>19</v>
      </c>
      <c r="H204" s="234" t="s">
        <v>5899</v>
      </c>
      <c r="I204" s="234" t="s">
        <v>19</v>
      </c>
      <c r="J204" s="234" t="s">
        <v>5900</v>
      </c>
      <c r="K204" s="237" t="str">
        <f>IF(COUNTIF(L204:AY204,"&lt;&gt;")=0,"",SUMPRODUCT(((Recommendations[ImplStatus]="Implemented")+(Recommendations[ImplStatus]="Compensated"))*ISNUMBER(MATCH(Recommendations[Id],L204:AY204,0)))/COUNTIF(L204:AY204,"&lt;&gt;"))</f>
        <v/>
      </c>
      <c r="L204" s="240"/>
      <c r="M204" s="240"/>
      <c r="N204" s="240"/>
      <c r="O204" s="240"/>
      <c r="P204" s="240"/>
      <c r="Q204" s="240"/>
      <c r="R204" s="240"/>
      <c r="S204" s="240"/>
      <c r="T204" s="240"/>
      <c r="U204" s="240"/>
      <c r="V204" s="240"/>
      <c r="W204" s="240"/>
      <c r="X204" s="240"/>
      <c r="Y204" s="240"/>
      <c r="Z204" s="240"/>
      <c r="AA204" s="240"/>
      <c r="AB204" s="240"/>
      <c r="AC204" s="240"/>
      <c r="AD204" s="240"/>
      <c r="AE204" s="240"/>
      <c r="AF204" s="240"/>
      <c r="AG204" s="240"/>
      <c r="AH204" s="240"/>
      <c r="AI204" s="240"/>
      <c r="AJ204" s="240"/>
      <c r="AK204" s="240"/>
      <c r="AL204" s="240"/>
      <c r="AM204" s="240"/>
      <c r="AN204" s="240"/>
      <c r="AO204" s="240"/>
      <c r="AP204" s="240"/>
      <c r="AQ204" s="240"/>
      <c r="AR204" s="240"/>
      <c r="AS204" s="240"/>
      <c r="AT204" s="240"/>
      <c r="AU204" s="240"/>
      <c r="AV204" s="240"/>
      <c r="AW204" s="240"/>
      <c r="AX204" s="240"/>
      <c r="AY204" s="250"/>
    </row>
    <row r="205" spans="1:51" ht="60" customHeight="1" x14ac:dyDescent="0.35">
      <c r="A205" s="246" t="s">
        <v>5901</v>
      </c>
      <c r="B205" s="234" t="s">
        <v>5902</v>
      </c>
      <c r="C205" s="234" t="s">
        <v>5903</v>
      </c>
      <c r="D205" s="234" t="s">
        <v>19</v>
      </c>
      <c r="E205" s="234" t="s">
        <v>19</v>
      </c>
      <c r="F205" s="234" t="s">
        <v>19</v>
      </c>
      <c r="G205" s="234" t="s">
        <v>19</v>
      </c>
      <c r="H205" s="234" t="s">
        <v>5904</v>
      </c>
      <c r="I205" s="234" t="s">
        <v>5905</v>
      </c>
      <c r="J205" s="234" t="s">
        <v>5906</v>
      </c>
      <c r="K205" s="237" t="str">
        <f>IF(COUNTIF(L205:AY205,"&lt;&gt;")=0,"",SUMPRODUCT(((Recommendations[ImplStatus]="Implemented")+(Recommendations[ImplStatus]="Compensated"))*ISNUMBER(MATCH(Recommendations[Id],L205:AY205,0)))/COUNTIF(L205:AY205,"&lt;&gt;"))</f>
        <v/>
      </c>
      <c r="L205" s="240"/>
      <c r="M205" s="240"/>
      <c r="N205" s="240"/>
      <c r="O205" s="240"/>
      <c r="P205" s="240"/>
      <c r="Q205" s="240"/>
      <c r="R205" s="240"/>
      <c r="S205" s="240"/>
      <c r="T205" s="240"/>
      <c r="U205" s="240"/>
      <c r="V205" s="240"/>
      <c r="W205" s="240"/>
      <c r="X205" s="240"/>
      <c r="Y205" s="240"/>
      <c r="Z205" s="240"/>
      <c r="AA205" s="240"/>
      <c r="AB205" s="240"/>
      <c r="AC205" s="240"/>
      <c r="AD205" s="240"/>
      <c r="AE205" s="240"/>
      <c r="AF205" s="240"/>
      <c r="AG205" s="240"/>
      <c r="AH205" s="240"/>
      <c r="AI205" s="240"/>
      <c r="AJ205" s="240"/>
      <c r="AK205" s="240"/>
      <c r="AL205" s="240"/>
      <c r="AM205" s="240"/>
      <c r="AN205" s="240"/>
      <c r="AO205" s="240"/>
      <c r="AP205" s="240"/>
      <c r="AQ205" s="240"/>
      <c r="AR205" s="240"/>
      <c r="AS205" s="240"/>
      <c r="AT205" s="240"/>
      <c r="AU205" s="240"/>
      <c r="AV205" s="240"/>
      <c r="AW205" s="240"/>
      <c r="AX205" s="240"/>
      <c r="AY205" s="250"/>
    </row>
    <row r="206" spans="1:51" ht="60" customHeight="1" x14ac:dyDescent="0.35">
      <c r="A206" s="246" t="s">
        <v>5907</v>
      </c>
      <c r="B206" s="234" t="s">
        <v>5908</v>
      </c>
      <c r="C206" s="234" t="s">
        <v>5909</v>
      </c>
      <c r="D206" s="234" t="s">
        <v>19</v>
      </c>
      <c r="E206" s="234" t="s">
        <v>19</v>
      </c>
      <c r="F206" s="234" t="s">
        <v>19</v>
      </c>
      <c r="G206" s="234" t="s">
        <v>19</v>
      </c>
      <c r="H206" s="234" t="s">
        <v>5910</v>
      </c>
      <c r="I206" s="234" t="s">
        <v>19</v>
      </c>
      <c r="J206" s="234" t="s">
        <v>5911</v>
      </c>
      <c r="K206" s="237" t="str">
        <f>IF(COUNTIF(L206:AY206,"&lt;&gt;")=0,"",SUMPRODUCT(((Recommendations[ImplStatus]="Implemented")+(Recommendations[ImplStatus]="Compensated"))*ISNUMBER(MATCH(Recommendations[Id],L206:AY206,0)))/COUNTIF(L206:AY206,"&lt;&gt;"))</f>
        <v/>
      </c>
      <c r="L206" s="240"/>
      <c r="M206" s="240"/>
      <c r="N206" s="240"/>
      <c r="O206" s="240"/>
      <c r="P206" s="240"/>
      <c r="Q206" s="240"/>
      <c r="R206" s="240"/>
      <c r="S206" s="240"/>
      <c r="T206" s="240"/>
      <c r="U206" s="240"/>
      <c r="V206" s="240"/>
      <c r="W206" s="240"/>
      <c r="X206" s="240"/>
      <c r="Y206" s="240"/>
      <c r="Z206" s="240"/>
      <c r="AA206" s="240"/>
      <c r="AB206" s="240"/>
      <c r="AC206" s="240"/>
      <c r="AD206" s="240"/>
      <c r="AE206" s="240"/>
      <c r="AF206" s="240"/>
      <c r="AG206" s="240"/>
      <c r="AH206" s="240"/>
      <c r="AI206" s="240"/>
      <c r="AJ206" s="240"/>
      <c r="AK206" s="240"/>
      <c r="AL206" s="240"/>
      <c r="AM206" s="240"/>
      <c r="AN206" s="240"/>
      <c r="AO206" s="240"/>
      <c r="AP206" s="240"/>
      <c r="AQ206" s="240"/>
      <c r="AR206" s="240"/>
      <c r="AS206" s="240"/>
      <c r="AT206" s="240"/>
      <c r="AU206" s="240"/>
      <c r="AV206" s="240"/>
      <c r="AW206" s="240"/>
      <c r="AX206" s="240"/>
      <c r="AY206" s="250"/>
    </row>
    <row r="207" spans="1:51" ht="60" customHeight="1" x14ac:dyDescent="0.35">
      <c r="A207" s="246" t="s">
        <v>5912</v>
      </c>
      <c r="B207" s="234" t="s">
        <v>5913</v>
      </c>
      <c r="C207" s="234" t="s">
        <v>5909</v>
      </c>
      <c r="D207" s="234" t="s">
        <v>5914</v>
      </c>
      <c r="E207" s="234" t="s">
        <v>19</v>
      </c>
      <c r="F207" s="234" t="s">
        <v>19</v>
      </c>
      <c r="G207" s="234" t="s">
        <v>19</v>
      </c>
      <c r="H207" s="234" t="s">
        <v>5915</v>
      </c>
      <c r="I207" s="234" t="s">
        <v>19</v>
      </c>
      <c r="J207" s="234" t="s">
        <v>5916</v>
      </c>
      <c r="K207" s="237" t="str">
        <f>IF(COUNTIF(L207:AY207,"&lt;&gt;")=0,"",SUMPRODUCT(((Recommendations[ImplStatus]="Implemented")+(Recommendations[ImplStatus]="Compensated"))*ISNUMBER(MATCH(Recommendations[Id],L207:AY207,0)))/COUNTIF(L207:AY207,"&lt;&gt;"))</f>
        <v/>
      </c>
      <c r="L207" s="240"/>
      <c r="M207" s="240"/>
      <c r="N207" s="240"/>
      <c r="O207" s="240"/>
      <c r="P207" s="240"/>
      <c r="Q207" s="240"/>
      <c r="R207" s="240"/>
      <c r="S207" s="240"/>
      <c r="T207" s="240"/>
      <c r="U207" s="240"/>
      <c r="V207" s="240"/>
      <c r="W207" s="240"/>
      <c r="X207" s="240"/>
      <c r="Y207" s="240"/>
      <c r="Z207" s="240"/>
      <c r="AA207" s="240"/>
      <c r="AB207" s="240"/>
      <c r="AC207" s="240"/>
      <c r="AD207" s="240"/>
      <c r="AE207" s="240"/>
      <c r="AF207" s="240"/>
      <c r="AG207" s="240"/>
      <c r="AH207" s="240"/>
      <c r="AI207" s="240"/>
      <c r="AJ207" s="240"/>
      <c r="AK207" s="240"/>
      <c r="AL207" s="240"/>
      <c r="AM207" s="240"/>
      <c r="AN207" s="240"/>
      <c r="AO207" s="240"/>
      <c r="AP207" s="240"/>
      <c r="AQ207" s="240"/>
      <c r="AR207" s="240"/>
      <c r="AS207" s="240"/>
      <c r="AT207" s="240"/>
      <c r="AU207" s="240"/>
      <c r="AV207" s="240"/>
      <c r="AW207" s="240"/>
      <c r="AX207" s="240"/>
      <c r="AY207" s="250"/>
    </row>
    <row r="208" spans="1:51" ht="60" customHeight="1" x14ac:dyDescent="0.35">
      <c r="A208" s="246" t="s">
        <v>5917</v>
      </c>
      <c r="B208" s="234" t="s">
        <v>5918</v>
      </c>
      <c r="C208" s="234" t="s">
        <v>5919</v>
      </c>
      <c r="D208" s="234" t="s">
        <v>5914</v>
      </c>
      <c r="E208" s="234" t="s">
        <v>19</v>
      </c>
      <c r="F208" s="234" t="s">
        <v>5920</v>
      </c>
      <c r="G208" s="234" t="s">
        <v>5921</v>
      </c>
      <c r="H208" s="234" t="s">
        <v>5922</v>
      </c>
      <c r="I208" s="234" t="s">
        <v>5923</v>
      </c>
      <c r="J208" s="234" t="s">
        <v>5924</v>
      </c>
      <c r="K208" s="237" t="str">
        <f>IF(COUNTIF(L208:AY208,"&lt;&gt;")=0,"",SUMPRODUCT(((Recommendations[ImplStatus]="Implemented")+(Recommendations[ImplStatus]="Compensated"))*ISNUMBER(MATCH(Recommendations[Id],L208:AY208,0)))/COUNTIF(L208:AY208,"&lt;&gt;"))</f>
        <v/>
      </c>
      <c r="L208" s="240"/>
      <c r="M208" s="240"/>
      <c r="N208" s="240"/>
      <c r="O208" s="240"/>
      <c r="P208" s="240"/>
      <c r="Q208" s="240"/>
      <c r="R208" s="240"/>
      <c r="S208" s="240"/>
      <c r="T208" s="240"/>
      <c r="U208" s="240"/>
      <c r="V208" s="240"/>
      <c r="W208" s="240"/>
      <c r="X208" s="240"/>
      <c r="Y208" s="240"/>
      <c r="Z208" s="240"/>
      <c r="AA208" s="240"/>
      <c r="AB208" s="240"/>
      <c r="AC208" s="240"/>
      <c r="AD208" s="240"/>
      <c r="AE208" s="240"/>
      <c r="AF208" s="240"/>
      <c r="AG208" s="240"/>
      <c r="AH208" s="240"/>
      <c r="AI208" s="240"/>
      <c r="AJ208" s="240"/>
      <c r="AK208" s="240"/>
      <c r="AL208" s="240"/>
      <c r="AM208" s="240"/>
      <c r="AN208" s="240"/>
      <c r="AO208" s="240"/>
      <c r="AP208" s="240"/>
      <c r="AQ208" s="240"/>
      <c r="AR208" s="240"/>
      <c r="AS208" s="240"/>
      <c r="AT208" s="240"/>
      <c r="AU208" s="240"/>
      <c r="AV208" s="240"/>
      <c r="AW208" s="240"/>
      <c r="AX208" s="240"/>
      <c r="AY208" s="250"/>
    </row>
    <row r="209" spans="1:51" ht="60" customHeight="1" x14ac:dyDescent="0.35">
      <c r="A209" s="246" t="s">
        <v>5925</v>
      </c>
      <c r="B209" s="234" t="s">
        <v>5926</v>
      </c>
      <c r="C209" s="234" t="s">
        <v>5927</v>
      </c>
      <c r="D209" s="234" t="s">
        <v>5928</v>
      </c>
      <c r="E209" s="234" t="s">
        <v>19</v>
      </c>
      <c r="F209" s="234" t="s">
        <v>5920</v>
      </c>
      <c r="G209" s="234" t="s">
        <v>5929</v>
      </c>
      <c r="H209" s="234" t="s">
        <v>5930</v>
      </c>
      <c r="I209" s="234" t="s">
        <v>5923</v>
      </c>
      <c r="J209" s="234" t="s">
        <v>5931</v>
      </c>
      <c r="K209" s="237" t="str">
        <f>IF(COUNTIF(L209:AY209,"&lt;&gt;")=0,"",SUMPRODUCT(((Recommendations[ImplStatus]="Implemented")+(Recommendations[ImplStatus]="Compensated"))*ISNUMBER(MATCH(Recommendations[Id],L209:AY209,0)))/COUNTIF(L209:AY209,"&lt;&gt;"))</f>
        <v/>
      </c>
      <c r="L209" s="240"/>
      <c r="M209" s="240"/>
      <c r="N209" s="240"/>
      <c r="O209" s="240"/>
      <c r="P209" s="240"/>
      <c r="Q209" s="240"/>
      <c r="R209" s="240"/>
      <c r="S209" s="240"/>
      <c r="T209" s="240"/>
      <c r="U209" s="240"/>
      <c r="V209" s="240"/>
      <c r="W209" s="240"/>
      <c r="X209" s="240"/>
      <c r="Y209" s="240"/>
      <c r="Z209" s="240"/>
      <c r="AA209" s="240"/>
      <c r="AB209" s="240"/>
      <c r="AC209" s="240"/>
      <c r="AD209" s="240"/>
      <c r="AE209" s="240"/>
      <c r="AF209" s="240"/>
      <c r="AG209" s="240"/>
      <c r="AH209" s="240"/>
      <c r="AI209" s="240"/>
      <c r="AJ209" s="240"/>
      <c r="AK209" s="240"/>
      <c r="AL209" s="240"/>
      <c r="AM209" s="240"/>
      <c r="AN209" s="240"/>
      <c r="AO209" s="240"/>
      <c r="AP209" s="240"/>
      <c r="AQ209" s="240"/>
      <c r="AR209" s="240"/>
      <c r="AS209" s="240"/>
      <c r="AT209" s="240"/>
      <c r="AU209" s="240"/>
      <c r="AV209" s="240"/>
      <c r="AW209" s="240"/>
      <c r="AX209" s="240"/>
      <c r="AY209" s="250"/>
    </row>
    <row r="210" spans="1:51" ht="60" customHeight="1" outlineLevel="1" x14ac:dyDescent="0.35">
      <c r="A210" s="245" t="s">
        <v>2402</v>
      </c>
      <c r="B210" s="233" t="s">
        <v>5932</v>
      </c>
      <c r="C210" s="233"/>
      <c r="D210" s="233"/>
      <c r="E210" s="233"/>
      <c r="F210" s="233"/>
      <c r="G210" s="233"/>
      <c r="H210" s="233"/>
      <c r="I210" s="233"/>
      <c r="J210" s="233"/>
      <c r="K210" s="236" t="str">
        <f>IF(COUNTIF(L210:AY210,"&lt;&gt;")=0,"",SUMPRODUCT(((Recommendations[ImplStatus]="Implemented")+(Recommendations[ImplStatus]="Compensated"))*ISNUMBER(MATCH(Recommendations[Id],L210:AY210,0)))/COUNTIF(L210:AY210,"&lt;&gt;"))</f>
        <v/>
      </c>
      <c r="L210" s="239"/>
      <c r="M210" s="239"/>
      <c r="N210" s="239"/>
      <c r="O210" s="239"/>
      <c r="P210" s="239"/>
      <c r="Q210" s="239"/>
      <c r="R210" s="239"/>
      <c r="S210" s="239"/>
      <c r="T210" s="239"/>
      <c r="U210" s="239"/>
      <c r="V210" s="239"/>
      <c r="W210" s="239"/>
      <c r="X210" s="239"/>
      <c r="Y210" s="239"/>
      <c r="Z210" s="239"/>
      <c r="AA210" s="239"/>
      <c r="AB210" s="239"/>
      <c r="AC210" s="239"/>
      <c r="AD210" s="239"/>
      <c r="AE210" s="239"/>
      <c r="AF210" s="239"/>
      <c r="AG210" s="239"/>
      <c r="AH210" s="239"/>
      <c r="AI210" s="239"/>
      <c r="AJ210" s="239"/>
      <c r="AK210" s="239"/>
      <c r="AL210" s="239"/>
      <c r="AM210" s="239"/>
      <c r="AN210" s="239"/>
      <c r="AO210" s="239"/>
      <c r="AP210" s="239"/>
      <c r="AQ210" s="239"/>
      <c r="AR210" s="239"/>
      <c r="AS210" s="239"/>
      <c r="AT210" s="239"/>
      <c r="AU210" s="239"/>
      <c r="AV210" s="239"/>
      <c r="AW210" s="239"/>
      <c r="AX210" s="239"/>
      <c r="AY210" s="249"/>
    </row>
    <row r="211" spans="1:51" ht="60" customHeight="1" x14ac:dyDescent="0.35">
      <c r="A211" s="246" t="s">
        <v>5933</v>
      </c>
      <c r="B211" s="234" t="s">
        <v>5934</v>
      </c>
      <c r="C211" s="234" t="s">
        <v>5935</v>
      </c>
      <c r="D211" s="234" t="s">
        <v>5936</v>
      </c>
      <c r="E211" s="234" t="s">
        <v>19</v>
      </c>
      <c r="F211" s="234" t="s">
        <v>19</v>
      </c>
      <c r="G211" s="234" t="s">
        <v>5937</v>
      </c>
      <c r="H211" s="234" t="s">
        <v>5938</v>
      </c>
      <c r="I211" s="234" t="s">
        <v>5939</v>
      </c>
      <c r="J211" s="234" t="s">
        <v>5940</v>
      </c>
      <c r="K211" s="237" t="str">
        <f>IF(COUNTIF(L211:AY211,"&lt;&gt;")=0,"",SUMPRODUCT(((Recommendations[ImplStatus]="Implemented")+(Recommendations[ImplStatus]="Compensated"))*ISNUMBER(MATCH(Recommendations[Id],L211:AY211,0)))/COUNTIF(L211:AY211,"&lt;&gt;"))</f>
        <v/>
      </c>
      <c r="L211" s="240"/>
      <c r="M211" s="240"/>
      <c r="N211" s="240"/>
      <c r="O211" s="240"/>
      <c r="P211" s="240"/>
      <c r="Q211" s="240"/>
      <c r="R211" s="240"/>
      <c r="S211" s="240"/>
      <c r="T211" s="240"/>
      <c r="U211" s="240"/>
      <c r="V211" s="240"/>
      <c r="W211" s="240"/>
      <c r="X211" s="240"/>
      <c r="Y211" s="240"/>
      <c r="Z211" s="240"/>
      <c r="AA211" s="240"/>
      <c r="AB211" s="240"/>
      <c r="AC211" s="240"/>
      <c r="AD211" s="240"/>
      <c r="AE211" s="240"/>
      <c r="AF211" s="240"/>
      <c r="AG211" s="240"/>
      <c r="AH211" s="240"/>
      <c r="AI211" s="240"/>
      <c r="AJ211" s="240"/>
      <c r="AK211" s="240"/>
      <c r="AL211" s="240"/>
      <c r="AM211" s="240"/>
      <c r="AN211" s="240"/>
      <c r="AO211" s="240"/>
      <c r="AP211" s="240"/>
      <c r="AQ211" s="240"/>
      <c r="AR211" s="240"/>
      <c r="AS211" s="240"/>
      <c r="AT211" s="240"/>
      <c r="AU211" s="240"/>
      <c r="AV211" s="240"/>
      <c r="AW211" s="240"/>
      <c r="AX211" s="240"/>
      <c r="AY211" s="250"/>
    </row>
    <row r="212" spans="1:51" ht="60" customHeight="1" x14ac:dyDescent="0.35">
      <c r="A212" s="246" t="s">
        <v>5941</v>
      </c>
      <c r="B212" s="234" t="s">
        <v>5942</v>
      </c>
      <c r="C212" s="234" t="s">
        <v>5943</v>
      </c>
      <c r="D212" s="234" t="s">
        <v>5944</v>
      </c>
      <c r="E212" s="234" t="s">
        <v>19</v>
      </c>
      <c r="F212" s="234" t="s">
        <v>5945</v>
      </c>
      <c r="G212" s="234" t="s">
        <v>19</v>
      </c>
      <c r="H212" s="234" t="s">
        <v>19</v>
      </c>
      <c r="I212" s="234" t="s">
        <v>19</v>
      </c>
      <c r="J212" s="234" t="s">
        <v>5946</v>
      </c>
      <c r="K212" s="237" t="str">
        <f>IF(COUNTIF(L212:AY212,"&lt;&gt;")=0,"",SUMPRODUCT(((Recommendations[ImplStatus]="Implemented")+(Recommendations[ImplStatus]="Compensated"))*ISNUMBER(MATCH(Recommendations[Id],L212:AY212,0)))/COUNTIF(L212:AY212,"&lt;&gt;"))</f>
        <v/>
      </c>
      <c r="L212" s="240"/>
      <c r="M212" s="240"/>
      <c r="N212" s="240"/>
      <c r="O212" s="240"/>
      <c r="P212" s="240"/>
      <c r="Q212" s="240"/>
      <c r="R212" s="240"/>
      <c r="S212" s="240"/>
      <c r="T212" s="240"/>
      <c r="U212" s="240"/>
      <c r="V212" s="240"/>
      <c r="W212" s="240"/>
      <c r="X212" s="240"/>
      <c r="Y212" s="240"/>
      <c r="Z212" s="240"/>
      <c r="AA212" s="240"/>
      <c r="AB212" s="240"/>
      <c r="AC212" s="240"/>
      <c r="AD212" s="240"/>
      <c r="AE212" s="240"/>
      <c r="AF212" s="240"/>
      <c r="AG212" s="240"/>
      <c r="AH212" s="240"/>
      <c r="AI212" s="240"/>
      <c r="AJ212" s="240"/>
      <c r="AK212" s="240"/>
      <c r="AL212" s="240"/>
      <c r="AM212" s="240"/>
      <c r="AN212" s="240"/>
      <c r="AO212" s="240"/>
      <c r="AP212" s="240"/>
      <c r="AQ212" s="240"/>
      <c r="AR212" s="240"/>
      <c r="AS212" s="240"/>
      <c r="AT212" s="240"/>
      <c r="AU212" s="240"/>
      <c r="AV212" s="240"/>
      <c r="AW212" s="240"/>
      <c r="AX212" s="240"/>
      <c r="AY212" s="250"/>
    </row>
    <row r="213" spans="1:51" ht="60" customHeight="1" x14ac:dyDescent="0.35">
      <c r="A213" s="246" t="s">
        <v>5947</v>
      </c>
      <c r="B213" s="234" t="s">
        <v>5948</v>
      </c>
      <c r="C213" s="234" t="s">
        <v>5949</v>
      </c>
      <c r="D213" s="234" t="s">
        <v>5950</v>
      </c>
      <c r="E213" s="234" t="s">
        <v>19</v>
      </c>
      <c r="F213" s="234" t="s">
        <v>5951</v>
      </c>
      <c r="G213" s="234" t="s">
        <v>19</v>
      </c>
      <c r="H213" s="234" t="s">
        <v>5952</v>
      </c>
      <c r="I213" s="234" t="s">
        <v>19</v>
      </c>
      <c r="J213" s="234" t="s">
        <v>5953</v>
      </c>
      <c r="K213" s="237" t="str">
        <f>IF(COUNTIF(L213:AY213,"&lt;&gt;")=0,"",SUMPRODUCT(((Recommendations[ImplStatus]="Implemented")+(Recommendations[ImplStatus]="Compensated"))*ISNUMBER(MATCH(Recommendations[Id],L213:AY213,0)))/COUNTIF(L213:AY213,"&lt;&gt;"))</f>
        <v/>
      </c>
      <c r="L213" s="240"/>
      <c r="M213" s="240"/>
      <c r="N213" s="240"/>
      <c r="O213" s="240"/>
      <c r="P213" s="240"/>
      <c r="Q213" s="240"/>
      <c r="R213" s="240"/>
      <c r="S213" s="240"/>
      <c r="T213" s="240"/>
      <c r="U213" s="240"/>
      <c r="V213" s="240"/>
      <c r="W213" s="240"/>
      <c r="X213" s="240"/>
      <c r="Y213" s="240"/>
      <c r="Z213" s="240"/>
      <c r="AA213" s="240"/>
      <c r="AB213" s="240"/>
      <c r="AC213" s="240"/>
      <c r="AD213" s="240"/>
      <c r="AE213" s="240"/>
      <c r="AF213" s="240"/>
      <c r="AG213" s="240"/>
      <c r="AH213" s="240"/>
      <c r="AI213" s="240"/>
      <c r="AJ213" s="240"/>
      <c r="AK213" s="240"/>
      <c r="AL213" s="240"/>
      <c r="AM213" s="240"/>
      <c r="AN213" s="240"/>
      <c r="AO213" s="240"/>
      <c r="AP213" s="240"/>
      <c r="AQ213" s="240"/>
      <c r="AR213" s="240"/>
      <c r="AS213" s="240"/>
      <c r="AT213" s="240"/>
      <c r="AU213" s="240"/>
      <c r="AV213" s="240"/>
      <c r="AW213" s="240"/>
      <c r="AX213" s="240"/>
      <c r="AY213" s="250"/>
    </row>
    <row r="214" spans="1:51" ht="60" customHeight="1" x14ac:dyDescent="0.35">
      <c r="A214" s="246" t="s">
        <v>5954</v>
      </c>
      <c r="B214" s="234" t="s">
        <v>5955</v>
      </c>
      <c r="C214" s="234" t="s">
        <v>5956</v>
      </c>
      <c r="D214" s="234" t="s">
        <v>5957</v>
      </c>
      <c r="E214" s="234" t="s">
        <v>19</v>
      </c>
      <c r="F214" s="234" t="s">
        <v>19</v>
      </c>
      <c r="G214" s="234" t="s">
        <v>19</v>
      </c>
      <c r="H214" s="234" t="s">
        <v>5958</v>
      </c>
      <c r="I214" s="234" t="s">
        <v>5293</v>
      </c>
      <c r="J214" s="234" t="s">
        <v>5959</v>
      </c>
      <c r="K214" s="237" t="str">
        <f>IF(COUNTIF(L214:AY214,"&lt;&gt;")=0,"",SUMPRODUCT(((Recommendations[ImplStatus]="Implemented")+(Recommendations[ImplStatus]="Compensated"))*ISNUMBER(MATCH(Recommendations[Id],L214:AY214,0)))/COUNTIF(L214:AY214,"&lt;&gt;"))</f>
        <v/>
      </c>
      <c r="L214" s="240"/>
      <c r="M214" s="240"/>
      <c r="N214" s="240"/>
      <c r="O214" s="240"/>
      <c r="P214" s="240"/>
      <c r="Q214" s="240"/>
      <c r="R214" s="240"/>
      <c r="S214" s="240"/>
      <c r="T214" s="240"/>
      <c r="U214" s="240"/>
      <c r="V214" s="240"/>
      <c r="W214" s="240"/>
      <c r="X214" s="240"/>
      <c r="Y214" s="240"/>
      <c r="Z214" s="240"/>
      <c r="AA214" s="240"/>
      <c r="AB214" s="240"/>
      <c r="AC214" s="240"/>
      <c r="AD214" s="240"/>
      <c r="AE214" s="240"/>
      <c r="AF214" s="240"/>
      <c r="AG214" s="240"/>
      <c r="AH214" s="240"/>
      <c r="AI214" s="240"/>
      <c r="AJ214" s="240"/>
      <c r="AK214" s="240"/>
      <c r="AL214" s="240"/>
      <c r="AM214" s="240"/>
      <c r="AN214" s="240"/>
      <c r="AO214" s="240"/>
      <c r="AP214" s="240"/>
      <c r="AQ214" s="240"/>
      <c r="AR214" s="240"/>
      <c r="AS214" s="240"/>
      <c r="AT214" s="240"/>
      <c r="AU214" s="240"/>
      <c r="AV214" s="240"/>
      <c r="AW214" s="240"/>
      <c r="AX214" s="240"/>
      <c r="AY214" s="250"/>
    </row>
    <row r="215" spans="1:51" ht="60" customHeight="1" x14ac:dyDescent="0.35">
      <c r="A215" s="246" t="s">
        <v>5960</v>
      </c>
      <c r="B215" s="234" t="s">
        <v>5961</v>
      </c>
      <c r="C215" s="234" t="s">
        <v>5962</v>
      </c>
      <c r="D215" s="234" t="s">
        <v>5963</v>
      </c>
      <c r="E215" s="234" t="s">
        <v>19</v>
      </c>
      <c r="F215" s="234" t="s">
        <v>19</v>
      </c>
      <c r="G215" s="234" t="s">
        <v>19</v>
      </c>
      <c r="H215" s="234" t="s">
        <v>5964</v>
      </c>
      <c r="I215" s="234" t="s">
        <v>19</v>
      </c>
      <c r="J215" s="234" t="s">
        <v>5965</v>
      </c>
      <c r="K215" s="237" t="str">
        <f>IF(COUNTIF(L215:AY215,"&lt;&gt;")=0,"",SUMPRODUCT(((Recommendations[ImplStatus]="Implemented")+(Recommendations[ImplStatus]="Compensated"))*ISNUMBER(MATCH(Recommendations[Id],L215:AY215,0)))/COUNTIF(L215:AY215,"&lt;&gt;"))</f>
        <v/>
      </c>
      <c r="L215" s="240"/>
      <c r="M215" s="240"/>
      <c r="N215" s="240"/>
      <c r="O215" s="240"/>
      <c r="P215" s="240"/>
      <c r="Q215" s="240"/>
      <c r="R215" s="240"/>
      <c r="S215" s="240"/>
      <c r="T215" s="240"/>
      <c r="U215" s="240"/>
      <c r="V215" s="240"/>
      <c r="W215" s="240"/>
      <c r="X215" s="240"/>
      <c r="Y215" s="240"/>
      <c r="Z215" s="240"/>
      <c r="AA215" s="240"/>
      <c r="AB215" s="240"/>
      <c r="AC215" s="240"/>
      <c r="AD215" s="240"/>
      <c r="AE215" s="240"/>
      <c r="AF215" s="240"/>
      <c r="AG215" s="240"/>
      <c r="AH215" s="240"/>
      <c r="AI215" s="240"/>
      <c r="AJ215" s="240"/>
      <c r="AK215" s="240"/>
      <c r="AL215" s="240"/>
      <c r="AM215" s="240"/>
      <c r="AN215" s="240"/>
      <c r="AO215" s="240"/>
      <c r="AP215" s="240"/>
      <c r="AQ215" s="240"/>
      <c r="AR215" s="240"/>
      <c r="AS215" s="240"/>
      <c r="AT215" s="240"/>
      <c r="AU215" s="240"/>
      <c r="AV215" s="240"/>
      <c r="AW215" s="240"/>
      <c r="AX215" s="240"/>
      <c r="AY215" s="250"/>
    </row>
    <row r="216" spans="1:51" ht="60" customHeight="1" outlineLevel="1" x14ac:dyDescent="0.35">
      <c r="A216" s="244" t="s">
        <v>5966</v>
      </c>
      <c r="B216" s="232" t="s">
        <v>5967</v>
      </c>
      <c r="C216" s="232"/>
      <c r="D216" s="232"/>
      <c r="E216" s="232"/>
      <c r="F216" s="232"/>
      <c r="G216" s="232"/>
      <c r="H216" s="232"/>
      <c r="I216" s="232"/>
      <c r="J216" s="232"/>
      <c r="K216" s="235" t="str">
        <f>IF(COUNTIF(L216:AY216,"&lt;&gt;")=0,"",SUMPRODUCT(((Recommendations[ImplStatus]="Implemented")+(Recommendations[ImplStatus]="Compensated"))*ISNUMBER(MATCH(Recommendations[Id],L216:AY216,0)))/COUNTIF(L216:AY216,"&lt;&gt;"))</f>
        <v/>
      </c>
      <c r="L216" s="238"/>
      <c r="M216" s="238"/>
      <c r="N216" s="238"/>
      <c r="O216" s="238"/>
      <c r="P216" s="238"/>
      <c r="Q216" s="238"/>
      <c r="R216" s="238"/>
      <c r="S216" s="238"/>
      <c r="T216" s="238"/>
      <c r="U216" s="238"/>
      <c r="V216" s="238"/>
      <c r="W216" s="238"/>
      <c r="X216" s="238"/>
      <c r="Y216" s="238"/>
      <c r="Z216" s="238"/>
      <c r="AA216" s="238"/>
      <c r="AB216" s="238"/>
      <c r="AC216" s="238"/>
      <c r="AD216" s="238"/>
      <c r="AE216" s="238"/>
      <c r="AF216" s="238"/>
      <c r="AG216" s="238"/>
      <c r="AH216" s="238"/>
      <c r="AI216" s="238"/>
      <c r="AJ216" s="238"/>
      <c r="AK216" s="238"/>
      <c r="AL216" s="238"/>
      <c r="AM216" s="238"/>
      <c r="AN216" s="238"/>
      <c r="AO216" s="238"/>
      <c r="AP216" s="238"/>
      <c r="AQ216" s="238"/>
      <c r="AR216" s="238"/>
      <c r="AS216" s="238"/>
      <c r="AT216" s="238"/>
      <c r="AU216" s="238"/>
      <c r="AV216" s="238"/>
      <c r="AW216" s="238"/>
      <c r="AX216" s="238"/>
      <c r="AY216" s="248"/>
    </row>
    <row r="217" spans="1:51" ht="60" customHeight="1" outlineLevel="1" x14ac:dyDescent="0.35">
      <c r="A217" s="245" t="s">
        <v>2416</v>
      </c>
      <c r="B217" s="233" t="s">
        <v>5968</v>
      </c>
      <c r="C217" s="233"/>
      <c r="D217" s="233"/>
      <c r="E217" s="233"/>
      <c r="F217" s="233"/>
      <c r="G217" s="233"/>
      <c r="H217" s="233"/>
      <c r="I217" s="233"/>
      <c r="J217" s="233"/>
      <c r="K217" s="236" t="str">
        <f>IF(COUNTIF(L217:AY217,"&lt;&gt;")=0,"",SUMPRODUCT(((Recommendations[ImplStatus]="Implemented")+(Recommendations[ImplStatus]="Compensated"))*ISNUMBER(MATCH(Recommendations[Id],L217:AY217,0)))/COUNTIF(L217:AY217,"&lt;&gt;"))</f>
        <v/>
      </c>
      <c r="L217" s="239"/>
      <c r="M217" s="239"/>
      <c r="N217" s="239"/>
      <c r="O217" s="239"/>
      <c r="P217" s="239"/>
      <c r="Q217" s="239"/>
      <c r="R217" s="239"/>
      <c r="S217" s="239"/>
      <c r="T217" s="239"/>
      <c r="U217" s="239"/>
      <c r="V217" s="239"/>
      <c r="W217" s="239"/>
      <c r="X217" s="239"/>
      <c r="Y217" s="239"/>
      <c r="Z217" s="239"/>
      <c r="AA217" s="239"/>
      <c r="AB217" s="239"/>
      <c r="AC217" s="239"/>
      <c r="AD217" s="239"/>
      <c r="AE217" s="239"/>
      <c r="AF217" s="239"/>
      <c r="AG217" s="239"/>
      <c r="AH217" s="239"/>
      <c r="AI217" s="239"/>
      <c r="AJ217" s="239"/>
      <c r="AK217" s="239"/>
      <c r="AL217" s="239"/>
      <c r="AM217" s="239"/>
      <c r="AN217" s="239"/>
      <c r="AO217" s="239"/>
      <c r="AP217" s="239"/>
      <c r="AQ217" s="239"/>
      <c r="AR217" s="239"/>
      <c r="AS217" s="239"/>
      <c r="AT217" s="239"/>
      <c r="AU217" s="239"/>
      <c r="AV217" s="239"/>
      <c r="AW217" s="239"/>
      <c r="AX217" s="239"/>
      <c r="AY217" s="249"/>
    </row>
    <row r="218" spans="1:51" ht="60" customHeight="1" x14ac:dyDescent="0.35">
      <c r="A218" s="246" t="s">
        <v>5969</v>
      </c>
      <c r="B218" s="234" t="s">
        <v>5970</v>
      </c>
      <c r="C218" s="234" t="s">
        <v>5971</v>
      </c>
      <c r="D218" s="234" t="s">
        <v>5065</v>
      </c>
      <c r="E218" s="234" t="s">
        <v>4851</v>
      </c>
      <c r="F218" s="234" t="s">
        <v>19</v>
      </c>
      <c r="G218" s="234" t="s">
        <v>19</v>
      </c>
      <c r="H218" s="234" t="s">
        <v>5972</v>
      </c>
      <c r="I218" s="234" t="s">
        <v>19</v>
      </c>
      <c r="J218" s="234" t="s">
        <v>5973</v>
      </c>
      <c r="K218" s="237" t="str">
        <f>IF(COUNTIF(L218:AY218,"&lt;&gt;")=0,"",SUMPRODUCT(((Recommendations[ImplStatus]="Implemented")+(Recommendations[ImplStatus]="Compensated"))*ISNUMBER(MATCH(Recommendations[Id],L218:AY218,0)))/COUNTIF(L218:AY218,"&lt;&gt;"))</f>
        <v/>
      </c>
      <c r="L218" s="240"/>
      <c r="M218" s="240"/>
      <c r="N218" s="240"/>
      <c r="O218" s="240"/>
      <c r="P218" s="240"/>
      <c r="Q218" s="240"/>
      <c r="R218" s="240"/>
      <c r="S218" s="240"/>
      <c r="T218" s="240"/>
      <c r="U218" s="240"/>
      <c r="V218" s="240"/>
      <c r="W218" s="240"/>
      <c r="X218" s="240"/>
      <c r="Y218" s="240"/>
      <c r="Z218" s="240"/>
      <c r="AA218" s="240"/>
      <c r="AB218" s="240"/>
      <c r="AC218" s="240"/>
      <c r="AD218" s="240"/>
      <c r="AE218" s="240"/>
      <c r="AF218" s="240"/>
      <c r="AG218" s="240"/>
      <c r="AH218" s="240"/>
      <c r="AI218" s="240"/>
      <c r="AJ218" s="240"/>
      <c r="AK218" s="240"/>
      <c r="AL218" s="240"/>
      <c r="AM218" s="240"/>
      <c r="AN218" s="240"/>
      <c r="AO218" s="240"/>
      <c r="AP218" s="240"/>
      <c r="AQ218" s="240"/>
      <c r="AR218" s="240"/>
      <c r="AS218" s="240"/>
      <c r="AT218" s="240"/>
      <c r="AU218" s="240"/>
      <c r="AV218" s="240"/>
      <c r="AW218" s="240"/>
      <c r="AX218" s="240"/>
      <c r="AY218" s="250"/>
    </row>
    <row r="219" spans="1:51" ht="60" customHeight="1" x14ac:dyDescent="0.35">
      <c r="A219" s="246" t="s">
        <v>5974</v>
      </c>
      <c r="B219" s="234" t="s">
        <v>5975</v>
      </c>
      <c r="C219" s="234" t="s">
        <v>4856</v>
      </c>
      <c r="D219" s="234" t="s">
        <v>4857</v>
      </c>
      <c r="E219" s="234" t="s">
        <v>19</v>
      </c>
      <c r="F219" s="234" t="s">
        <v>4859</v>
      </c>
      <c r="G219" s="234" t="s">
        <v>19</v>
      </c>
      <c r="H219" s="234" t="s">
        <v>5976</v>
      </c>
      <c r="I219" s="234" t="s">
        <v>19</v>
      </c>
      <c r="J219" s="234" t="s">
        <v>5977</v>
      </c>
      <c r="K219" s="237" t="str">
        <f>IF(COUNTIF(L219:AY219,"&lt;&gt;")=0,"",SUMPRODUCT(((Recommendations[ImplStatus]="Implemented")+(Recommendations[ImplStatus]="Compensated"))*ISNUMBER(MATCH(Recommendations[Id],L219:AY219,0)))/COUNTIF(L219:AY219,"&lt;&gt;"))</f>
        <v/>
      </c>
      <c r="L219" s="240"/>
      <c r="M219" s="240"/>
      <c r="N219" s="240"/>
      <c r="O219" s="240"/>
      <c r="P219" s="240"/>
      <c r="Q219" s="240"/>
      <c r="R219" s="240"/>
      <c r="S219" s="240"/>
      <c r="T219" s="240"/>
      <c r="U219" s="240"/>
      <c r="V219" s="240"/>
      <c r="W219" s="240"/>
      <c r="X219" s="240"/>
      <c r="Y219" s="240"/>
      <c r="Z219" s="240"/>
      <c r="AA219" s="240"/>
      <c r="AB219" s="240"/>
      <c r="AC219" s="240"/>
      <c r="AD219" s="240"/>
      <c r="AE219" s="240"/>
      <c r="AF219" s="240"/>
      <c r="AG219" s="240"/>
      <c r="AH219" s="240"/>
      <c r="AI219" s="240"/>
      <c r="AJ219" s="240"/>
      <c r="AK219" s="240"/>
      <c r="AL219" s="240"/>
      <c r="AM219" s="240"/>
      <c r="AN219" s="240"/>
      <c r="AO219" s="240"/>
      <c r="AP219" s="240"/>
      <c r="AQ219" s="240"/>
      <c r="AR219" s="240"/>
      <c r="AS219" s="240"/>
      <c r="AT219" s="240"/>
      <c r="AU219" s="240"/>
      <c r="AV219" s="240"/>
      <c r="AW219" s="240"/>
      <c r="AX219" s="240"/>
      <c r="AY219" s="250"/>
    </row>
    <row r="220" spans="1:51" ht="60" customHeight="1" outlineLevel="1" x14ac:dyDescent="0.35">
      <c r="A220" s="245" t="s">
        <v>2420</v>
      </c>
      <c r="B220" s="233" t="s">
        <v>5978</v>
      </c>
      <c r="C220" s="233"/>
      <c r="D220" s="233"/>
      <c r="E220" s="233"/>
      <c r="F220" s="233"/>
      <c r="G220" s="233"/>
      <c r="H220" s="233"/>
      <c r="I220" s="233"/>
      <c r="J220" s="233"/>
      <c r="K220" s="236" t="str">
        <f>IF(COUNTIF(L220:AY220,"&lt;&gt;")=0,"",SUMPRODUCT(((Recommendations[ImplStatus]="Implemented")+(Recommendations[ImplStatus]="Compensated"))*ISNUMBER(MATCH(Recommendations[Id],L220:AY220,0)))/COUNTIF(L220:AY220,"&lt;&gt;"))</f>
        <v/>
      </c>
      <c r="L220" s="239"/>
      <c r="M220" s="239"/>
      <c r="N220" s="239"/>
      <c r="O220" s="239"/>
      <c r="P220" s="239"/>
      <c r="Q220" s="239"/>
      <c r="R220" s="239"/>
      <c r="S220" s="239"/>
      <c r="T220" s="239"/>
      <c r="U220" s="239"/>
      <c r="V220" s="239"/>
      <c r="W220" s="239"/>
      <c r="X220" s="239"/>
      <c r="Y220" s="239"/>
      <c r="Z220" s="239"/>
      <c r="AA220" s="239"/>
      <c r="AB220" s="239"/>
      <c r="AC220" s="239"/>
      <c r="AD220" s="239"/>
      <c r="AE220" s="239"/>
      <c r="AF220" s="239"/>
      <c r="AG220" s="239"/>
      <c r="AH220" s="239"/>
      <c r="AI220" s="239"/>
      <c r="AJ220" s="239"/>
      <c r="AK220" s="239"/>
      <c r="AL220" s="239"/>
      <c r="AM220" s="239"/>
      <c r="AN220" s="239"/>
      <c r="AO220" s="239"/>
      <c r="AP220" s="239"/>
      <c r="AQ220" s="239"/>
      <c r="AR220" s="239"/>
      <c r="AS220" s="239"/>
      <c r="AT220" s="239"/>
      <c r="AU220" s="239"/>
      <c r="AV220" s="239"/>
      <c r="AW220" s="239"/>
      <c r="AX220" s="239"/>
      <c r="AY220" s="249"/>
    </row>
    <row r="221" spans="1:51" ht="60" customHeight="1" x14ac:dyDescent="0.35">
      <c r="A221" s="246" t="s">
        <v>5979</v>
      </c>
      <c r="B221" s="234" t="s">
        <v>5980</v>
      </c>
      <c r="C221" s="234" t="s">
        <v>5981</v>
      </c>
      <c r="D221" s="234" t="s">
        <v>5982</v>
      </c>
      <c r="E221" s="234" t="s">
        <v>19</v>
      </c>
      <c r="F221" s="234" t="s">
        <v>19</v>
      </c>
      <c r="G221" s="234" t="s">
        <v>19</v>
      </c>
      <c r="H221" s="234" t="s">
        <v>5983</v>
      </c>
      <c r="I221" s="234" t="s">
        <v>19</v>
      </c>
      <c r="J221" s="234" t="s">
        <v>5984</v>
      </c>
      <c r="K221" s="237">
        <f>IF(COUNTIF(L221:AY221,"&lt;&gt;")=0,"",SUMPRODUCT(((Recommendations[ImplStatus]="Implemented")+(Recommendations[ImplStatus]="Compensated"))*ISNUMBER(MATCH(Recommendations[Id],L221:AY221,0)))/COUNTIF(L221:AY221,"&lt;&gt;"))</f>
        <v>0</v>
      </c>
      <c r="L221" s="240" t="s">
        <v>13</v>
      </c>
      <c r="M221" s="240" t="s">
        <v>23</v>
      </c>
      <c r="N221" s="240" t="s">
        <v>53</v>
      </c>
      <c r="O221" s="240" t="s">
        <v>67</v>
      </c>
      <c r="P221" s="240" t="s">
        <v>72</v>
      </c>
      <c r="Q221" s="240" t="s">
        <v>77</v>
      </c>
      <c r="R221" s="240" t="s">
        <v>102</v>
      </c>
      <c r="S221" s="240" t="s">
        <v>107</v>
      </c>
      <c r="T221" s="240" t="s">
        <v>116</v>
      </c>
      <c r="U221" s="240" t="s">
        <v>139</v>
      </c>
      <c r="V221" s="240" t="s">
        <v>144</v>
      </c>
      <c r="W221" s="240" t="s">
        <v>288</v>
      </c>
      <c r="X221" s="240" t="s">
        <v>318</v>
      </c>
      <c r="Y221" s="240" t="s">
        <v>328</v>
      </c>
      <c r="Z221" s="240" t="s">
        <v>405</v>
      </c>
      <c r="AA221" s="240" t="s">
        <v>422</v>
      </c>
      <c r="AB221" s="240" t="s">
        <v>441</v>
      </c>
      <c r="AC221" s="240" t="s">
        <v>451</v>
      </c>
      <c r="AD221" s="240" t="s">
        <v>456</v>
      </c>
      <c r="AE221" s="240" t="s">
        <v>478</v>
      </c>
      <c r="AF221" s="240" t="s">
        <v>627</v>
      </c>
      <c r="AG221" s="240" t="s">
        <v>631</v>
      </c>
      <c r="AH221" s="240" t="s">
        <v>636</v>
      </c>
      <c r="AI221" s="240" t="s">
        <v>640</v>
      </c>
      <c r="AJ221" s="240" t="s">
        <v>807</v>
      </c>
      <c r="AK221" s="240" t="s">
        <v>812</v>
      </c>
      <c r="AL221" s="240" t="s">
        <v>906</v>
      </c>
      <c r="AM221" s="240" t="s">
        <v>916</v>
      </c>
      <c r="AN221" s="240" t="s">
        <v>987</v>
      </c>
      <c r="AO221" s="240" t="s">
        <v>1012</v>
      </c>
      <c r="AP221" s="240" t="s">
        <v>1026</v>
      </c>
      <c r="AQ221" s="240" t="s">
        <v>1135</v>
      </c>
      <c r="AR221" s="240" t="s">
        <v>1165</v>
      </c>
      <c r="AS221" s="240" t="s">
        <v>1169</v>
      </c>
      <c r="AT221" s="240" t="s">
        <v>1179</v>
      </c>
      <c r="AU221" s="240" t="s">
        <v>1219</v>
      </c>
      <c r="AV221" s="240" t="s">
        <v>1224</v>
      </c>
      <c r="AW221" s="240" t="s">
        <v>1259</v>
      </c>
      <c r="AX221" s="240" t="s">
        <v>1268</v>
      </c>
      <c r="AY221" s="250" t="s">
        <v>1273</v>
      </c>
    </row>
    <row r="222" spans="1:51" ht="60" customHeight="1" x14ac:dyDescent="0.35">
      <c r="A222" s="246" t="s">
        <v>5985</v>
      </c>
      <c r="B222" s="234" t="s">
        <v>5986</v>
      </c>
      <c r="C222" s="234" t="s">
        <v>5987</v>
      </c>
      <c r="D222" s="234" t="s">
        <v>5988</v>
      </c>
      <c r="E222" s="234" t="s">
        <v>19</v>
      </c>
      <c r="F222" s="234" t="s">
        <v>19</v>
      </c>
      <c r="G222" s="234" t="s">
        <v>19</v>
      </c>
      <c r="H222" s="234" t="s">
        <v>5989</v>
      </c>
      <c r="I222" s="234" t="s">
        <v>19</v>
      </c>
      <c r="J222" s="234" t="s">
        <v>5990</v>
      </c>
      <c r="K222" s="237">
        <f>IF(COUNTIF(L222:AY222,"&lt;&gt;")=0,"",SUMPRODUCT(((Recommendations[ImplStatus]="Implemented")+(Recommendations[ImplStatus]="Compensated"))*ISNUMBER(MATCH(Recommendations[Id],L222:AY222,0)))/COUNTIF(L222:AY222,"&lt;&gt;"))</f>
        <v>0</v>
      </c>
      <c r="L222" s="240" t="s">
        <v>1155</v>
      </c>
      <c r="M222" s="240" t="s">
        <v>1160</v>
      </c>
      <c r="N222" s="240"/>
      <c r="O222" s="240"/>
      <c r="P222" s="240"/>
      <c r="Q222" s="240"/>
      <c r="R222" s="240"/>
      <c r="S222" s="240"/>
      <c r="T222" s="240"/>
      <c r="U222" s="240"/>
      <c r="V222" s="240"/>
      <c r="W222" s="240"/>
      <c r="X222" s="240"/>
      <c r="Y222" s="240"/>
      <c r="Z222" s="240"/>
      <c r="AA222" s="240"/>
      <c r="AB222" s="240"/>
      <c r="AC222" s="240"/>
      <c r="AD222" s="240"/>
      <c r="AE222" s="240"/>
      <c r="AF222" s="240"/>
      <c r="AG222" s="240"/>
      <c r="AH222" s="240"/>
      <c r="AI222" s="240"/>
      <c r="AJ222" s="240"/>
      <c r="AK222" s="240"/>
      <c r="AL222" s="240"/>
      <c r="AM222" s="240"/>
      <c r="AN222" s="240"/>
      <c r="AO222" s="240"/>
      <c r="AP222" s="240"/>
      <c r="AQ222" s="240"/>
      <c r="AR222" s="240"/>
      <c r="AS222" s="240"/>
      <c r="AT222" s="240"/>
      <c r="AU222" s="240"/>
      <c r="AV222" s="240"/>
      <c r="AW222" s="240"/>
      <c r="AX222" s="240"/>
      <c r="AY222" s="250"/>
    </row>
    <row r="223" spans="1:51" ht="60" customHeight="1" x14ac:dyDescent="0.35">
      <c r="A223" s="246" t="s">
        <v>5991</v>
      </c>
      <c r="B223" s="234" t="s">
        <v>5992</v>
      </c>
      <c r="C223" s="234" t="s">
        <v>5993</v>
      </c>
      <c r="D223" s="234" t="s">
        <v>19</v>
      </c>
      <c r="E223" s="234" t="s">
        <v>5994</v>
      </c>
      <c r="F223" s="234" t="s">
        <v>19</v>
      </c>
      <c r="G223" s="234" t="s">
        <v>19</v>
      </c>
      <c r="H223" s="234" t="s">
        <v>5995</v>
      </c>
      <c r="I223" s="234" t="s">
        <v>19</v>
      </c>
      <c r="J223" s="234" t="s">
        <v>5996</v>
      </c>
      <c r="K223" s="237">
        <f>IF(COUNTIF(L223:AY223,"&lt;&gt;")=0,"",SUMPRODUCT(((Recommendations[ImplStatus]="Implemented")+(Recommendations[ImplStatus]="Compensated"))*ISNUMBER(MATCH(Recommendations[Id],L223:AY223,0)))/COUNTIF(L223:AY223,"&lt;&gt;"))</f>
        <v>0</v>
      </c>
      <c r="L223" s="240" t="s">
        <v>878</v>
      </c>
      <c r="M223" s="240" t="s">
        <v>1007</v>
      </c>
      <c r="N223" s="240" t="s">
        <v>1035</v>
      </c>
      <c r="O223" s="240" t="s">
        <v>1040</v>
      </c>
      <c r="P223" s="240" t="s">
        <v>1070</v>
      </c>
      <c r="Q223" s="240" t="s">
        <v>1085</v>
      </c>
      <c r="R223" s="240" t="s">
        <v>1110</v>
      </c>
      <c r="S223" s="240" t="s">
        <v>1115</v>
      </c>
      <c r="T223" s="240" t="s">
        <v>1728</v>
      </c>
      <c r="U223" s="240"/>
      <c r="V223" s="240"/>
      <c r="W223" s="240"/>
      <c r="X223" s="240"/>
      <c r="Y223" s="240"/>
      <c r="Z223" s="240"/>
      <c r="AA223" s="240"/>
      <c r="AB223" s="240"/>
      <c r="AC223" s="240"/>
      <c r="AD223" s="240"/>
      <c r="AE223" s="240"/>
      <c r="AF223" s="240"/>
      <c r="AG223" s="240"/>
      <c r="AH223" s="240"/>
      <c r="AI223" s="240"/>
      <c r="AJ223" s="240"/>
      <c r="AK223" s="240"/>
      <c r="AL223" s="240"/>
      <c r="AM223" s="240"/>
      <c r="AN223" s="240"/>
      <c r="AO223" s="240"/>
      <c r="AP223" s="240"/>
      <c r="AQ223" s="240"/>
      <c r="AR223" s="240"/>
      <c r="AS223" s="240"/>
      <c r="AT223" s="240"/>
      <c r="AU223" s="240"/>
      <c r="AV223" s="240"/>
      <c r="AW223" s="240"/>
      <c r="AX223" s="240"/>
      <c r="AY223" s="250"/>
    </row>
    <row r="224" spans="1:51" ht="60" customHeight="1" x14ac:dyDescent="0.35">
      <c r="A224" s="246" t="s">
        <v>5997</v>
      </c>
      <c r="B224" s="234" t="s">
        <v>5998</v>
      </c>
      <c r="C224" s="234" t="s">
        <v>5999</v>
      </c>
      <c r="D224" s="234" t="s">
        <v>19</v>
      </c>
      <c r="E224" s="234" t="s">
        <v>19</v>
      </c>
      <c r="F224" s="234" t="s">
        <v>19</v>
      </c>
      <c r="G224" s="234" t="s">
        <v>19</v>
      </c>
      <c r="H224" s="234" t="s">
        <v>6000</v>
      </c>
      <c r="I224" s="234" t="s">
        <v>19</v>
      </c>
      <c r="J224" s="234" t="s">
        <v>6001</v>
      </c>
      <c r="K224" s="237">
        <f>IF(COUNTIF(L224:AY224,"&lt;&gt;")=0,"",SUMPRODUCT(((Recommendations[ImplStatus]="Implemented")+(Recommendations[ImplStatus]="Compensated"))*ISNUMBER(MATCH(Recommendations[Id],L224:AY224,0)))/COUNTIF(L224:AY224,"&lt;&gt;"))</f>
        <v>0</v>
      </c>
      <c r="L224" s="240" t="s">
        <v>992</v>
      </c>
      <c r="M224" s="240" t="s">
        <v>1075</v>
      </c>
      <c r="N224" s="240" t="s">
        <v>1125</v>
      </c>
      <c r="O224" s="240" t="s">
        <v>1130</v>
      </c>
      <c r="P224" s="240" t="s">
        <v>1145</v>
      </c>
      <c r="Q224" s="240"/>
      <c r="R224" s="240"/>
      <c r="S224" s="240"/>
      <c r="T224" s="240"/>
      <c r="U224" s="240"/>
      <c r="V224" s="240"/>
      <c r="W224" s="240"/>
      <c r="X224" s="240"/>
      <c r="Y224" s="240"/>
      <c r="Z224" s="240"/>
      <c r="AA224" s="240"/>
      <c r="AB224" s="240"/>
      <c r="AC224" s="240"/>
      <c r="AD224" s="240"/>
      <c r="AE224" s="240"/>
      <c r="AF224" s="240"/>
      <c r="AG224" s="240"/>
      <c r="AH224" s="240"/>
      <c r="AI224" s="240"/>
      <c r="AJ224" s="240"/>
      <c r="AK224" s="240"/>
      <c r="AL224" s="240"/>
      <c r="AM224" s="240"/>
      <c r="AN224" s="240"/>
      <c r="AO224" s="240"/>
      <c r="AP224" s="240"/>
      <c r="AQ224" s="240"/>
      <c r="AR224" s="240"/>
      <c r="AS224" s="240"/>
      <c r="AT224" s="240"/>
      <c r="AU224" s="240"/>
      <c r="AV224" s="240"/>
      <c r="AW224" s="240"/>
      <c r="AX224" s="240"/>
      <c r="AY224" s="250"/>
    </row>
    <row r="225" spans="1:51" ht="60" customHeight="1" x14ac:dyDescent="0.35">
      <c r="A225" s="246" t="s">
        <v>6002</v>
      </c>
      <c r="B225" s="234" t="s">
        <v>6003</v>
      </c>
      <c r="C225" s="234" t="s">
        <v>6004</v>
      </c>
      <c r="D225" s="234" t="s">
        <v>19</v>
      </c>
      <c r="E225" s="234" t="s">
        <v>19</v>
      </c>
      <c r="F225" s="234" t="s">
        <v>19</v>
      </c>
      <c r="G225" s="234" t="s">
        <v>19</v>
      </c>
      <c r="H225" s="234" t="s">
        <v>6005</v>
      </c>
      <c r="I225" s="234" t="s">
        <v>19</v>
      </c>
      <c r="J225" s="234" t="s">
        <v>19</v>
      </c>
      <c r="K225" s="237">
        <f>IF(COUNTIF(L225:AY225,"&lt;&gt;")=0,"",SUMPRODUCT(((Recommendations[ImplStatus]="Implemented")+(Recommendations[ImplStatus]="Compensated"))*ISNUMBER(MATCH(Recommendations[Id],L225:AY225,0)))/COUNTIF(L225:AY225,"&lt;&gt;"))</f>
        <v>0</v>
      </c>
      <c r="L225" s="240" t="s">
        <v>1155</v>
      </c>
      <c r="M225" s="240" t="s">
        <v>1160</v>
      </c>
      <c r="N225" s="240"/>
      <c r="O225" s="240"/>
      <c r="P225" s="240"/>
      <c r="Q225" s="240"/>
      <c r="R225" s="240"/>
      <c r="S225" s="240"/>
      <c r="T225" s="240"/>
      <c r="U225" s="240"/>
      <c r="V225" s="240"/>
      <c r="W225" s="240"/>
      <c r="X225" s="240"/>
      <c r="Y225" s="240"/>
      <c r="Z225" s="240"/>
      <c r="AA225" s="240"/>
      <c r="AB225" s="240"/>
      <c r="AC225" s="240"/>
      <c r="AD225" s="240"/>
      <c r="AE225" s="240"/>
      <c r="AF225" s="240"/>
      <c r="AG225" s="240"/>
      <c r="AH225" s="240"/>
      <c r="AI225" s="240"/>
      <c r="AJ225" s="240"/>
      <c r="AK225" s="240"/>
      <c r="AL225" s="240"/>
      <c r="AM225" s="240"/>
      <c r="AN225" s="240"/>
      <c r="AO225" s="240"/>
      <c r="AP225" s="240"/>
      <c r="AQ225" s="240"/>
      <c r="AR225" s="240"/>
      <c r="AS225" s="240"/>
      <c r="AT225" s="240"/>
      <c r="AU225" s="240"/>
      <c r="AV225" s="240"/>
      <c r="AW225" s="240"/>
      <c r="AX225" s="240"/>
      <c r="AY225" s="250"/>
    </row>
    <row r="226" spans="1:51" ht="60" customHeight="1" x14ac:dyDescent="0.35">
      <c r="A226" s="246" t="s">
        <v>6006</v>
      </c>
      <c r="B226" s="234" t="s">
        <v>6007</v>
      </c>
      <c r="C226" s="234" t="s">
        <v>6008</v>
      </c>
      <c r="D226" s="234" t="s">
        <v>19</v>
      </c>
      <c r="E226" s="234" t="s">
        <v>19</v>
      </c>
      <c r="F226" s="234" t="s">
        <v>19</v>
      </c>
      <c r="G226" s="234" t="s">
        <v>19</v>
      </c>
      <c r="H226" s="234" t="s">
        <v>6009</v>
      </c>
      <c r="I226" s="234" t="s">
        <v>19</v>
      </c>
      <c r="J226" s="234" t="s">
        <v>6010</v>
      </c>
      <c r="K226" s="237">
        <f>IF(COUNTIF(L226:AY226,"&lt;&gt;")=0,"",SUMPRODUCT(((Recommendations[ImplStatus]="Implemented")+(Recommendations[ImplStatus]="Compensated"))*ISNUMBER(MATCH(Recommendations[Id],L226:AY226,0)))/COUNTIF(L226:AY226,"&lt;&gt;"))</f>
        <v>0</v>
      </c>
      <c r="L226" s="240" t="s">
        <v>997</v>
      </c>
      <c r="M226" s="240" t="s">
        <v>1030</v>
      </c>
      <c r="N226" s="240" t="s">
        <v>1055</v>
      </c>
      <c r="O226" s="240" t="s">
        <v>1065</v>
      </c>
      <c r="P226" s="240" t="s">
        <v>1100</v>
      </c>
      <c r="Q226" s="240" t="s">
        <v>1140</v>
      </c>
      <c r="R226" s="240"/>
      <c r="S226" s="240"/>
      <c r="T226" s="240"/>
      <c r="U226" s="240"/>
      <c r="V226" s="240"/>
      <c r="W226" s="240"/>
      <c r="X226" s="240"/>
      <c r="Y226" s="240"/>
      <c r="Z226" s="240"/>
      <c r="AA226" s="240"/>
      <c r="AB226" s="240"/>
      <c r="AC226" s="240"/>
      <c r="AD226" s="240"/>
      <c r="AE226" s="240"/>
      <c r="AF226" s="240"/>
      <c r="AG226" s="240"/>
      <c r="AH226" s="240"/>
      <c r="AI226" s="240"/>
      <c r="AJ226" s="240"/>
      <c r="AK226" s="240"/>
      <c r="AL226" s="240"/>
      <c r="AM226" s="240"/>
      <c r="AN226" s="240"/>
      <c r="AO226" s="240"/>
      <c r="AP226" s="240"/>
      <c r="AQ226" s="240"/>
      <c r="AR226" s="240"/>
      <c r="AS226" s="240"/>
      <c r="AT226" s="240"/>
      <c r="AU226" s="240"/>
      <c r="AV226" s="240"/>
      <c r="AW226" s="240"/>
      <c r="AX226" s="240"/>
      <c r="AY226" s="250"/>
    </row>
    <row r="227" spans="1:51" ht="60" customHeight="1" x14ac:dyDescent="0.35">
      <c r="A227" s="246" t="s">
        <v>6011</v>
      </c>
      <c r="B227" s="234" t="s">
        <v>6012</v>
      </c>
      <c r="C227" s="234" t="s">
        <v>6013</v>
      </c>
      <c r="D227" s="234" t="s">
        <v>19</v>
      </c>
      <c r="E227" s="234" t="s">
        <v>19</v>
      </c>
      <c r="F227" s="234" t="s">
        <v>19</v>
      </c>
      <c r="G227" s="234" t="s">
        <v>19</v>
      </c>
      <c r="H227" s="234" t="s">
        <v>6014</v>
      </c>
      <c r="I227" s="234" t="s">
        <v>19</v>
      </c>
      <c r="J227" s="234" t="s">
        <v>6015</v>
      </c>
      <c r="K227" s="237">
        <f>IF(COUNTIF(L227:AY227,"&lt;&gt;")=0,"",SUMPRODUCT(((Recommendations[ImplStatus]="Implemented")+(Recommendations[ImplStatus]="Compensated"))*ISNUMBER(MATCH(Recommendations[Id],L227:AY227,0)))/COUNTIF(L227:AY227,"&lt;&gt;"))</f>
        <v>0</v>
      </c>
      <c r="L227" s="240" t="s">
        <v>1002</v>
      </c>
      <c r="M227" s="240" t="s">
        <v>1017</v>
      </c>
      <c r="N227" s="240" t="s">
        <v>1022</v>
      </c>
      <c r="O227" s="240" t="s">
        <v>1045</v>
      </c>
      <c r="P227" s="240" t="s">
        <v>1050</v>
      </c>
      <c r="Q227" s="240" t="s">
        <v>1060</v>
      </c>
      <c r="R227" s="240" t="s">
        <v>1090</v>
      </c>
      <c r="S227" s="240" t="s">
        <v>1105</v>
      </c>
      <c r="T227" s="240" t="s">
        <v>1150</v>
      </c>
      <c r="U227" s="240" t="s">
        <v>1174</v>
      </c>
      <c r="V227" s="240"/>
      <c r="W227" s="240"/>
      <c r="X227" s="240"/>
      <c r="Y227" s="240"/>
      <c r="Z227" s="240"/>
      <c r="AA227" s="240"/>
      <c r="AB227" s="240"/>
      <c r="AC227" s="240"/>
      <c r="AD227" s="240"/>
      <c r="AE227" s="240"/>
      <c r="AF227" s="240"/>
      <c r="AG227" s="240"/>
      <c r="AH227" s="240"/>
      <c r="AI227" s="240"/>
      <c r="AJ227" s="240"/>
      <c r="AK227" s="240"/>
      <c r="AL227" s="240"/>
      <c r="AM227" s="240"/>
      <c r="AN227" s="240"/>
      <c r="AO227" s="240"/>
      <c r="AP227" s="240"/>
      <c r="AQ227" s="240"/>
      <c r="AR227" s="240"/>
      <c r="AS227" s="240"/>
      <c r="AT227" s="240"/>
      <c r="AU227" s="240"/>
      <c r="AV227" s="240"/>
      <c r="AW227" s="240"/>
      <c r="AX227" s="240"/>
      <c r="AY227" s="250"/>
    </row>
    <row r="228" spans="1:51" ht="60" customHeight="1" x14ac:dyDescent="0.35">
      <c r="A228" s="246" t="s">
        <v>6016</v>
      </c>
      <c r="B228" s="234" t="s">
        <v>6017</v>
      </c>
      <c r="C228" s="234" t="s">
        <v>6018</v>
      </c>
      <c r="D228" s="234" t="s">
        <v>19</v>
      </c>
      <c r="E228" s="234" t="s">
        <v>19</v>
      </c>
      <c r="F228" s="234" t="s">
        <v>19</v>
      </c>
      <c r="G228" s="234" t="s">
        <v>19</v>
      </c>
      <c r="H228" s="234" t="s">
        <v>6019</v>
      </c>
      <c r="I228" s="234" t="s">
        <v>19</v>
      </c>
      <c r="J228" s="234" t="s">
        <v>6020</v>
      </c>
      <c r="K228" s="237">
        <f>IF(COUNTIF(L228:AY228,"&lt;&gt;")=0,"",SUMPRODUCT(((Recommendations[ImplStatus]="Implemented")+(Recommendations[ImplStatus]="Compensated"))*ISNUMBER(MATCH(Recommendations[Id],L228:AY228,0)))/COUNTIF(L228:AY228,"&lt;&gt;"))</f>
        <v>0</v>
      </c>
      <c r="L228" s="240" t="s">
        <v>956</v>
      </c>
      <c r="M228" s="240" t="s">
        <v>961</v>
      </c>
      <c r="N228" s="240" t="s">
        <v>965</v>
      </c>
      <c r="O228" s="240" t="s">
        <v>970</v>
      </c>
      <c r="P228" s="240" t="s">
        <v>975</v>
      </c>
      <c r="Q228" s="240" t="s">
        <v>979</v>
      </c>
      <c r="R228" s="240" t="s">
        <v>983</v>
      </c>
      <c r="S228" s="240" t="s">
        <v>1095</v>
      </c>
      <c r="T228" s="240" t="s">
        <v>1120</v>
      </c>
      <c r="U228" s="240"/>
      <c r="V228" s="240"/>
      <c r="W228" s="240"/>
      <c r="X228" s="240"/>
      <c r="Y228" s="240"/>
      <c r="Z228" s="240"/>
      <c r="AA228" s="240"/>
      <c r="AB228" s="240"/>
      <c r="AC228" s="240"/>
      <c r="AD228" s="240"/>
      <c r="AE228" s="240"/>
      <c r="AF228" s="240"/>
      <c r="AG228" s="240"/>
      <c r="AH228" s="240"/>
      <c r="AI228" s="240"/>
      <c r="AJ228" s="240"/>
      <c r="AK228" s="240"/>
      <c r="AL228" s="240"/>
      <c r="AM228" s="240"/>
      <c r="AN228" s="240"/>
      <c r="AO228" s="240"/>
      <c r="AP228" s="240"/>
      <c r="AQ228" s="240"/>
      <c r="AR228" s="240"/>
      <c r="AS228" s="240"/>
      <c r="AT228" s="240"/>
      <c r="AU228" s="240"/>
      <c r="AV228" s="240"/>
      <c r="AW228" s="240"/>
      <c r="AX228" s="240"/>
      <c r="AY228" s="250"/>
    </row>
    <row r="229" spans="1:51" ht="60" customHeight="1" x14ac:dyDescent="0.35">
      <c r="A229" s="246" t="s">
        <v>6021</v>
      </c>
      <c r="B229" s="234" t="s">
        <v>6022</v>
      </c>
      <c r="C229" s="234" t="s">
        <v>6023</v>
      </c>
      <c r="D229" s="234" t="s">
        <v>19</v>
      </c>
      <c r="E229" s="234" t="s">
        <v>19</v>
      </c>
      <c r="F229" s="234" t="s">
        <v>19</v>
      </c>
      <c r="G229" s="234" t="s">
        <v>19</v>
      </c>
      <c r="H229" s="234" t="s">
        <v>6024</v>
      </c>
      <c r="I229" s="234" t="s">
        <v>19</v>
      </c>
      <c r="J229" s="234" t="s">
        <v>6025</v>
      </c>
      <c r="K229" s="237" t="str">
        <f>IF(COUNTIF(L229:AY229,"&lt;&gt;")=0,"",SUMPRODUCT(((Recommendations[ImplStatus]="Implemented")+(Recommendations[ImplStatus]="Compensated"))*ISNUMBER(MATCH(Recommendations[Id],L229:AY229,0)))/COUNTIF(L229:AY229,"&lt;&gt;"))</f>
        <v/>
      </c>
      <c r="L229" s="240"/>
      <c r="M229" s="240"/>
      <c r="N229" s="240"/>
      <c r="O229" s="240"/>
      <c r="P229" s="240"/>
      <c r="Q229" s="240"/>
      <c r="R229" s="240"/>
      <c r="S229" s="240"/>
      <c r="T229" s="240"/>
      <c r="U229" s="240"/>
      <c r="V229" s="240"/>
      <c r="W229" s="240"/>
      <c r="X229" s="240"/>
      <c r="Y229" s="240"/>
      <c r="Z229" s="240"/>
      <c r="AA229" s="240"/>
      <c r="AB229" s="240"/>
      <c r="AC229" s="240"/>
      <c r="AD229" s="240"/>
      <c r="AE229" s="240"/>
      <c r="AF229" s="240"/>
      <c r="AG229" s="240"/>
      <c r="AH229" s="240"/>
      <c r="AI229" s="240"/>
      <c r="AJ229" s="240"/>
      <c r="AK229" s="240"/>
      <c r="AL229" s="240"/>
      <c r="AM229" s="240"/>
      <c r="AN229" s="240"/>
      <c r="AO229" s="240"/>
      <c r="AP229" s="240"/>
      <c r="AQ229" s="240"/>
      <c r="AR229" s="240"/>
      <c r="AS229" s="240"/>
      <c r="AT229" s="240"/>
      <c r="AU229" s="240"/>
      <c r="AV229" s="240"/>
      <c r="AW229" s="240"/>
      <c r="AX229" s="240"/>
      <c r="AY229" s="250"/>
    </row>
    <row r="230" spans="1:51" ht="60" customHeight="1" outlineLevel="1" x14ac:dyDescent="0.35">
      <c r="A230" s="245" t="s">
        <v>2424</v>
      </c>
      <c r="B230" s="233" t="s">
        <v>6026</v>
      </c>
      <c r="C230" s="233"/>
      <c r="D230" s="233"/>
      <c r="E230" s="233"/>
      <c r="F230" s="233"/>
      <c r="G230" s="233"/>
      <c r="H230" s="233"/>
      <c r="I230" s="233"/>
      <c r="J230" s="233"/>
      <c r="K230" s="236" t="str">
        <f>IF(COUNTIF(L230:AY230,"&lt;&gt;")=0,"",SUMPRODUCT(((Recommendations[ImplStatus]="Implemented")+(Recommendations[ImplStatus]="Compensated"))*ISNUMBER(MATCH(Recommendations[Id],L230:AY230,0)))/COUNTIF(L230:AY230,"&lt;&gt;"))</f>
        <v/>
      </c>
      <c r="L230" s="239"/>
      <c r="M230" s="239"/>
      <c r="N230" s="239"/>
      <c r="O230" s="239"/>
      <c r="P230" s="239"/>
      <c r="Q230" s="239"/>
      <c r="R230" s="239"/>
      <c r="S230" s="239"/>
      <c r="T230" s="239"/>
      <c r="U230" s="239"/>
      <c r="V230" s="239"/>
      <c r="W230" s="239"/>
      <c r="X230" s="239"/>
      <c r="Y230" s="239"/>
      <c r="Z230" s="239"/>
      <c r="AA230" s="239"/>
      <c r="AB230" s="239"/>
      <c r="AC230" s="239"/>
      <c r="AD230" s="239"/>
      <c r="AE230" s="239"/>
      <c r="AF230" s="239"/>
      <c r="AG230" s="239"/>
      <c r="AH230" s="239"/>
      <c r="AI230" s="239"/>
      <c r="AJ230" s="239"/>
      <c r="AK230" s="239"/>
      <c r="AL230" s="239"/>
      <c r="AM230" s="239"/>
      <c r="AN230" s="239"/>
      <c r="AO230" s="239"/>
      <c r="AP230" s="239"/>
      <c r="AQ230" s="239"/>
      <c r="AR230" s="239"/>
      <c r="AS230" s="239"/>
      <c r="AT230" s="239"/>
      <c r="AU230" s="239"/>
      <c r="AV230" s="239"/>
      <c r="AW230" s="239"/>
      <c r="AX230" s="239"/>
      <c r="AY230" s="249"/>
    </row>
    <row r="231" spans="1:51" ht="60" customHeight="1" x14ac:dyDescent="0.35">
      <c r="A231" s="246" t="s">
        <v>6027</v>
      </c>
      <c r="B231" s="234" t="s">
        <v>6028</v>
      </c>
      <c r="C231" s="234" t="s">
        <v>6029</v>
      </c>
      <c r="D231" s="234" t="s">
        <v>6030</v>
      </c>
      <c r="E231" s="234" t="s">
        <v>19</v>
      </c>
      <c r="F231" s="234" t="s">
        <v>19</v>
      </c>
      <c r="G231" s="234" t="s">
        <v>19</v>
      </c>
      <c r="H231" s="234" t="s">
        <v>6031</v>
      </c>
      <c r="I231" s="234" t="s">
        <v>19</v>
      </c>
      <c r="J231" s="234" t="s">
        <v>6032</v>
      </c>
      <c r="K231" s="237">
        <f>IF(COUNTIF(L231:AY231,"&lt;&gt;")=0,"",SUMPRODUCT(((Recommendations[ImplStatus]="Implemented")+(Recommendations[ImplStatus]="Compensated"))*ISNUMBER(MATCH(Recommendations[Id],L231:AY231,0)))/COUNTIF(L231:AY231,"&lt;&gt;"))</f>
        <v>0</v>
      </c>
      <c r="L231" s="240" t="s">
        <v>174</v>
      </c>
      <c r="M231" s="240" t="s">
        <v>179</v>
      </c>
      <c r="N231" s="240" t="s">
        <v>183</v>
      </c>
      <c r="O231" s="240" t="s">
        <v>187</v>
      </c>
      <c r="P231" s="240" t="s">
        <v>191</v>
      </c>
      <c r="Q231" s="240" t="s">
        <v>195</v>
      </c>
      <c r="R231" s="240" t="s">
        <v>921</v>
      </c>
      <c r="S231" s="240" t="s">
        <v>926</v>
      </c>
      <c r="T231" s="240" t="s">
        <v>930</v>
      </c>
      <c r="U231" s="240" t="s">
        <v>934</v>
      </c>
      <c r="V231" s="240" t="s">
        <v>938</v>
      </c>
      <c r="W231" s="240" t="s">
        <v>942</v>
      </c>
      <c r="X231" s="240"/>
      <c r="Y231" s="240"/>
      <c r="Z231" s="240"/>
      <c r="AA231" s="240"/>
      <c r="AB231" s="240"/>
      <c r="AC231" s="240"/>
      <c r="AD231" s="240"/>
      <c r="AE231" s="240"/>
      <c r="AF231" s="240"/>
      <c r="AG231" s="240"/>
      <c r="AH231" s="240"/>
      <c r="AI231" s="240"/>
      <c r="AJ231" s="240"/>
      <c r="AK231" s="240"/>
      <c r="AL231" s="240"/>
      <c r="AM231" s="240"/>
      <c r="AN231" s="240"/>
      <c r="AO231" s="240"/>
      <c r="AP231" s="240"/>
      <c r="AQ231" s="240"/>
      <c r="AR231" s="240"/>
      <c r="AS231" s="240"/>
      <c r="AT231" s="240"/>
      <c r="AU231" s="240"/>
      <c r="AV231" s="240"/>
      <c r="AW231" s="240"/>
      <c r="AX231" s="240"/>
      <c r="AY231" s="250"/>
    </row>
    <row r="232" spans="1:51" ht="60" customHeight="1" x14ac:dyDescent="0.35">
      <c r="A232" s="246" t="s">
        <v>6033</v>
      </c>
      <c r="B232" s="234" t="s">
        <v>6034</v>
      </c>
      <c r="C232" s="234" t="s">
        <v>6035</v>
      </c>
      <c r="D232" s="234" t="s">
        <v>6036</v>
      </c>
      <c r="E232" s="234" t="s">
        <v>19</v>
      </c>
      <c r="F232" s="234" t="s">
        <v>19</v>
      </c>
      <c r="G232" s="234" t="s">
        <v>19</v>
      </c>
      <c r="H232" s="234" t="s">
        <v>6037</v>
      </c>
      <c r="I232" s="234" t="s">
        <v>19</v>
      </c>
      <c r="J232" s="234" t="s">
        <v>6038</v>
      </c>
      <c r="K232" s="237">
        <f>IF(COUNTIF(L232:AY232,"&lt;&gt;")=0,"",SUMPRODUCT(((Recommendations[ImplStatus]="Implemented")+(Recommendations[ImplStatus]="Compensated"))*ISNUMBER(MATCH(Recommendations[Id],L232:AY232,0)))/COUNTIF(L232:AY232,"&lt;&gt;"))</f>
        <v>0</v>
      </c>
      <c r="L232" s="240" t="s">
        <v>174</v>
      </c>
      <c r="M232" s="240" t="s">
        <v>179</v>
      </c>
      <c r="N232" s="240" t="s">
        <v>183</v>
      </c>
      <c r="O232" s="240" t="s">
        <v>187</v>
      </c>
      <c r="P232" s="240" t="s">
        <v>191</v>
      </c>
      <c r="Q232" s="240" t="s">
        <v>195</v>
      </c>
      <c r="R232" s="240" t="s">
        <v>921</v>
      </c>
      <c r="S232" s="240" t="s">
        <v>926</v>
      </c>
      <c r="T232" s="240" t="s">
        <v>930</v>
      </c>
      <c r="U232" s="240" t="s">
        <v>934</v>
      </c>
      <c r="V232" s="240" t="s">
        <v>938</v>
      </c>
      <c r="W232" s="240" t="s">
        <v>942</v>
      </c>
      <c r="X232" s="240" t="s">
        <v>947</v>
      </c>
      <c r="Y232" s="240" t="s">
        <v>952</v>
      </c>
      <c r="Z232" s="240" t="s">
        <v>1184</v>
      </c>
      <c r="AA232" s="240" t="s">
        <v>1189</v>
      </c>
      <c r="AB232" s="240" t="s">
        <v>1194</v>
      </c>
      <c r="AC232" s="240" t="s">
        <v>1199</v>
      </c>
      <c r="AD232" s="240"/>
      <c r="AE232" s="240"/>
      <c r="AF232" s="240"/>
      <c r="AG232" s="240"/>
      <c r="AH232" s="240"/>
      <c r="AI232" s="240"/>
      <c r="AJ232" s="240"/>
      <c r="AK232" s="240"/>
      <c r="AL232" s="240"/>
      <c r="AM232" s="240"/>
      <c r="AN232" s="240"/>
      <c r="AO232" s="240"/>
      <c r="AP232" s="240"/>
      <c r="AQ232" s="240"/>
      <c r="AR232" s="240"/>
      <c r="AS232" s="240"/>
      <c r="AT232" s="240"/>
      <c r="AU232" s="240"/>
      <c r="AV232" s="240"/>
      <c r="AW232" s="240"/>
      <c r="AX232" s="240"/>
      <c r="AY232" s="250"/>
    </row>
    <row r="233" spans="1:51" ht="60" customHeight="1" x14ac:dyDescent="0.35">
      <c r="A233" s="246" t="s">
        <v>6039</v>
      </c>
      <c r="B233" s="234" t="s">
        <v>6040</v>
      </c>
      <c r="C233" s="234" t="s">
        <v>6041</v>
      </c>
      <c r="D233" s="234" t="s">
        <v>6042</v>
      </c>
      <c r="E233" s="234" t="s">
        <v>19</v>
      </c>
      <c r="F233" s="234" t="s">
        <v>19</v>
      </c>
      <c r="G233" s="234" t="s">
        <v>19</v>
      </c>
      <c r="H233" s="234" t="s">
        <v>6043</v>
      </c>
      <c r="I233" s="234" t="s">
        <v>19</v>
      </c>
      <c r="J233" s="234" t="s">
        <v>6044</v>
      </c>
      <c r="K233" s="237" t="str">
        <f>IF(COUNTIF(L233:AY233,"&lt;&gt;")=0,"",SUMPRODUCT(((Recommendations[ImplStatus]="Implemented")+(Recommendations[ImplStatus]="Compensated"))*ISNUMBER(MATCH(Recommendations[Id],L233:AY233,0)))/COUNTIF(L233:AY233,"&lt;&gt;"))</f>
        <v/>
      </c>
      <c r="L233" s="240"/>
      <c r="M233" s="240"/>
      <c r="N233" s="240"/>
      <c r="O233" s="240"/>
      <c r="P233" s="240"/>
      <c r="Q233" s="240"/>
      <c r="R233" s="240"/>
      <c r="S233" s="240"/>
      <c r="T233" s="240"/>
      <c r="U233" s="240"/>
      <c r="V233" s="240"/>
      <c r="W233" s="240"/>
      <c r="X233" s="240"/>
      <c r="Y233" s="240"/>
      <c r="Z233" s="240"/>
      <c r="AA233" s="240"/>
      <c r="AB233" s="240"/>
      <c r="AC233" s="240"/>
      <c r="AD233" s="240"/>
      <c r="AE233" s="240"/>
      <c r="AF233" s="240"/>
      <c r="AG233" s="240"/>
      <c r="AH233" s="240"/>
      <c r="AI233" s="240"/>
      <c r="AJ233" s="240"/>
      <c r="AK233" s="240"/>
      <c r="AL233" s="240"/>
      <c r="AM233" s="240"/>
      <c r="AN233" s="240"/>
      <c r="AO233" s="240"/>
      <c r="AP233" s="240"/>
      <c r="AQ233" s="240"/>
      <c r="AR233" s="240"/>
      <c r="AS233" s="240"/>
      <c r="AT233" s="240"/>
      <c r="AU233" s="240"/>
      <c r="AV233" s="240"/>
      <c r="AW233" s="240"/>
      <c r="AX233" s="240"/>
      <c r="AY233" s="250"/>
    </row>
    <row r="234" spans="1:51" ht="60" customHeight="1" x14ac:dyDescent="0.35">
      <c r="A234" s="246" t="s">
        <v>6045</v>
      </c>
      <c r="B234" s="234" t="s">
        <v>6046</v>
      </c>
      <c r="C234" s="234" t="s">
        <v>6047</v>
      </c>
      <c r="D234" s="234" t="s">
        <v>6048</v>
      </c>
      <c r="E234" s="234" t="s">
        <v>19</v>
      </c>
      <c r="F234" s="234" t="s">
        <v>19</v>
      </c>
      <c r="G234" s="234" t="s">
        <v>19</v>
      </c>
      <c r="H234" s="234" t="s">
        <v>6049</v>
      </c>
      <c r="I234" s="234" t="s">
        <v>19</v>
      </c>
      <c r="J234" s="234" t="s">
        <v>6050</v>
      </c>
      <c r="K234" s="237">
        <f>IF(COUNTIF(L234:AY234,"&lt;&gt;")=0,"",SUMPRODUCT(((Recommendations[ImplStatus]="Implemented")+(Recommendations[ImplStatus]="Compensated"))*ISNUMBER(MATCH(Recommendations[Id],L234:AY234,0)))/COUNTIF(L234:AY234,"&lt;&gt;"))</f>
        <v>0</v>
      </c>
      <c r="L234" s="240" t="s">
        <v>947</v>
      </c>
      <c r="M234" s="240" t="s">
        <v>1199</v>
      </c>
      <c r="N234" s="240"/>
      <c r="O234" s="240"/>
      <c r="P234" s="240"/>
      <c r="Q234" s="240"/>
      <c r="R234" s="240"/>
      <c r="S234" s="240"/>
      <c r="T234" s="240"/>
      <c r="U234" s="240"/>
      <c r="V234" s="240"/>
      <c r="W234" s="240"/>
      <c r="X234" s="240"/>
      <c r="Y234" s="240"/>
      <c r="Z234" s="240"/>
      <c r="AA234" s="240"/>
      <c r="AB234" s="240"/>
      <c r="AC234" s="240"/>
      <c r="AD234" s="240"/>
      <c r="AE234" s="240"/>
      <c r="AF234" s="240"/>
      <c r="AG234" s="240"/>
      <c r="AH234" s="240"/>
      <c r="AI234" s="240"/>
      <c r="AJ234" s="240"/>
      <c r="AK234" s="240"/>
      <c r="AL234" s="240"/>
      <c r="AM234" s="240"/>
      <c r="AN234" s="240"/>
      <c r="AO234" s="240"/>
      <c r="AP234" s="240"/>
      <c r="AQ234" s="240"/>
      <c r="AR234" s="240"/>
      <c r="AS234" s="240"/>
      <c r="AT234" s="240"/>
      <c r="AU234" s="240"/>
      <c r="AV234" s="240"/>
      <c r="AW234" s="240"/>
      <c r="AX234" s="240"/>
      <c r="AY234" s="250"/>
    </row>
    <row r="235" spans="1:51" ht="60" customHeight="1" outlineLevel="1" x14ac:dyDescent="0.35">
      <c r="A235" s="245" t="s">
        <v>2428</v>
      </c>
      <c r="B235" s="233" t="s">
        <v>6051</v>
      </c>
      <c r="C235" s="233"/>
      <c r="D235" s="233"/>
      <c r="E235" s="233"/>
      <c r="F235" s="233"/>
      <c r="G235" s="233"/>
      <c r="H235" s="233"/>
      <c r="I235" s="233"/>
      <c r="J235" s="233"/>
      <c r="K235" s="236" t="str">
        <f>IF(COUNTIF(L235:AY235,"&lt;&gt;")=0,"",SUMPRODUCT(((Recommendations[ImplStatus]="Implemented")+(Recommendations[ImplStatus]="Compensated"))*ISNUMBER(MATCH(Recommendations[Id],L235:AY235,0)))/COUNTIF(L235:AY235,"&lt;&gt;"))</f>
        <v/>
      </c>
      <c r="L235" s="239"/>
      <c r="M235" s="239"/>
      <c r="N235" s="239"/>
      <c r="O235" s="239"/>
      <c r="P235" s="239"/>
      <c r="Q235" s="239"/>
      <c r="R235" s="239"/>
      <c r="S235" s="239"/>
      <c r="T235" s="239"/>
      <c r="U235" s="239"/>
      <c r="V235" s="239"/>
      <c r="W235" s="239"/>
      <c r="X235" s="239"/>
      <c r="Y235" s="239"/>
      <c r="Z235" s="239"/>
      <c r="AA235" s="239"/>
      <c r="AB235" s="239"/>
      <c r="AC235" s="239"/>
      <c r="AD235" s="239"/>
      <c r="AE235" s="239"/>
      <c r="AF235" s="239"/>
      <c r="AG235" s="239"/>
      <c r="AH235" s="239"/>
      <c r="AI235" s="239"/>
      <c r="AJ235" s="239"/>
      <c r="AK235" s="239"/>
      <c r="AL235" s="239"/>
      <c r="AM235" s="239"/>
      <c r="AN235" s="239"/>
      <c r="AO235" s="239"/>
      <c r="AP235" s="239"/>
      <c r="AQ235" s="239"/>
      <c r="AR235" s="239"/>
      <c r="AS235" s="239"/>
      <c r="AT235" s="239"/>
      <c r="AU235" s="239"/>
      <c r="AV235" s="239"/>
      <c r="AW235" s="239"/>
      <c r="AX235" s="239"/>
      <c r="AY235" s="249"/>
    </row>
    <row r="236" spans="1:51" ht="60" customHeight="1" x14ac:dyDescent="0.35">
      <c r="A236" s="246" t="s">
        <v>6052</v>
      </c>
      <c r="B236" s="234" t="s">
        <v>6053</v>
      </c>
      <c r="C236" s="234" t="s">
        <v>6054</v>
      </c>
      <c r="D236" s="234" t="s">
        <v>6055</v>
      </c>
      <c r="E236" s="234" t="s">
        <v>19</v>
      </c>
      <c r="F236" s="234" t="s">
        <v>19</v>
      </c>
      <c r="G236" s="234" t="s">
        <v>19</v>
      </c>
      <c r="H236" s="234" t="s">
        <v>6056</v>
      </c>
      <c r="I236" s="234" t="s">
        <v>19</v>
      </c>
      <c r="J236" s="234" t="s">
        <v>6057</v>
      </c>
      <c r="K236" s="237" t="str">
        <f>IF(COUNTIF(L236:AY236,"&lt;&gt;")=0,"",SUMPRODUCT(((Recommendations[ImplStatus]="Implemented")+(Recommendations[ImplStatus]="Compensated"))*ISNUMBER(MATCH(Recommendations[Id],L236:AY236,0)))/COUNTIF(L236:AY236,"&lt;&gt;"))</f>
        <v/>
      </c>
      <c r="L236" s="240"/>
      <c r="M236" s="240"/>
      <c r="N236" s="240"/>
      <c r="O236" s="240"/>
      <c r="P236" s="240"/>
      <c r="Q236" s="240"/>
      <c r="R236" s="240"/>
      <c r="S236" s="240"/>
      <c r="T236" s="240"/>
      <c r="U236" s="240"/>
      <c r="V236" s="240"/>
      <c r="W236" s="240"/>
      <c r="X236" s="240"/>
      <c r="Y236" s="240"/>
      <c r="Z236" s="240"/>
      <c r="AA236" s="240"/>
      <c r="AB236" s="240"/>
      <c r="AC236" s="240"/>
      <c r="AD236" s="240"/>
      <c r="AE236" s="240"/>
      <c r="AF236" s="240"/>
      <c r="AG236" s="240"/>
      <c r="AH236" s="240"/>
      <c r="AI236" s="240"/>
      <c r="AJ236" s="240"/>
      <c r="AK236" s="240"/>
      <c r="AL236" s="240"/>
      <c r="AM236" s="240"/>
      <c r="AN236" s="240"/>
      <c r="AO236" s="240"/>
      <c r="AP236" s="240"/>
      <c r="AQ236" s="240"/>
      <c r="AR236" s="240"/>
      <c r="AS236" s="240"/>
      <c r="AT236" s="240"/>
      <c r="AU236" s="240"/>
      <c r="AV236" s="240"/>
      <c r="AW236" s="240"/>
      <c r="AX236" s="240"/>
      <c r="AY236" s="250"/>
    </row>
    <row r="237" spans="1:51" ht="60" customHeight="1" x14ac:dyDescent="0.35">
      <c r="A237" s="246" t="s">
        <v>6058</v>
      </c>
      <c r="B237" s="234" t="s">
        <v>6059</v>
      </c>
      <c r="C237" s="234" t="s">
        <v>6060</v>
      </c>
      <c r="D237" s="234" t="s">
        <v>6061</v>
      </c>
      <c r="E237" s="234" t="s">
        <v>19</v>
      </c>
      <c r="F237" s="234" t="s">
        <v>19</v>
      </c>
      <c r="G237" s="234" t="s">
        <v>6062</v>
      </c>
      <c r="H237" s="234" t="s">
        <v>6063</v>
      </c>
      <c r="I237" s="234" t="s">
        <v>5293</v>
      </c>
      <c r="J237" s="234" t="s">
        <v>6064</v>
      </c>
      <c r="K237" s="237" t="str">
        <f>IF(COUNTIF(L237:AY237,"&lt;&gt;")=0,"",SUMPRODUCT(((Recommendations[ImplStatus]="Implemented")+(Recommendations[ImplStatus]="Compensated"))*ISNUMBER(MATCH(Recommendations[Id],L237:AY237,0)))/COUNTIF(L237:AY237,"&lt;&gt;"))</f>
        <v/>
      </c>
      <c r="L237" s="240"/>
      <c r="M237" s="240"/>
      <c r="N237" s="240"/>
      <c r="O237" s="240"/>
      <c r="P237" s="240"/>
      <c r="Q237" s="240"/>
      <c r="R237" s="240"/>
      <c r="S237" s="240"/>
      <c r="T237" s="240"/>
      <c r="U237" s="240"/>
      <c r="V237" s="240"/>
      <c r="W237" s="240"/>
      <c r="X237" s="240"/>
      <c r="Y237" s="240"/>
      <c r="Z237" s="240"/>
      <c r="AA237" s="240"/>
      <c r="AB237" s="240"/>
      <c r="AC237" s="240"/>
      <c r="AD237" s="240"/>
      <c r="AE237" s="240"/>
      <c r="AF237" s="240"/>
      <c r="AG237" s="240"/>
      <c r="AH237" s="240"/>
      <c r="AI237" s="240"/>
      <c r="AJ237" s="240"/>
      <c r="AK237" s="240"/>
      <c r="AL237" s="240"/>
      <c r="AM237" s="240"/>
      <c r="AN237" s="240"/>
      <c r="AO237" s="240"/>
      <c r="AP237" s="240"/>
      <c r="AQ237" s="240"/>
      <c r="AR237" s="240"/>
      <c r="AS237" s="240"/>
      <c r="AT237" s="240"/>
      <c r="AU237" s="240"/>
      <c r="AV237" s="240"/>
      <c r="AW237" s="240"/>
      <c r="AX237" s="240"/>
      <c r="AY237" s="250"/>
    </row>
    <row r="238" spans="1:51" ht="60" customHeight="1" x14ac:dyDescent="0.35">
      <c r="A238" s="246" t="s">
        <v>6065</v>
      </c>
      <c r="B238" s="234" t="s">
        <v>6066</v>
      </c>
      <c r="C238" s="234" t="s">
        <v>6067</v>
      </c>
      <c r="D238" s="234" t="s">
        <v>19</v>
      </c>
      <c r="E238" s="234" t="s">
        <v>19</v>
      </c>
      <c r="F238" s="234" t="s">
        <v>19</v>
      </c>
      <c r="G238" s="234" t="s">
        <v>19</v>
      </c>
      <c r="H238" s="234" t="s">
        <v>6068</v>
      </c>
      <c r="I238" s="234" t="s">
        <v>6069</v>
      </c>
      <c r="J238" s="234" t="s">
        <v>6070</v>
      </c>
      <c r="K238" s="237" t="str">
        <f>IF(COUNTIF(L238:AY238,"&lt;&gt;")=0,"",SUMPRODUCT(((Recommendations[ImplStatus]="Implemented")+(Recommendations[ImplStatus]="Compensated"))*ISNUMBER(MATCH(Recommendations[Id],L238:AY238,0)))/COUNTIF(L238:AY238,"&lt;&gt;"))</f>
        <v/>
      </c>
      <c r="L238" s="240"/>
      <c r="M238" s="240"/>
      <c r="N238" s="240"/>
      <c r="O238" s="240"/>
      <c r="P238" s="240"/>
      <c r="Q238" s="240"/>
      <c r="R238" s="240"/>
      <c r="S238" s="240"/>
      <c r="T238" s="240"/>
      <c r="U238" s="240"/>
      <c r="V238" s="240"/>
      <c r="W238" s="240"/>
      <c r="X238" s="240"/>
      <c r="Y238" s="240"/>
      <c r="Z238" s="240"/>
      <c r="AA238" s="240"/>
      <c r="AB238" s="240"/>
      <c r="AC238" s="240"/>
      <c r="AD238" s="240"/>
      <c r="AE238" s="240"/>
      <c r="AF238" s="240"/>
      <c r="AG238" s="240"/>
      <c r="AH238" s="240"/>
      <c r="AI238" s="240"/>
      <c r="AJ238" s="240"/>
      <c r="AK238" s="240"/>
      <c r="AL238" s="240"/>
      <c r="AM238" s="240"/>
      <c r="AN238" s="240"/>
      <c r="AO238" s="240"/>
      <c r="AP238" s="240"/>
      <c r="AQ238" s="240"/>
      <c r="AR238" s="240"/>
      <c r="AS238" s="240"/>
      <c r="AT238" s="240"/>
      <c r="AU238" s="240"/>
      <c r="AV238" s="240"/>
      <c r="AW238" s="240"/>
      <c r="AX238" s="240"/>
      <c r="AY238" s="250"/>
    </row>
    <row r="239" spans="1:51" ht="60" customHeight="1" x14ac:dyDescent="0.35">
      <c r="A239" s="246" t="s">
        <v>6071</v>
      </c>
      <c r="B239" s="234" t="s">
        <v>6072</v>
      </c>
      <c r="C239" s="234" t="s">
        <v>6073</v>
      </c>
      <c r="D239" s="234" t="s">
        <v>19</v>
      </c>
      <c r="E239" s="234" t="s">
        <v>19</v>
      </c>
      <c r="F239" s="234" t="s">
        <v>19</v>
      </c>
      <c r="G239" s="234" t="s">
        <v>19</v>
      </c>
      <c r="H239" s="234" t="s">
        <v>6074</v>
      </c>
      <c r="I239" s="234" t="s">
        <v>5293</v>
      </c>
      <c r="J239" s="234" t="s">
        <v>6075</v>
      </c>
      <c r="K239" s="237" t="str">
        <f>IF(COUNTIF(L239:AY239,"&lt;&gt;")=0,"",SUMPRODUCT(((Recommendations[ImplStatus]="Implemented")+(Recommendations[ImplStatus]="Compensated"))*ISNUMBER(MATCH(Recommendations[Id],L239:AY239,0)))/COUNTIF(L239:AY239,"&lt;&gt;"))</f>
        <v/>
      </c>
      <c r="L239" s="240"/>
      <c r="M239" s="240"/>
      <c r="N239" s="240"/>
      <c r="O239" s="240"/>
      <c r="P239" s="240"/>
      <c r="Q239" s="240"/>
      <c r="R239" s="240"/>
      <c r="S239" s="240"/>
      <c r="T239" s="240"/>
      <c r="U239" s="240"/>
      <c r="V239" s="240"/>
      <c r="W239" s="240"/>
      <c r="X239" s="240"/>
      <c r="Y239" s="240"/>
      <c r="Z239" s="240"/>
      <c r="AA239" s="240"/>
      <c r="AB239" s="240"/>
      <c r="AC239" s="240"/>
      <c r="AD239" s="240"/>
      <c r="AE239" s="240"/>
      <c r="AF239" s="240"/>
      <c r="AG239" s="240"/>
      <c r="AH239" s="240"/>
      <c r="AI239" s="240"/>
      <c r="AJ239" s="240"/>
      <c r="AK239" s="240"/>
      <c r="AL239" s="240"/>
      <c r="AM239" s="240"/>
      <c r="AN239" s="240"/>
      <c r="AO239" s="240"/>
      <c r="AP239" s="240"/>
      <c r="AQ239" s="240"/>
      <c r="AR239" s="240"/>
      <c r="AS239" s="240"/>
      <c r="AT239" s="240"/>
      <c r="AU239" s="240"/>
      <c r="AV239" s="240"/>
      <c r="AW239" s="240"/>
      <c r="AX239" s="240"/>
      <c r="AY239" s="250"/>
    </row>
    <row r="240" spans="1:51" ht="60" customHeight="1" x14ac:dyDescent="0.35">
      <c r="A240" s="246" t="s">
        <v>6076</v>
      </c>
      <c r="B240" s="234" t="s">
        <v>6077</v>
      </c>
      <c r="C240" s="234" t="s">
        <v>6078</v>
      </c>
      <c r="D240" s="234" t="s">
        <v>6079</v>
      </c>
      <c r="E240" s="234" t="s">
        <v>19</v>
      </c>
      <c r="F240" s="234" t="s">
        <v>19</v>
      </c>
      <c r="G240" s="234" t="s">
        <v>19</v>
      </c>
      <c r="H240" s="234" t="s">
        <v>6080</v>
      </c>
      <c r="I240" s="234" t="s">
        <v>19</v>
      </c>
      <c r="J240" s="234" t="s">
        <v>6081</v>
      </c>
      <c r="K240" s="237" t="str">
        <f>IF(COUNTIF(L240:AY240,"&lt;&gt;")=0,"",SUMPRODUCT(((Recommendations[ImplStatus]="Implemented")+(Recommendations[ImplStatus]="Compensated"))*ISNUMBER(MATCH(Recommendations[Id],L240:AY240,0)))/COUNTIF(L240:AY240,"&lt;&gt;"))</f>
        <v/>
      </c>
      <c r="L240" s="240"/>
      <c r="M240" s="240"/>
      <c r="N240" s="240"/>
      <c r="O240" s="240"/>
      <c r="P240" s="240"/>
      <c r="Q240" s="240"/>
      <c r="R240" s="240"/>
      <c r="S240" s="240"/>
      <c r="T240" s="240"/>
      <c r="U240" s="240"/>
      <c r="V240" s="240"/>
      <c r="W240" s="240"/>
      <c r="X240" s="240"/>
      <c r="Y240" s="240"/>
      <c r="Z240" s="240"/>
      <c r="AA240" s="240"/>
      <c r="AB240" s="240"/>
      <c r="AC240" s="240"/>
      <c r="AD240" s="240"/>
      <c r="AE240" s="240"/>
      <c r="AF240" s="240"/>
      <c r="AG240" s="240"/>
      <c r="AH240" s="240"/>
      <c r="AI240" s="240"/>
      <c r="AJ240" s="240"/>
      <c r="AK240" s="240"/>
      <c r="AL240" s="240"/>
      <c r="AM240" s="240"/>
      <c r="AN240" s="240"/>
      <c r="AO240" s="240"/>
      <c r="AP240" s="240"/>
      <c r="AQ240" s="240"/>
      <c r="AR240" s="240"/>
      <c r="AS240" s="240"/>
      <c r="AT240" s="240"/>
      <c r="AU240" s="240"/>
      <c r="AV240" s="240"/>
      <c r="AW240" s="240"/>
      <c r="AX240" s="240"/>
      <c r="AY240" s="250"/>
    </row>
    <row r="241" spans="1:51" ht="60" customHeight="1" outlineLevel="1" x14ac:dyDescent="0.35">
      <c r="A241" s="245" t="s">
        <v>2432</v>
      </c>
      <c r="B241" s="233" t="s">
        <v>6082</v>
      </c>
      <c r="C241" s="233"/>
      <c r="D241" s="233"/>
      <c r="E241" s="233"/>
      <c r="F241" s="233"/>
      <c r="G241" s="233"/>
      <c r="H241" s="233"/>
      <c r="I241" s="233"/>
      <c r="J241" s="233"/>
      <c r="K241" s="236" t="str">
        <f>IF(COUNTIF(L241:AY241,"&lt;&gt;")=0,"",SUMPRODUCT(((Recommendations[ImplStatus]="Implemented")+(Recommendations[ImplStatus]="Compensated"))*ISNUMBER(MATCH(Recommendations[Id],L241:AY241,0)))/COUNTIF(L241:AY241,"&lt;&gt;"))</f>
        <v/>
      </c>
      <c r="L241" s="239"/>
      <c r="M241" s="239"/>
      <c r="N241" s="239"/>
      <c r="O241" s="239"/>
      <c r="P241" s="239"/>
      <c r="Q241" s="239"/>
      <c r="R241" s="239"/>
      <c r="S241" s="239"/>
      <c r="T241" s="239"/>
      <c r="U241" s="239"/>
      <c r="V241" s="239"/>
      <c r="W241" s="239"/>
      <c r="X241" s="239"/>
      <c r="Y241" s="239"/>
      <c r="Z241" s="239"/>
      <c r="AA241" s="239"/>
      <c r="AB241" s="239"/>
      <c r="AC241" s="239"/>
      <c r="AD241" s="239"/>
      <c r="AE241" s="239"/>
      <c r="AF241" s="239"/>
      <c r="AG241" s="239"/>
      <c r="AH241" s="239"/>
      <c r="AI241" s="239"/>
      <c r="AJ241" s="239"/>
      <c r="AK241" s="239"/>
      <c r="AL241" s="239"/>
      <c r="AM241" s="239"/>
      <c r="AN241" s="239"/>
      <c r="AO241" s="239"/>
      <c r="AP241" s="239"/>
      <c r="AQ241" s="239"/>
      <c r="AR241" s="239"/>
      <c r="AS241" s="239"/>
      <c r="AT241" s="239"/>
      <c r="AU241" s="239"/>
      <c r="AV241" s="239"/>
      <c r="AW241" s="239"/>
      <c r="AX241" s="239"/>
      <c r="AY241" s="249"/>
    </row>
    <row r="242" spans="1:51" ht="60" customHeight="1" x14ac:dyDescent="0.35">
      <c r="A242" s="246" t="s">
        <v>6083</v>
      </c>
      <c r="B242" s="234" t="s">
        <v>6084</v>
      </c>
      <c r="C242" s="234" t="s">
        <v>6085</v>
      </c>
      <c r="D242" s="234" t="s">
        <v>19</v>
      </c>
      <c r="E242" s="234" t="s">
        <v>19</v>
      </c>
      <c r="F242" s="234" t="s">
        <v>6086</v>
      </c>
      <c r="G242" s="234" t="s">
        <v>19</v>
      </c>
      <c r="H242" s="234" t="s">
        <v>6087</v>
      </c>
      <c r="I242" s="234" t="s">
        <v>19</v>
      </c>
      <c r="J242" s="234" t="s">
        <v>6088</v>
      </c>
      <c r="K242" s="237">
        <f>IF(COUNTIF(L242:AY242,"&lt;&gt;")=0,"",SUMPRODUCT(((Recommendations[ImplStatus]="Implemented")+(Recommendations[ImplStatus]="Compensated"))*ISNUMBER(MATCH(Recommendations[Id],L242:AY242,0)))/COUNTIF(L242:AY242,"&lt;&gt;"))</f>
        <v>0</v>
      </c>
      <c r="L242" s="240" t="s">
        <v>911</v>
      </c>
      <c r="M242" s="240" t="s">
        <v>1204</v>
      </c>
      <c r="N242" s="240" t="s">
        <v>1209</v>
      </c>
      <c r="O242" s="240" t="s">
        <v>1214</v>
      </c>
      <c r="P242" s="240" t="s">
        <v>1229</v>
      </c>
      <c r="Q242" s="240" t="s">
        <v>1234</v>
      </c>
      <c r="R242" s="240" t="s">
        <v>1239</v>
      </c>
      <c r="S242" s="240"/>
      <c r="T242" s="240"/>
      <c r="U242" s="240"/>
      <c r="V242" s="240"/>
      <c r="W242" s="240"/>
      <c r="X242" s="240"/>
      <c r="Y242" s="240"/>
      <c r="Z242" s="240"/>
      <c r="AA242" s="240"/>
      <c r="AB242" s="240"/>
      <c r="AC242" s="240"/>
      <c r="AD242" s="240"/>
      <c r="AE242" s="240"/>
      <c r="AF242" s="240"/>
      <c r="AG242" s="240"/>
      <c r="AH242" s="240"/>
      <c r="AI242" s="240"/>
      <c r="AJ242" s="240"/>
      <c r="AK242" s="240"/>
      <c r="AL242" s="240"/>
      <c r="AM242" s="240"/>
      <c r="AN242" s="240"/>
      <c r="AO242" s="240"/>
      <c r="AP242" s="240"/>
      <c r="AQ242" s="240"/>
      <c r="AR242" s="240"/>
      <c r="AS242" s="240"/>
      <c r="AT242" s="240"/>
      <c r="AU242" s="240"/>
      <c r="AV242" s="240"/>
      <c r="AW242" s="240"/>
      <c r="AX242" s="240"/>
      <c r="AY242" s="250"/>
    </row>
    <row r="243" spans="1:51" ht="60" customHeight="1" outlineLevel="1" x14ac:dyDescent="0.35">
      <c r="A243" s="245" t="s">
        <v>2436</v>
      </c>
      <c r="B243" s="233" t="s">
        <v>6089</v>
      </c>
      <c r="C243" s="233"/>
      <c r="D243" s="233"/>
      <c r="E243" s="233"/>
      <c r="F243" s="233"/>
      <c r="G243" s="233"/>
      <c r="H243" s="233"/>
      <c r="I243" s="233"/>
      <c r="J243" s="233"/>
      <c r="K243" s="236" t="str">
        <f>IF(COUNTIF(L243:AY243,"&lt;&gt;")=0,"",SUMPRODUCT(((Recommendations[ImplStatus]="Implemented")+(Recommendations[ImplStatus]="Compensated"))*ISNUMBER(MATCH(Recommendations[Id],L243:AY243,0)))/COUNTIF(L243:AY243,"&lt;&gt;"))</f>
        <v/>
      </c>
      <c r="L243" s="239"/>
      <c r="M243" s="239"/>
      <c r="N243" s="239"/>
      <c r="O243" s="239"/>
      <c r="P243" s="239"/>
      <c r="Q243" s="239"/>
      <c r="R243" s="239"/>
      <c r="S243" s="239"/>
      <c r="T243" s="239"/>
      <c r="U243" s="239"/>
      <c r="V243" s="239"/>
      <c r="W243" s="239"/>
      <c r="X243" s="239"/>
      <c r="Y243" s="239"/>
      <c r="Z243" s="239"/>
      <c r="AA243" s="239"/>
      <c r="AB243" s="239"/>
      <c r="AC243" s="239"/>
      <c r="AD243" s="239"/>
      <c r="AE243" s="239"/>
      <c r="AF243" s="239"/>
      <c r="AG243" s="239"/>
      <c r="AH243" s="239"/>
      <c r="AI243" s="239"/>
      <c r="AJ243" s="239"/>
      <c r="AK243" s="239"/>
      <c r="AL243" s="239"/>
      <c r="AM243" s="239"/>
      <c r="AN243" s="239"/>
      <c r="AO243" s="239"/>
      <c r="AP243" s="239"/>
      <c r="AQ243" s="239"/>
      <c r="AR243" s="239"/>
      <c r="AS243" s="239"/>
      <c r="AT243" s="239"/>
      <c r="AU243" s="239"/>
      <c r="AV243" s="239"/>
      <c r="AW243" s="239"/>
      <c r="AX243" s="239"/>
      <c r="AY243" s="249"/>
    </row>
    <row r="244" spans="1:51" ht="60" customHeight="1" x14ac:dyDescent="0.35">
      <c r="A244" s="246" t="s">
        <v>6090</v>
      </c>
      <c r="B244" s="234" t="s">
        <v>6091</v>
      </c>
      <c r="C244" s="234" t="s">
        <v>6092</v>
      </c>
      <c r="D244" s="234" t="s">
        <v>19</v>
      </c>
      <c r="E244" s="234" t="s">
        <v>19</v>
      </c>
      <c r="F244" s="234" t="s">
        <v>6093</v>
      </c>
      <c r="G244" s="234" t="s">
        <v>19</v>
      </c>
      <c r="H244" s="234" t="s">
        <v>6094</v>
      </c>
      <c r="I244" s="234" t="s">
        <v>6095</v>
      </c>
      <c r="J244" s="234" t="s">
        <v>6096</v>
      </c>
      <c r="K244" s="237">
        <f>IF(COUNTIF(L244:AY244,"&lt;&gt;")=0,"",SUMPRODUCT(((Recommendations[ImplStatus]="Implemented")+(Recommendations[ImplStatus]="Compensated"))*ISNUMBER(MATCH(Recommendations[Id],L244:AY244,0)))/COUNTIF(L244:AY244,"&lt;&gt;"))</f>
        <v>0</v>
      </c>
      <c r="L244" s="240" t="s">
        <v>1080</v>
      </c>
      <c r="M244" s="240" t="s">
        <v>1249</v>
      </c>
      <c r="N244" s="240"/>
      <c r="O244" s="240"/>
      <c r="P244" s="240"/>
      <c r="Q244" s="240"/>
      <c r="R244" s="240"/>
      <c r="S244" s="240"/>
      <c r="T244" s="240"/>
      <c r="U244" s="240"/>
      <c r="V244" s="240"/>
      <c r="W244" s="240"/>
      <c r="X244" s="240"/>
      <c r="Y244" s="240"/>
      <c r="Z244" s="240"/>
      <c r="AA244" s="240"/>
      <c r="AB244" s="240"/>
      <c r="AC244" s="240"/>
      <c r="AD244" s="240"/>
      <c r="AE244" s="240"/>
      <c r="AF244" s="240"/>
      <c r="AG244" s="240"/>
      <c r="AH244" s="240"/>
      <c r="AI244" s="240"/>
      <c r="AJ244" s="240"/>
      <c r="AK244" s="240"/>
      <c r="AL244" s="240"/>
      <c r="AM244" s="240"/>
      <c r="AN244" s="240"/>
      <c r="AO244" s="240"/>
      <c r="AP244" s="240"/>
      <c r="AQ244" s="240"/>
      <c r="AR244" s="240"/>
      <c r="AS244" s="240"/>
      <c r="AT244" s="240"/>
      <c r="AU244" s="240"/>
      <c r="AV244" s="240"/>
      <c r="AW244" s="240"/>
      <c r="AX244" s="240"/>
      <c r="AY244" s="250"/>
    </row>
    <row r="245" spans="1:51" ht="60" customHeight="1" x14ac:dyDescent="0.35">
      <c r="A245" s="246" t="s">
        <v>6097</v>
      </c>
      <c r="B245" s="234" t="s">
        <v>6098</v>
      </c>
      <c r="C245" s="234" t="s">
        <v>6099</v>
      </c>
      <c r="D245" s="234" t="s">
        <v>6100</v>
      </c>
      <c r="E245" s="234" t="s">
        <v>19</v>
      </c>
      <c r="F245" s="234" t="s">
        <v>19</v>
      </c>
      <c r="G245" s="234" t="s">
        <v>19</v>
      </c>
      <c r="H245" s="234" t="s">
        <v>6101</v>
      </c>
      <c r="I245" s="234" t="s">
        <v>19</v>
      </c>
      <c r="J245" s="234" t="s">
        <v>6102</v>
      </c>
      <c r="K245" s="237" t="str">
        <f>IF(COUNTIF(L245:AY245,"&lt;&gt;")=0,"",SUMPRODUCT(((Recommendations[ImplStatus]="Implemented")+(Recommendations[ImplStatus]="Compensated"))*ISNUMBER(MATCH(Recommendations[Id],L245:AY245,0)))/COUNTIF(L245:AY245,"&lt;&gt;"))</f>
        <v/>
      </c>
      <c r="L245" s="240"/>
      <c r="M245" s="240"/>
      <c r="N245" s="240"/>
      <c r="O245" s="240"/>
      <c r="P245" s="240"/>
      <c r="Q245" s="240"/>
      <c r="R245" s="240"/>
      <c r="S245" s="240"/>
      <c r="T245" s="240"/>
      <c r="U245" s="240"/>
      <c r="V245" s="240"/>
      <c r="W245" s="240"/>
      <c r="X245" s="240"/>
      <c r="Y245" s="240"/>
      <c r="Z245" s="240"/>
      <c r="AA245" s="240"/>
      <c r="AB245" s="240"/>
      <c r="AC245" s="240"/>
      <c r="AD245" s="240"/>
      <c r="AE245" s="240"/>
      <c r="AF245" s="240"/>
      <c r="AG245" s="240"/>
      <c r="AH245" s="240"/>
      <c r="AI245" s="240"/>
      <c r="AJ245" s="240"/>
      <c r="AK245" s="240"/>
      <c r="AL245" s="240"/>
      <c r="AM245" s="240"/>
      <c r="AN245" s="240"/>
      <c r="AO245" s="240"/>
      <c r="AP245" s="240"/>
      <c r="AQ245" s="240"/>
      <c r="AR245" s="240"/>
      <c r="AS245" s="240"/>
      <c r="AT245" s="240"/>
      <c r="AU245" s="240"/>
      <c r="AV245" s="240"/>
      <c r="AW245" s="240"/>
      <c r="AX245" s="240"/>
      <c r="AY245" s="250"/>
    </row>
    <row r="246" spans="1:51" ht="60" customHeight="1" x14ac:dyDescent="0.35">
      <c r="A246" s="246" t="s">
        <v>6103</v>
      </c>
      <c r="B246" s="234" t="s">
        <v>6104</v>
      </c>
      <c r="C246" s="234" t="s">
        <v>6105</v>
      </c>
      <c r="D246" s="234" t="s">
        <v>19</v>
      </c>
      <c r="E246" s="234" t="s">
        <v>19</v>
      </c>
      <c r="F246" s="234" t="s">
        <v>19</v>
      </c>
      <c r="G246" s="234" t="s">
        <v>19</v>
      </c>
      <c r="H246" s="234" t="s">
        <v>6106</v>
      </c>
      <c r="I246" s="234" t="s">
        <v>19</v>
      </c>
      <c r="J246" s="234" t="s">
        <v>6107</v>
      </c>
      <c r="K246" s="237" t="str">
        <f>IF(COUNTIF(L246:AY246,"&lt;&gt;")=0,"",SUMPRODUCT(((Recommendations[ImplStatus]="Implemented")+(Recommendations[ImplStatus]="Compensated"))*ISNUMBER(MATCH(Recommendations[Id],L246:AY246,0)))/COUNTIF(L246:AY246,"&lt;&gt;"))</f>
        <v/>
      </c>
      <c r="L246" s="240"/>
      <c r="M246" s="240"/>
      <c r="N246" s="240"/>
      <c r="O246" s="240"/>
      <c r="P246" s="240"/>
      <c r="Q246" s="240"/>
      <c r="R246" s="240"/>
      <c r="S246" s="240"/>
      <c r="T246" s="240"/>
      <c r="U246" s="240"/>
      <c r="V246" s="240"/>
      <c r="W246" s="240"/>
      <c r="X246" s="240"/>
      <c r="Y246" s="240"/>
      <c r="Z246" s="240"/>
      <c r="AA246" s="240"/>
      <c r="AB246" s="240"/>
      <c r="AC246" s="240"/>
      <c r="AD246" s="240"/>
      <c r="AE246" s="240"/>
      <c r="AF246" s="240"/>
      <c r="AG246" s="240"/>
      <c r="AH246" s="240"/>
      <c r="AI246" s="240"/>
      <c r="AJ246" s="240"/>
      <c r="AK246" s="240"/>
      <c r="AL246" s="240"/>
      <c r="AM246" s="240"/>
      <c r="AN246" s="240"/>
      <c r="AO246" s="240"/>
      <c r="AP246" s="240"/>
      <c r="AQ246" s="240"/>
      <c r="AR246" s="240"/>
      <c r="AS246" s="240"/>
      <c r="AT246" s="240"/>
      <c r="AU246" s="240"/>
      <c r="AV246" s="240"/>
      <c r="AW246" s="240"/>
      <c r="AX246" s="240"/>
      <c r="AY246" s="250"/>
    </row>
    <row r="247" spans="1:51" ht="60" customHeight="1" outlineLevel="1" x14ac:dyDescent="0.35">
      <c r="A247" s="245" t="s">
        <v>2440</v>
      </c>
      <c r="B247" s="233" t="s">
        <v>6108</v>
      </c>
      <c r="C247" s="233"/>
      <c r="D247" s="233"/>
      <c r="E247" s="233"/>
      <c r="F247" s="233"/>
      <c r="G247" s="233"/>
      <c r="H247" s="233"/>
      <c r="I247" s="233"/>
      <c r="J247" s="233"/>
      <c r="K247" s="236" t="str">
        <f>IF(COUNTIF(L247:AY247,"&lt;&gt;")=0,"",SUMPRODUCT(((Recommendations[ImplStatus]="Implemented")+(Recommendations[ImplStatus]="Compensated"))*ISNUMBER(MATCH(Recommendations[Id],L247:AY247,0)))/COUNTIF(L247:AY247,"&lt;&gt;"))</f>
        <v/>
      </c>
      <c r="L247" s="239"/>
      <c r="M247" s="239"/>
      <c r="N247" s="239"/>
      <c r="O247" s="239"/>
      <c r="P247" s="239"/>
      <c r="Q247" s="239"/>
      <c r="R247" s="239"/>
      <c r="S247" s="239"/>
      <c r="T247" s="239"/>
      <c r="U247" s="239"/>
      <c r="V247" s="239"/>
      <c r="W247" s="239"/>
      <c r="X247" s="239"/>
      <c r="Y247" s="239"/>
      <c r="Z247" s="239"/>
      <c r="AA247" s="239"/>
      <c r="AB247" s="239"/>
      <c r="AC247" s="239"/>
      <c r="AD247" s="239"/>
      <c r="AE247" s="239"/>
      <c r="AF247" s="239"/>
      <c r="AG247" s="239"/>
      <c r="AH247" s="239"/>
      <c r="AI247" s="239"/>
      <c r="AJ247" s="239"/>
      <c r="AK247" s="239"/>
      <c r="AL247" s="239"/>
      <c r="AM247" s="239"/>
      <c r="AN247" s="239"/>
      <c r="AO247" s="239"/>
      <c r="AP247" s="239"/>
      <c r="AQ247" s="239"/>
      <c r="AR247" s="239"/>
      <c r="AS247" s="239"/>
      <c r="AT247" s="239"/>
      <c r="AU247" s="239"/>
      <c r="AV247" s="239"/>
      <c r="AW247" s="239"/>
      <c r="AX247" s="239"/>
      <c r="AY247" s="249"/>
    </row>
    <row r="248" spans="1:51" ht="60" customHeight="1" x14ac:dyDescent="0.35">
      <c r="A248" s="246" t="s">
        <v>6109</v>
      </c>
      <c r="B248" s="234" t="s">
        <v>6110</v>
      </c>
      <c r="C248" s="234" t="s">
        <v>6111</v>
      </c>
      <c r="D248" s="234" t="s">
        <v>6112</v>
      </c>
      <c r="E248" s="234" t="s">
        <v>19</v>
      </c>
      <c r="F248" s="234" t="s">
        <v>19</v>
      </c>
      <c r="G248" s="234" t="s">
        <v>19</v>
      </c>
      <c r="H248" s="234" t="s">
        <v>6113</v>
      </c>
      <c r="I248" s="234" t="s">
        <v>6114</v>
      </c>
      <c r="J248" s="234" t="s">
        <v>6115</v>
      </c>
      <c r="K248" s="237" t="str">
        <f>IF(COUNTIF(L248:AY248,"&lt;&gt;")=0,"",SUMPRODUCT(((Recommendations[ImplStatus]="Implemented")+(Recommendations[ImplStatus]="Compensated"))*ISNUMBER(MATCH(Recommendations[Id],L248:AY248,0)))/COUNTIF(L248:AY248,"&lt;&gt;"))</f>
        <v/>
      </c>
      <c r="L248" s="240"/>
      <c r="M248" s="240"/>
      <c r="N248" s="240"/>
      <c r="O248" s="240"/>
      <c r="P248" s="240"/>
      <c r="Q248" s="240"/>
      <c r="R248" s="240"/>
      <c r="S248" s="240"/>
      <c r="T248" s="240"/>
      <c r="U248" s="240"/>
      <c r="V248" s="240"/>
      <c r="W248" s="240"/>
      <c r="X248" s="240"/>
      <c r="Y248" s="240"/>
      <c r="Z248" s="240"/>
      <c r="AA248" s="240"/>
      <c r="AB248" s="240"/>
      <c r="AC248" s="240"/>
      <c r="AD248" s="240"/>
      <c r="AE248" s="240"/>
      <c r="AF248" s="240"/>
      <c r="AG248" s="240"/>
      <c r="AH248" s="240"/>
      <c r="AI248" s="240"/>
      <c r="AJ248" s="240"/>
      <c r="AK248" s="240"/>
      <c r="AL248" s="240"/>
      <c r="AM248" s="240"/>
      <c r="AN248" s="240"/>
      <c r="AO248" s="240"/>
      <c r="AP248" s="240"/>
      <c r="AQ248" s="240"/>
      <c r="AR248" s="240"/>
      <c r="AS248" s="240"/>
      <c r="AT248" s="240"/>
      <c r="AU248" s="240"/>
      <c r="AV248" s="240"/>
      <c r="AW248" s="240"/>
      <c r="AX248" s="240"/>
      <c r="AY248" s="250"/>
    </row>
    <row r="249" spans="1:51" ht="60" customHeight="1" x14ac:dyDescent="0.35">
      <c r="A249" s="246" t="s">
        <v>6116</v>
      </c>
      <c r="B249" s="234" t="s">
        <v>6117</v>
      </c>
      <c r="C249" s="234" t="s">
        <v>6111</v>
      </c>
      <c r="D249" s="234" t="s">
        <v>6118</v>
      </c>
      <c r="E249" s="234" t="s">
        <v>19</v>
      </c>
      <c r="F249" s="234" t="s">
        <v>19</v>
      </c>
      <c r="G249" s="234" t="s">
        <v>19</v>
      </c>
      <c r="H249" s="234" t="s">
        <v>6113</v>
      </c>
      <c r="I249" s="234" t="s">
        <v>6119</v>
      </c>
      <c r="J249" s="234" t="s">
        <v>6120</v>
      </c>
      <c r="K249" s="237">
        <f>IF(COUNTIF(L249:AY249,"&lt;&gt;")=0,"",SUMPRODUCT(((Recommendations[ImplStatus]="Implemented")+(Recommendations[ImplStatus]="Compensated"))*ISNUMBER(MATCH(Recommendations[Id],L249:AY249,0)))/COUNTIF(L249:AY249,"&lt;&gt;"))</f>
        <v>0</v>
      </c>
      <c r="L249" s="240" t="s">
        <v>888</v>
      </c>
      <c r="M249" s="240" t="s">
        <v>893</v>
      </c>
      <c r="N249" s="240" t="s">
        <v>897</v>
      </c>
      <c r="O249" s="240" t="s">
        <v>901</v>
      </c>
      <c r="P249" s="240" t="s">
        <v>1244</v>
      </c>
      <c r="Q249" s="240"/>
      <c r="R249" s="240"/>
      <c r="S249" s="240"/>
      <c r="T249" s="240"/>
      <c r="U249" s="240"/>
      <c r="V249" s="240"/>
      <c r="W249" s="240"/>
      <c r="X249" s="240"/>
      <c r="Y249" s="240"/>
      <c r="Z249" s="240"/>
      <c r="AA249" s="240"/>
      <c r="AB249" s="240"/>
      <c r="AC249" s="240"/>
      <c r="AD249" s="240"/>
      <c r="AE249" s="240"/>
      <c r="AF249" s="240"/>
      <c r="AG249" s="240"/>
      <c r="AH249" s="240"/>
      <c r="AI249" s="240"/>
      <c r="AJ249" s="240"/>
      <c r="AK249" s="240"/>
      <c r="AL249" s="240"/>
      <c r="AM249" s="240"/>
      <c r="AN249" s="240"/>
      <c r="AO249" s="240"/>
      <c r="AP249" s="240"/>
      <c r="AQ249" s="240"/>
      <c r="AR249" s="240"/>
      <c r="AS249" s="240"/>
      <c r="AT249" s="240"/>
      <c r="AU249" s="240"/>
      <c r="AV249" s="240"/>
      <c r="AW249" s="240"/>
      <c r="AX249" s="240"/>
      <c r="AY249" s="250"/>
    </row>
    <row r="250" spans="1:51" ht="60" customHeight="1" x14ac:dyDescent="0.35">
      <c r="A250" s="246" t="s">
        <v>6121</v>
      </c>
      <c r="B250" s="234" t="s">
        <v>6122</v>
      </c>
      <c r="C250" s="234" t="s">
        <v>6123</v>
      </c>
      <c r="D250" s="234" t="s">
        <v>6124</v>
      </c>
      <c r="E250" s="234" t="s">
        <v>19</v>
      </c>
      <c r="F250" s="234" t="s">
        <v>19</v>
      </c>
      <c r="G250" s="234" t="s">
        <v>19</v>
      </c>
      <c r="H250" s="234" t="s">
        <v>6125</v>
      </c>
      <c r="I250" s="234" t="s">
        <v>19</v>
      </c>
      <c r="J250" s="234" t="s">
        <v>6126</v>
      </c>
      <c r="K250" s="237" t="str">
        <f>IF(COUNTIF(L250:AY250,"&lt;&gt;")=0,"",SUMPRODUCT(((Recommendations[ImplStatus]="Implemented")+(Recommendations[ImplStatus]="Compensated"))*ISNUMBER(MATCH(Recommendations[Id],L250:AY250,0)))/COUNTIF(L250:AY250,"&lt;&gt;"))</f>
        <v/>
      </c>
      <c r="L250" s="240"/>
      <c r="M250" s="240"/>
      <c r="N250" s="240"/>
      <c r="O250" s="240"/>
      <c r="P250" s="240"/>
      <c r="Q250" s="240"/>
      <c r="R250" s="240"/>
      <c r="S250" s="240"/>
      <c r="T250" s="240"/>
      <c r="U250" s="240"/>
      <c r="V250" s="240"/>
      <c r="W250" s="240"/>
      <c r="X250" s="240"/>
      <c r="Y250" s="240"/>
      <c r="Z250" s="240"/>
      <c r="AA250" s="240"/>
      <c r="AB250" s="240"/>
      <c r="AC250" s="240"/>
      <c r="AD250" s="240"/>
      <c r="AE250" s="240"/>
      <c r="AF250" s="240"/>
      <c r="AG250" s="240"/>
      <c r="AH250" s="240"/>
      <c r="AI250" s="240"/>
      <c r="AJ250" s="240"/>
      <c r="AK250" s="240"/>
      <c r="AL250" s="240"/>
      <c r="AM250" s="240"/>
      <c r="AN250" s="240"/>
      <c r="AO250" s="240"/>
      <c r="AP250" s="240"/>
      <c r="AQ250" s="240"/>
      <c r="AR250" s="240"/>
      <c r="AS250" s="240"/>
      <c r="AT250" s="240"/>
      <c r="AU250" s="240"/>
      <c r="AV250" s="240"/>
      <c r="AW250" s="240"/>
      <c r="AX250" s="240"/>
      <c r="AY250" s="250"/>
    </row>
    <row r="251" spans="1:51" ht="60" customHeight="1" outlineLevel="1" x14ac:dyDescent="0.35">
      <c r="A251" s="244" t="s">
        <v>6127</v>
      </c>
      <c r="B251" s="232" t="s">
        <v>6128</v>
      </c>
      <c r="C251" s="232"/>
      <c r="D251" s="232"/>
      <c r="E251" s="232"/>
      <c r="F251" s="232"/>
      <c r="G251" s="232"/>
      <c r="H251" s="232"/>
      <c r="I251" s="232"/>
      <c r="J251" s="232"/>
      <c r="K251" s="235" t="str">
        <f>IF(COUNTIF(L251:AY251,"&lt;&gt;")=0,"",SUMPRODUCT(((Recommendations[ImplStatus]="Implemented")+(Recommendations[ImplStatus]="Compensated"))*ISNUMBER(MATCH(Recommendations[Id],L251:AY251,0)))/COUNTIF(L251:AY251,"&lt;&gt;"))</f>
        <v/>
      </c>
      <c r="L251" s="238"/>
      <c r="M251" s="238"/>
      <c r="N251" s="238"/>
      <c r="O251" s="238"/>
      <c r="P251" s="238"/>
      <c r="Q251" s="238"/>
      <c r="R251" s="238"/>
      <c r="S251" s="238"/>
      <c r="T251" s="238"/>
      <c r="U251" s="238"/>
      <c r="V251" s="238"/>
      <c r="W251" s="238"/>
      <c r="X251" s="238"/>
      <c r="Y251" s="238"/>
      <c r="Z251" s="238"/>
      <c r="AA251" s="238"/>
      <c r="AB251" s="238"/>
      <c r="AC251" s="238"/>
      <c r="AD251" s="238"/>
      <c r="AE251" s="238"/>
      <c r="AF251" s="238"/>
      <c r="AG251" s="238"/>
      <c r="AH251" s="238"/>
      <c r="AI251" s="238"/>
      <c r="AJ251" s="238"/>
      <c r="AK251" s="238"/>
      <c r="AL251" s="238"/>
      <c r="AM251" s="238"/>
      <c r="AN251" s="238"/>
      <c r="AO251" s="238"/>
      <c r="AP251" s="238"/>
      <c r="AQ251" s="238"/>
      <c r="AR251" s="238"/>
      <c r="AS251" s="238"/>
      <c r="AT251" s="238"/>
      <c r="AU251" s="238"/>
      <c r="AV251" s="238"/>
      <c r="AW251" s="238"/>
      <c r="AX251" s="238"/>
      <c r="AY251" s="248"/>
    </row>
    <row r="252" spans="1:51" ht="60" customHeight="1" outlineLevel="1" x14ac:dyDescent="0.35">
      <c r="A252" s="245" t="s">
        <v>2446</v>
      </c>
      <c r="B252" s="233" t="s">
        <v>6129</v>
      </c>
      <c r="C252" s="233"/>
      <c r="D252" s="233"/>
      <c r="E252" s="233"/>
      <c r="F252" s="233"/>
      <c r="G252" s="233"/>
      <c r="H252" s="233"/>
      <c r="I252" s="233"/>
      <c r="J252" s="233"/>
      <c r="K252" s="236" t="str">
        <f>IF(COUNTIF(L252:AY252,"&lt;&gt;")=0,"",SUMPRODUCT(((Recommendations[ImplStatus]="Implemented")+(Recommendations[ImplStatus]="Compensated"))*ISNUMBER(MATCH(Recommendations[Id],L252:AY252,0)))/COUNTIF(L252:AY252,"&lt;&gt;"))</f>
        <v/>
      </c>
      <c r="L252" s="239"/>
      <c r="M252" s="239"/>
      <c r="N252" s="239"/>
      <c r="O252" s="239"/>
      <c r="P252" s="239"/>
      <c r="Q252" s="239"/>
      <c r="R252" s="239"/>
      <c r="S252" s="239"/>
      <c r="T252" s="239"/>
      <c r="U252" s="239"/>
      <c r="V252" s="239"/>
      <c r="W252" s="239"/>
      <c r="X252" s="239"/>
      <c r="Y252" s="239"/>
      <c r="Z252" s="239"/>
      <c r="AA252" s="239"/>
      <c r="AB252" s="239"/>
      <c r="AC252" s="239"/>
      <c r="AD252" s="239"/>
      <c r="AE252" s="239"/>
      <c r="AF252" s="239"/>
      <c r="AG252" s="239"/>
      <c r="AH252" s="239"/>
      <c r="AI252" s="239"/>
      <c r="AJ252" s="239"/>
      <c r="AK252" s="239"/>
      <c r="AL252" s="239"/>
      <c r="AM252" s="239"/>
      <c r="AN252" s="239"/>
      <c r="AO252" s="239"/>
      <c r="AP252" s="239"/>
      <c r="AQ252" s="239"/>
      <c r="AR252" s="239"/>
      <c r="AS252" s="239"/>
      <c r="AT252" s="239"/>
      <c r="AU252" s="239"/>
      <c r="AV252" s="239"/>
      <c r="AW252" s="239"/>
      <c r="AX252" s="239"/>
      <c r="AY252" s="249"/>
    </row>
    <row r="253" spans="1:51" ht="60" customHeight="1" x14ac:dyDescent="0.35">
      <c r="A253" s="246" t="s">
        <v>6130</v>
      </c>
      <c r="B253" s="234" t="s">
        <v>6131</v>
      </c>
      <c r="C253" s="234" t="s">
        <v>6132</v>
      </c>
      <c r="D253" s="234" t="s">
        <v>5065</v>
      </c>
      <c r="E253" s="234" t="s">
        <v>4851</v>
      </c>
      <c r="F253" s="234" t="s">
        <v>19</v>
      </c>
      <c r="G253" s="234" t="s">
        <v>19</v>
      </c>
      <c r="H253" s="234" t="s">
        <v>6133</v>
      </c>
      <c r="I253" s="234" t="s">
        <v>19</v>
      </c>
      <c r="J253" s="234" t="s">
        <v>6134</v>
      </c>
      <c r="K253" s="237" t="str">
        <f>IF(COUNTIF(L253:AY253,"&lt;&gt;")=0,"",SUMPRODUCT(((Recommendations[ImplStatus]="Implemented")+(Recommendations[ImplStatus]="Compensated"))*ISNUMBER(MATCH(Recommendations[Id],L253:AY253,0)))/COUNTIF(L253:AY253,"&lt;&gt;"))</f>
        <v/>
      </c>
      <c r="L253" s="240"/>
      <c r="M253" s="240"/>
      <c r="N253" s="240"/>
      <c r="O253" s="240"/>
      <c r="P253" s="240"/>
      <c r="Q253" s="240"/>
      <c r="R253" s="240"/>
      <c r="S253" s="240"/>
      <c r="T253" s="240"/>
      <c r="U253" s="240"/>
      <c r="V253" s="240"/>
      <c r="W253" s="240"/>
      <c r="X253" s="240"/>
      <c r="Y253" s="240"/>
      <c r="Z253" s="240"/>
      <c r="AA253" s="240"/>
      <c r="AB253" s="240"/>
      <c r="AC253" s="240"/>
      <c r="AD253" s="240"/>
      <c r="AE253" s="240"/>
      <c r="AF253" s="240"/>
      <c r="AG253" s="240"/>
      <c r="AH253" s="240"/>
      <c r="AI253" s="240"/>
      <c r="AJ253" s="240"/>
      <c r="AK253" s="240"/>
      <c r="AL253" s="240"/>
      <c r="AM253" s="240"/>
      <c r="AN253" s="240"/>
      <c r="AO253" s="240"/>
      <c r="AP253" s="240"/>
      <c r="AQ253" s="240"/>
      <c r="AR253" s="240"/>
      <c r="AS253" s="240"/>
      <c r="AT253" s="240"/>
      <c r="AU253" s="240"/>
      <c r="AV253" s="240"/>
      <c r="AW253" s="240"/>
      <c r="AX253" s="240"/>
      <c r="AY253" s="250"/>
    </row>
    <row r="254" spans="1:51" ht="60" customHeight="1" x14ac:dyDescent="0.35">
      <c r="A254" s="246" t="s">
        <v>6135</v>
      </c>
      <c r="B254" s="234" t="s">
        <v>6136</v>
      </c>
      <c r="C254" s="234" t="s">
        <v>4856</v>
      </c>
      <c r="D254" s="234" t="s">
        <v>4857</v>
      </c>
      <c r="E254" s="234" t="s">
        <v>19</v>
      </c>
      <c r="F254" s="234" t="s">
        <v>4859</v>
      </c>
      <c r="G254" s="234" t="s">
        <v>19</v>
      </c>
      <c r="H254" s="234" t="s">
        <v>6137</v>
      </c>
      <c r="I254" s="234" t="s">
        <v>19</v>
      </c>
      <c r="J254" s="234" t="s">
        <v>6138</v>
      </c>
      <c r="K254" s="237" t="str">
        <f>IF(COUNTIF(L254:AY254,"&lt;&gt;")=0,"",SUMPRODUCT(((Recommendations[ImplStatus]="Implemented")+(Recommendations[ImplStatus]="Compensated"))*ISNUMBER(MATCH(Recommendations[Id],L254:AY254,0)))/COUNTIF(L254:AY254,"&lt;&gt;"))</f>
        <v/>
      </c>
      <c r="L254" s="240"/>
      <c r="M254" s="240"/>
      <c r="N254" s="240"/>
      <c r="O254" s="240"/>
      <c r="P254" s="240"/>
      <c r="Q254" s="240"/>
      <c r="R254" s="240"/>
      <c r="S254" s="240"/>
      <c r="T254" s="240"/>
      <c r="U254" s="240"/>
      <c r="V254" s="240"/>
      <c r="W254" s="240"/>
      <c r="X254" s="240"/>
      <c r="Y254" s="240"/>
      <c r="Z254" s="240"/>
      <c r="AA254" s="240"/>
      <c r="AB254" s="240"/>
      <c r="AC254" s="240"/>
      <c r="AD254" s="240"/>
      <c r="AE254" s="240"/>
      <c r="AF254" s="240"/>
      <c r="AG254" s="240"/>
      <c r="AH254" s="240"/>
      <c r="AI254" s="240"/>
      <c r="AJ254" s="240"/>
      <c r="AK254" s="240"/>
      <c r="AL254" s="240"/>
      <c r="AM254" s="240"/>
      <c r="AN254" s="240"/>
      <c r="AO254" s="240"/>
      <c r="AP254" s="240"/>
      <c r="AQ254" s="240"/>
      <c r="AR254" s="240"/>
      <c r="AS254" s="240"/>
      <c r="AT254" s="240"/>
      <c r="AU254" s="240"/>
      <c r="AV254" s="240"/>
      <c r="AW254" s="240"/>
      <c r="AX254" s="240"/>
      <c r="AY254" s="250"/>
    </row>
    <row r="255" spans="1:51" ht="60" customHeight="1" outlineLevel="1" x14ac:dyDescent="0.35">
      <c r="A255" s="245" t="s">
        <v>2450</v>
      </c>
      <c r="B255" s="233" t="s">
        <v>6139</v>
      </c>
      <c r="C255" s="233"/>
      <c r="D255" s="233"/>
      <c r="E255" s="233"/>
      <c r="F255" s="233"/>
      <c r="G255" s="233"/>
      <c r="H255" s="233"/>
      <c r="I255" s="233"/>
      <c r="J255" s="233"/>
      <c r="K255" s="236" t="str">
        <f>IF(COUNTIF(L255:AY255,"&lt;&gt;")=0,"",SUMPRODUCT(((Recommendations[ImplStatus]="Implemented")+(Recommendations[ImplStatus]="Compensated"))*ISNUMBER(MATCH(Recommendations[Id],L255:AY255,0)))/COUNTIF(L255:AY255,"&lt;&gt;"))</f>
        <v/>
      </c>
      <c r="L255" s="239"/>
      <c r="M255" s="239"/>
      <c r="N255" s="239"/>
      <c r="O255" s="239"/>
      <c r="P255" s="239"/>
      <c r="Q255" s="239"/>
      <c r="R255" s="239"/>
      <c r="S255" s="239"/>
      <c r="T255" s="239"/>
      <c r="U255" s="239"/>
      <c r="V255" s="239"/>
      <c r="W255" s="239"/>
      <c r="X255" s="239"/>
      <c r="Y255" s="239"/>
      <c r="Z255" s="239"/>
      <c r="AA255" s="239"/>
      <c r="AB255" s="239"/>
      <c r="AC255" s="239"/>
      <c r="AD255" s="239"/>
      <c r="AE255" s="239"/>
      <c r="AF255" s="239"/>
      <c r="AG255" s="239"/>
      <c r="AH255" s="239"/>
      <c r="AI255" s="239"/>
      <c r="AJ255" s="239"/>
      <c r="AK255" s="239"/>
      <c r="AL255" s="239"/>
      <c r="AM255" s="239"/>
      <c r="AN255" s="239"/>
      <c r="AO255" s="239"/>
      <c r="AP255" s="239"/>
      <c r="AQ255" s="239"/>
      <c r="AR255" s="239"/>
      <c r="AS255" s="239"/>
      <c r="AT255" s="239"/>
      <c r="AU255" s="239"/>
      <c r="AV255" s="239"/>
      <c r="AW255" s="239"/>
      <c r="AX255" s="239"/>
      <c r="AY255" s="249"/>
    </row>
    <row r="256" spans="1:51" ht="60" customHeight="1" x14ac:dyDescent="0.35">
      <c r="A256" s="246" t="s">
        <v>6140</v>
      </c>
      <c r="B256" s="234" t="s">
        <v>6141</v>
      </c>
      <c r="C256" s="234" t="s">
        <v>6142</v>
      </c>
      <c r="D256" s="234" t="s">
        <v>6143</v>
      </c>
      <c r="E256" s="234" t="s">
        <v>6144</v>
      </c>
      <c r="F256" s="234" t="s">
        <v>6145</v>
      </c>
      <c r="G256" s="234" t="s">
        <v>19</v>
      </c>
      <c r="H256" s="234" t="s">
        <v>6146</v>
      </c>
      <c r="I256" s="234" t="s">
        <v>19</v>
      </c>
      <c r="J256" s="234" t="s">
        <v>6147</v>
      </c>
      <c r="K256" s="237" t="str">
        <f>IF(COUNTIF(L256:AY256,"&lt;&gt;")=0,"",SUMPRODUCT(((Recommendations[ImplStatus]="Implemented")+(Recommendations[ImplStatus]="Compensated"))*ISNUMBER(MATCH(Recommendations[Id],L256:AY256,0)))/COUNTIF(L256:AY256,"&lt;&gt;"))</f>
        <v/>
      </c>
      <c r="L256" s="240"/>
      <c r="M256" s="240"/>
      <c r="N256" s="240"/>
      <c r="O256" s="240"/>
      <c r="P256" s="240"/>
      <c r="Q256" s="240"/>
      <c r="R256" s="240"/>
      <c r="S256" s="240"/>
      <c r="T256" s="240"/>
      <c r="U256" s="240"/>
      <c r="V256" s="240"/>
      <c r="W256" s="240"/>
      <c r="X256" s="240"/>
      <c r="Y256" s="240"/>
      <c r="Z256" s="240"/>
      <c r="AA256" s="240"/>
      <c r="AB256" s="240"/>
      <c r="AC256" s="240"/>
      <c r="AD256" s="240"/>
      <c r="AE256" s="240"/>
      <c r="AF256" s="240"/>
      <c r="AG256" s="240"/>
      <c r="AH256" s="240"/>
      <c r="AI256" s="240"/>
      <c r="AJ256" s="240"/>
      <c r="AK256" s="240"/>
      <c r="AL256" s="240"/>
      <c r="AM256" s="240"/>
      <c r="AN256" s="240"/>
      <c r="AO256" s="240"/>
      <c r="AP256" s="240"/>
      <c r="AQ256" s="240"/>
      <c r="AR256" s="240"/>
      <c r="AS256" s="240"/>
      <c r="AT256" s="240"/>
      <c r="AU256" s="240"/>
      <c r="AV256" s="240"/>
      <c r="AW256" s="240"/>
      <c r="AX256" s="240"/>
      <c r="AY256" s="250"/>
    </row>
    <row r="257" spans="1:51" ht="60" customHeight="1" x14ac:dyDescent="0.35">
      <c r="A257" s="246" t="s">
        <v>6148</v>
      </c>
      <c r="B257" s="234" t="s">
        <v>6149</v>
      </c>
      <c r="C257" s="234" t="s">
        <v>6150</v>
      </c>
      <c r="D257" s="234" t="s">
        <v>6151</v>
      </c>
      <c r="E257" s="234" t="s">
        <v>19</v>
      </c>
      <c r="F257" s="234" t="s">
        <v>19</v>
      </c>
      <c r="G257" s="234" t="s">
        <v>19</v>
      </c>
      <c r="H257" s="234" t="s">
        <v>6152</v>
      </c>
      <c r="I257" s="234" t="s">
        <v>19</v>
      </c>
      <c r="J257" s="234" t="s">
        <v>6153</v>
      </c>
      <c r="K257" s="237" t="str">
        <f>IF(COUNTIF(L257:AY257,"&lt;&gt;")=0,"",SUMPRODUCT(((Recommendations[ImplStatus]="Implemented")+(Recommendations[ImplStatus]="Compensated"))*ISNUMBER(MATCH(Recommendations[Id],L257:AY257,0)))/COUNTIF(L257:AY257,"&lt;&gt;"))</f>
        <v/>
      </c>
      <c r="L257" s="240"/>
      <c r="M257" s="240"/>
      <c r="N257" s="240"/>
      <c r="O257" s="240"/>
      <c r="P257" s="240"/>
      <c r="Q257" s="240"/>
      <c r="R257" s="240"/>
      <c r="S257" s="240"/>
      <c r="T257" s="240"/>
      <c r="U257" s="240"/>
      <c r="V257" s="240"/>
      <c r="W257" s="240"/>
      <c r="X257" s="240"/>
      <c r="Y257" s="240"/>
      <c r="Z257" s="240"/>
      <c r="AA257" s="240"/>
      <c r="AB257" s="240"/>
      <c r="AC257" s="240"/>
      <c r="AD257" s="240"/>
      <c r="AE257" s="240"/>
      <c r="AF257" s="240"/>
      <c r="AG257" s="240"/>
      <c r="AH257" s="240"/>
      <c r="AI257" s="240"/>
      <c r="AJ257" s="240"/>
      <c r="AK257" s="240"/>
      <c r="AL257" s="240"/>
      <c r="AM257" s="240"/>
      <c r="AN257" s="240"/>
      <c r="AO257" s="240"/>
      <c r="AP257" s="240"/>
      <c r="AQ257" s="240"/>
      <c r="AR257" s="240"/>
      <c r="AS257" s="240"/>
      <c r="AT257" s="240"/>
      <c r="AU257" s="240"/>
      <c r="AV257" s="240"/>
      <c r="AW257" s="240"/>
      <c r="AX257" s="240"/>
      <c r="AY257" s="250"/>
    </row>
    <row r="258" spans="1:51" ht="60" customHeight="1" outlineLevel="1" x14ac:dyDescent="0.35">
      <c r="A258" s="245" t="s">
        <v>2455</v>
      </c>
      <c r="B258" s="233" t="s">
        <v>6154</v>
      </c>
      <c r="C258" s="233"/>
      <c r="D258" s="233"/>
      <c r="E258" s="233"/>
      <c r="F258" s="233"/>
      <c r="G258" s="233"/>
      <c r="H258" s="233"/>
      <c r="I258" s="233"/>
      <c r="J258" s="233"/>
      <c r="K258" s="236" t="str">
        <f>IF(COUNTIF(L258:AY258,"&lt;&gt;")=0,"",SUMPRODUCT(((Recommendations[ImplStatus]="Implemented")+(Recommendations[ImplStatus]="Compensated"))*ISNUMBER(MATCH(Recommendations[Id],L258:AY258,0)))/COUNTIF(L258:AY258,"&lt;&gt;"))</f>
        <v/>
      </c>
      <c r="L258" s="239"/>
      <c r="M258" s="239"/>
      <c r="N258" s="239"/>
      <c r="O258" s="239"/>
      <c r="P258" s="239"/>
      <c r="Q258" s="239"/>
      <c r="R258" s="239"/>
      <c r="S258" s="239"/>
      <c r="T258" s="239"/>
      <c r="U258" s="239"/>
      <c r="V258" s="239"/>
      <c r="W258" s="239"/>
      <c r="X258" s="239"/>
      <c r="Y258" s="239"/>
      <c r="Z258" s="239"/>
      <c r="AA258" s="239"/>
      <c r="AB258" s="239"/>
      <c r="AC258" s="239"/>
      <c r="AD258" s="239"/>
      <c r="AE258" s="239"/>
      <c r="AF258" s="239"/>
      <c r="AG258" s="239"/>
      <c r="AH258" s="239"/>
      <c r="AI258" s="239"/>
      <c r="AJ258" s="239"/>
      <c r="AK258" s="239"/>
      <c r="AL258" s="239"/>
      <c r="AM258" s="239"/>
      <c r="AN258" s="239"/>
      <c r="AO258" s="239"/>
      <c r="AP258" s="239"/>
      <c r="AQ258" s="239"/>
      <c r="AR258" s="239"/>
      <c r="AS258" s="239"/>
      <c r="AT258" s="239"/>
      <c r="AU258" s="239"/>
      <c r="AV258" s="239"/>
      <c r="AW258" s="239"/>
      <c r="AX258" s="239"/>
      <c r="AY258" s="249"/>
    </row>
    <row r="259" spans="1:51" ht="60" customHeight="1" x14ac:dyDescent="0.35">
      <c r="A259" s="246" t="s">
        <v>6155</v>
      </c>
      <c r="B259" s="234" t="s">
        <v>6156</v>
      </c>
      <c r="C259" s="234" t="s">
        <v>6157</v>
      </c>
      <c r="D259" s="234" t="s">
        <v>6158</v>
      </c>
      <c r="E259" s="234" t="s">
        <v>6159</v>
      </c>
      <c r="F259" s="234" t="s">
        <v>19</v>
      </c>
      <c r="G259" s="234" t="s">
        <v>19</v>
      </c>
      <c r="H259" s="234" t="s">
        <v>6160</v>
      </c>
      <c r="I259" s="234" t="s">
        <v>19</v>
      </c>
      <c r="J259" s="234" t="s">
        <v>6161</v>
      </c>
      <c r="K259" s="237" t="str">
        <f>IF(COUNTIF(L259:AY259,"&lt;&gt;")=0,"",SUMPRODUCT(((Recommendations[ImplStatus]="Implemented")+(Recommendations[ImplStatus]="Compensated"))*ISNUMBER(MATCH(Recommendations[Id],L259:AY259,0)))/COUNTIF(L259:AY259,"&lt;&gt;"))</f>
        <v/>
      </c>
      <c r="L259" s="240"/>
      <c r="M259" s="240"/>
      <c r="N259" s="240"/>
      <c r="O259" s="240"/>
      <c r="P259" s="240"/>
      <c r="Q259" s="240"/>
      <c r="R259" s="240"/>
      <c r="S259" s="240"/>
      <c r="T259" s="240"/>
      <c r="U259" s="240"/>
      <c r="V259" s="240"/>
      <c r="W259" s="240"/>
      <c r="X259" s="240"/>
      <c r="Y259" s="240"/>
      <c r="Z259" s="240"/>
      <c r="AA259" s="240"/>
      <c r="AB259" s="240"/>
      <c r="AC259" s="240"/>
      <c r="AD259" s="240"/>
      <c r="AE259" s="240"/>
      <c r="AF259" s="240"/>
      <c r="AG259" s="240"/>
      <c r="AH259" s="240"/>
      <c r="AI259" s="240"/>
      <c r="AJ259" s="240"/>
      <c r="AK259" s="240"/>
      <c r="AL259" s="240"/>
      <c r="AM259" s="240"/>
      <c r="AN259" s="240"/>
      <c r="AO259" s="240"/>
      <c r="AP259" s="240"/>
      <c r="AQ259" s="240"/>
      <c r="AR259" s="240"/>
      <c r="AS259" s="240"/>
      <c r="AT259" s="240"/>
      <c r="AU259" s="240"/>
      <c r="AV259" s="240"/>
      <c r="AW259" s="240"/>
      <c r="AX259" s="240"/>
      <c r="AY259" s="250"/>
    </row>
    <row r="260" spans="1:51" ht="60" customHeight="1" x14ac:dyDescent="0.35">
      <c r="A260" s="246" t="s">
        <v>6162</v>
      </c>
      <c r="B260" s="234" t="s">
        <v>6163</v>
      </c>
      <c r="C260" s="234" t="s">
        <v>6164</v>
      </c>
      <c r="D260" s="234" t="s">
        <v>19</v>
      </c>
      <c r="E260" s="234" t="s">
        <v>19</v>
      </c>
      <c r="F260" s="234" t="s">
        <v>19</v>
      </c>
      <c r="G260" s="234" t="s">
        <v>19</v>
      </c>
      <c r="H260" s="234" t="s">
        <v>6165</v>
      </c>
      <c r="I260" s="234" t="s">
        <v>6166</v>
      </c>
      <c r="J260" s="234" t="s">
        <v>6167</v>
      </c>
      <c r="K260" s="237" t="str">
        <f>IF(COUNTIF(L260:AY260,"&lt;&gt;")=0,"",SUMPRODUCT(((Recommendations[ImplStatus]="Implemented")+(Recommendations[ImplStatus]="Compensated"))*ISNUMBER(MATCH(Recommendations[Id],L260:AY260,0)))/COUNTIF(L260:AY260,"&lt;&gt;"))</f>
        <v/>
      </c>
      <c r="L260" s="240"/>
      <c r="M260" s="240"/>
      <c r="N260" s="240"/>
      <c r="O260" s="240"/>
      <c r="P260" s="240"/>
      <c r="Q260" s="240"/>
      <c r="R260" s="240"/>
      <c r="S260" s="240"/>
      <c r="T260" s="240"/>
      <c r="U260" s="240"/>
      <c r="V260" s="240"/>
      <c r="W260" s="240"/>
      <c r="X260" s="240"/>
      <c r="Y260" s="240"/>
      <c r="Z260" s="240"/>
      <c r="AA260" s="240"/>
      <c r="AB260" s="240"/>
      <c r="AC260" s="240"/>
      <c r="AD260" s="240"/>
      <c r="AE260" s="240"/>
      <c r="AF260" s="240"/>
      <c r="AG260" s="240"/>
      <c r="AH260" s="240"/>
      <c r="AI260" s="240"/>
      <c r="AJ260" s="240"/>
      <c r="AK260" s="240"/>
      <c r="AL260" s="240"/>
      <c r="AM260" s="240"/>
      <c r="AN260" s="240"/>
      <c r="AO260" s="240"/>
      <c r="AP260" s="240"/>
      <c r="AQ260" s="240"/>
      <c r="AR260" s="240"/>
      <c r="AS260" s="240"/>
      <c r="AT260" s="240"/>
      <c r="AU260" s="240"/>
      <c r="AV260" s="240"/>
      <c r="AW260" s="240"/>
      <c r="AX260" s="240"/>
      <c r="AY260" s="250"/>
    </row>
    <row r="261" spans="1:51" ht="60" customHeight="1" x14ac:dyDescent="0.35">
      <c r="A261" s="246" t="s">
        <v>6168</v>
      </c>
      <c r="B261" s="234" t="s">
        <v>6169</v>
      </c>
      <c r="C261" s="234" t="s">
        <v>6170</v>
      </c>
      <c r="D261" s="234" t="s">
        <v>6171</v>
      </c>
      <c r="E261" s="234" t="s">
        <v>19</v>
      </c>
      <c r="F261" s="234" t="s">
        <v>19</v>
      </c>
      <c r="G261" s="234" t="s">
        <v>19</v>
      </c>
      <c r="H261" s="234" t="s">
        <v>6172</v>
      </c>
      <c r="I261" s="234" t="s">
        <v>6173</v>
      </c>
      <c r="J261" s="234" t="s">
        <v>6174</v>
      </c>
      <c r="K261" s="237" t="str">
        <f>IF(COUNTIF(L261:AY261,"&lt;&gt;")=0,"",SUMPRODUCT(((Recommendations[ImplStatus]="Implemented")+(Recommendations[ImplStatus]="Compensated"))*ISNUMBER(MATCH(Recommendations[Id],L261:AY261,0)))/COUNTIF(L261:AY261,"&lt;&gt;"))</f>
        <v/>
      </c>
      <c r="L261" s="240"/>
      <c r="M261" s="240"/>
      <c r="N261" s="240"/>
      <c r="O261" s="240"/>
      <c r="P261" s="240"/>
      <c r="Q261" s="240"/>
      <c r="R261" s="240"/>
      <c r="S261" s="240"/>
      <c r="T261" s="240"/>
      <c r="U261" s="240"/>
      <c r="V261" s="240"/>
      <c r="W261" s="240"/>
      <c r="X261" s="240"/>
      <c r="Y261" s="240"/>
      <c r="Z261" s="240"/>
      <c r="AA261" s="240"/>
      <c r="AB261" s="240"/>
      <c r="AC261" s="240"/>
      <c r="AD261" s="240"/>
      <c r="AE261" s="240"/>
      <c r="AF261" s="240"/>
      <c r="AG261" s="240"/>
      <c r="AH261" s="240"/>
      <c r="AI261" s="240"/>
      <c r="AJ261" s="240"/>
      <c r="AK261" s="240"/>
      <c r="AL261" s="240"/>
      <c r="AM261" s="240"/>
      <c r="AN261" s="240"/>
      <c r="AO261" s="240"/>
      <c r="AP261" s="240"/>
      <c r="AQ261" s="240"/>
      <c r="AR261" s="240"/>
      <c r="AS261" s="240"/>
      <c r="AT261" s="240"/>
      <c r="AU261" s="240"/>
      <c r="AV261" s="240"/>
      <c r="AW261" s="240"/>
      <c r="AX261" s="240"/>
      <c r="AY261" s="250"/>
    </row>
    <row r="262" spans="1:51" ht="60" customHeight="1" x14ac:dyDescent="0.35">
      <c r="A262" s="246" t="s">
        <v>6175</v>
      </c>
      <c r="B262" s="234" t="s">
        <v>6176</v>
      </c>
      <c r="C262" s="234" t="s">
        <v>6177</v>
      </c>
      <c r="D262" s="234" t="s">
        <v>6178</v>
      </c>
      <c r="E262" s="234" t="s">
        <v>19</v>
      </c>
      <c r="F262" s="234" t="s">
        <v>19</v>
      </c>
      <c r="G262" s="234" t="s">
        <v>19</v>
      </c>
      <c r="H262" s="234" t="s">
        <v>6179</v>
      </c>
      <c r="I262" s="234" t="s">
        <v>6180</v>
      </c>
      <c r="J262" s="234" t="s">
        <v>6181</v>
      </c>
      <c r="K262" s="237" t="str">
        <f>IF(COUNTIF(L262:AY262,"&lt;&gt;")=0,"",SUMPRODUCT(((Recommendations[ImplStatus]="Implemented")+(Recommendations[ImplStatus]="Compensated"))*ISNUMBER(MATCH(Recommendations[Id],L262:AY262,0)))/COUNTIF(L262:AY262,"&lt;&gt;"))</f>
        <v/>
      </c>
      <c r="L262" s="240"/>
      <c r="M262" s="240"/>
      <c r="N262" s="240"/>
      <c r="O262" s="240"/>
      <c r="P262" s="240"/>
      <c r="Q262" s="240"/>
      <c r="R262" s="240"/>
      <c r="S262" s="240"/>
      <c r="T262" s="240"/>
      <c r="U262" s="240"/>
      <c r="V262" s="240"/>
      <c r="W262" s="240"/>
      <c r="X262" s="240"/>
      <c r="Y262" s="240"/>
      <c r="Z262" s="240"/>
      <c r="AA262" s="240"/>
      <c r="AB262" s="240"/>
      <c r="AC262" s="240"/>
      <c r="AD262" s="240"/>
      <c r="AE262" s="240"/>
      <c r="AF262" s="240"/>
      <c r="AG262" s="240"/>
      <c r="AH262" s="240"/>
      <c r="AI262" s="240"/>
      <c r="AJ262" s="240"/>
      <c r="AK262" s="240"/>
      <c r="AL262" s="240"/>
      <c r="AM262" s="240"/>
      <c r="AN262" s="240"/>
      <c r="AO262" s="240"/>
      <c r="AP262" s="240"/>
      <c r="AQ262" s="240"/>
      <c r="AR262" s="240"/>
      <c r="AS262" s="240"/>
      <c r="AT262" s="240"/>
      <c r="AU262" s="240"/>
      <c r="AV262" s="240"/>
      <c r="AW262" s="240"/>
      <c r="AX262" s="240"/>
      <c r="AY262" s="250"/>
    </row>
    <row r="263" spans="1:51" ht="60" customHeight="1" x14ac:dyDescent="0.35">
      <c r="A263" s="246" t="s">
        <v>6182</v>
      </c>
      <c r="B263" s="234" t="s">
        <v>6183</v>
      </c>
      <c r="C263" s="234" t="s">
        <v>6184</v>
      </c>
      <c r="D263" s="234" t="s">
        <v>6185</v>
      </c>
      <c r="E263" s="234" t="s">
        <v>19</v>
      </c>
      <c r="F263" s="234" t="s">
        <v>19</v>
      </c>
      <c r="G263" s="234" t="s">
        <v>6186</v>
      </c>
      <c r="H263" s="234" t="s">
        <v>5089</v>
      </c>
      <c r="I263" s="234" t="s">
        <v>6187</v>
      </c>
      <c r="J263" s="234" t="s">
        <v>6188</v>
      </c>
      <c r="K263" s="237" t="str">
        <f>IF(COUNTIF(L263:AY263,"&lt;&gt;")=0,"",SUMPRODUCT(((Recommendations[ImplStatus]="Implemented")+(Recommendations[ImplStatus]="Compensated"))*ISNUMBER(MATCH(Recommendations[Id],L263:AY263,0)))/COUNTIF(L263:AY263,"&lt;&gt;"))</f>
        <v/>
      </c>
      <c r="L263" s="240"/>
      <c r="M263" s="240"/>
      <c r="N263" s="240"/>
      <c r="O263" s="240"/>
      <c r="P263" s="240"/>
      <c r="Q263" s="240"/>
      <c r="R263" s="240"/>
      <c r="S263" s="240"/>
      <c r="T263" s="240"/>
      <c r="U263" s="240"/>
      <c r="V263" s="240"/>
      <c r="W263" s="240"/>
      <c r="X263" s="240"/>
      <c r="Y263" s="240"/>
      <c r="Z263" s="240"/>
      <c r="AA263" s="240"/>
      <c r="AB263" s="240"/>
      <c r="AC263" s="240"/>
      <c r="AD263" s="240"/>
      <c r="AE263" s="240"/>
      <c r="AF263" s="240"/>
      <c r="AG263" s="240"/>
      <c r="AH263" s="240"/>
      <c r="AI263" s="240"/>
      <c r="AJ263" s="240"/>
      <c r="AK263" s="240"/>
      <c r="AL263" s="240"/>
      <c r="AM263" s="240"/>
      <c r="AN263" s="240"/>
      <c r="AO263" s="240"/>
      <c r="AP263" s="240"/>
      <c r="AQ263" s="240"/>
      <c r="AR263" s="240"/>
      <c r="AS263" s="240"/>
      <c r="AT263" s="240"/>
      <c r="AU263" s="240"/>
      <c r="AV263" s="240"/>
      <c r="AW263" s="240"/>
      <c r="AX263" s="240"/>
      <c r="AY263" s="250"/>
    </row>
    <row r="264" spans="1:51" ht="60" customHeight="1" x14ac:dyDescent="0.35">
      <c r="A264" s="246" t="s">
        <v>6189</v>
      </c>
      <c r="B264" s="234" t="s">
        <v>6190</v>
      </c>
      <c r="C264" s="234" t="s">
        <v>6177</v>
      </c>
      <c r="D264" s="234" t="s">
        <v>6191</v>
      </c>
      <c r="E264" s="234" t="s">
        <v>19</v>
      </c>
      <c r="F264" s="234" t="s">
        <v>19</v>
      </c>
      <c r="G264" s="234" t="s">
        <v>19</v>
      </c>
      <c r="H264" s="234" t="s">
        <v>6192</v>
      </c>
      <c r="I264" s="234" t="s">
        <v>19</v>
      </c>
      <c r="J264" s="234" t="s">
        <v>6193</v>
      </c>
      <c r="K264" s="237" t="str">
        <f>IF(COUNTIF(L264:AY264,"&lt;&gt;")=0,"",SUMPRODUCT(((Recommendations[ImplStatus]="Implemented")+(Recommendations[ImplStatus]="Compensated"))*ISNUMBER(MATCH(Recommendations[Id],L264:AY264,0)))/COUNTIF(L264:AY264,"&lt;&gt;"))</f>
        <v/>
      </c>
      <c r="L264" s="240"/>
      <c r="M264" s="240"/>
      <c r="N264" s="240"/>
      <c r="O264" s="240"/>
      <c r="P264" s="240"/>
      <c r="Q264" s="240"/>
      <c r="R264" s="240"/>
      <c r="S264" s="240"/>
      <c r="T264" s="240"/>
      <c r="U264" s="240"/>
      <c r="V264" s="240"/>
      <c r="W264" s="240"/>
      <c r="X264" s="240"/>
      <c r="Y264" s="240"/>
      <c r="Z264" s="240"/>
      <c r="AA264" s="240"/>
      <c r="AB264" s="240"/>
      <c r="AC264" s="240"/>
      <c r="AD264" s="240"/>
      <c r="AE264" s="240"/>
      <c r="AF264" s="240"/>
      <c r="AG264" s="240"/>
      <c r="AH264" s="240"/>
      <c r="AI264" s="240"/>
      <c r="AJ264" s="240"/>
      <c r="AK264" s="240"/>
      <c r="AL264" s="240"/>
      <c r="AM264" s="240"/>
      <c r="AN264" s="240"/>
      <c r="AO264" s="240"/>
      <c r="AP264" s="240"/>
      <c r="AQ264" s="240"/>
      <c r="AR264" s="240"/>
      <c r="AS264" s="240"/>
      <c r="AT264" s="240"/>
      <c r="AU264" s="240"/>
      <c r="AV264" s="240"/>
      <c r="AW264" s="240"/>
      <c r="AX264" s="240"/>
      <c r="AY264" s="250"/>
    </row>
    <row r="265" spans="1:51" ht="60" customHeight="1" outlineLevel="1" x14ac:dyDescent="0.35">
      <c r="A265" s="245" t="s">
        <v>2459</v>
      </c>
      <c r="B265" s="233" t="s">
        <v>6194</v>
      </c>
      <c r="C265" s="233"/>
      <c r="D265" s="233"/>
      <c r="E265" s="233"/>
      <c r="F265" s="233"/>
      <c r="G265" s="233"/>
      <c r="H265" s="233"/>
      <c r="I265" s="233"/>
      <c r="J265" s="233"/>
      <c r="K265" s="236" t="str">
        <f>IF(COUNTIF(L265:AY265,"&lt;&gt;")=0,"",SUMPRODUCT(((Recommendations[ImplStatus]="Implemented")+(Recommendations[ImplStatus]="Compensated"))*ISNUMBER(MATCH(Recommendations[Id],L265:AY265,0)))/COUNTIF(L265:AY265,"&lt;&gt;"))</f>
        <v/>
      </c>
      <c r="L265" s="239"/>
      <c r="M265" s="239"/>
      <c r="N265" s="239"/>
      <c r="O265" s="239"/>
      <c r="P265" s="239"/>
      <c r="Q265" s="239"/>
      <c r="R265" s="239"/>
      <c r="S265" s="239"/>
      <c r="T265" s="239"/>
      <c r="U265" s="239"/>
      <c r="V265" s="239"/>
      <c r="W265" s="239"/>
      <c r="X265" s="239"/>
      <c r="Y265" s="239"/>
      <c r="Z265" s="239"/>
      <c r="AA265" s="239"/>
      <c r="AB265" s="239"/>
      <c r="AC265" s="239"/>
      <c r="AD265" s="239"/>
      <c r="AE265" s="239"/>
      <c r="AF265" s="239"/>
      <c r="AG265" s="239"/>
      <c r="AH265" s="239"/>
      <c r="AI265" s="239"/>
      <c r="AJ265" s="239"/>
      <c r="AK265" s="239"/>
      <c r="AL265" s="239"/>
      <c r="AM265" s="239"/>
      <c r="AN265" s="239"/>
      <c r="AO265" s="239"/>
      <c r="AP265" s="239"/>
      <c r="AQ265" s="239"/>
      <c r="AR265" s="239"/>
      <c r="AS265" s="239"/>
      <c r="AT265" s="239"/>
      <c r="AU265" s="239"/>
      <c r="AV265" s="239"/>
      <c r="AW265" s="239"/>
      <c r="AX265" s="239"/>
      <c r="AY265" s="249"/>
    </row>
    <row r="266" spans="1:51" ht="60" customHeight="1" x14ac:dyDescent="0.35">
      <c r="A266" s="246" t="s">
        <v>6195</v>
      </c>
      <c r="B266" s="234" t="s">
        <v>6196</v>
      </c>
      <c r="C266" s="234" t="s">
        <v>6197</v>
      </c>
      <c r="D266" s="234" t="s">
        <v>6198</v>
      </c>
      <c r="E266" s="234" t="s">
        <v>6199</v>
      </c>
      <c r="F266" s="234" t="s">
        <v>19</v>
      </c>
      <c r="G266" s="234" t="s">
        <v>6200</v>
      </c>
      <c r="H266" s="234" t="s">
        <v>6201</v>
      </c>
      <c r="I266" s="234" t="s">
        <v>6202</v>
      </c>
      <c r="J266" s="234" t="s">
        <v>6203</v>
      </c>
      <c r="K266" s="237" t="str">
        <f>IF(COUNTIF(L266:AY266,"&lt;&gt;")=0,"",SUMPRODUCT(((Recommendations[ImplStatus]="Implemented")+(Recommendations[ImplStatus]="Compensated"))*ISNUMBER(MATCH(Recommendations[Id],L266:AY266,0)))/COUNTIF(L266:AY266,"&lt;&gt;"))</f>
        <v/>
      </c>
      <c r="L266" s="240"/>
      <c r="M266" s="240"/>
      <c r="N266" s="240"/>
      <c r="O266" s="240"/>
      <c r="P266" s="240"/>
      <c r="Q266" s="240"/>
      <c r="R266" s="240"/>
      <c r="S266" s="240"/>
      <c r="T266" s="240"/>
      <c r="U266" s="240"/>
      <c r="V266" s="240"/>
      <c r="W266" s="240"/>
      <c r="X266" s="240"/>
      <c r="Y266" s="240"/>
      <c r="Z266" s="240"/>
      <c r="AA266" s="240"/>
      <c r="AB266" s="240"/>
      <c r="AC266" s="240"/>
      <c r="AD266" s="240"/>
      <c r="AE266" s="240"/>
      <c r="AF266" s="240"/>
      <c r="AG266" s="240"/>
      <c r="AH266" s="240"/>
      <c r="AI266" s="240"/>
      <c r="AJ266" s="240"/>
      <c r="AK266" s="240"/>
      <c r="AL266" s="240"/>
      <c r="AM266" s="240"/>
      <c r="AN266" s="240"/>
      <c r="AO266" s="240"/>
      <c r="AP266" s="240"/>
      <c r="AQ266" s="240"/>
      <c r="AR266" s="240"/>
      <c r="AS266" s="240"/>
      <c r="AT266" s="240"/>
      <c r="AU266" s="240"/>
      <c r="AV266" s="240"/>
      <c r="AW266" s="240"/>
      <c r="AX266" s="240"/>
      <c r="AY266" s="250"/>
    </row>
    <row r="267" spans="1:51" ht="60" customHeight="1" x14ac:dyDescent="0.35">
      <c r="A267" s="246" t="s">
        <v>6204</v>
      </c>
      <c r="B267" s="234" t="s">
        <v>6205</v>
      </c>
      <c r="C267" s="234" t="s">
        <v>6206</v>
      </c>
      <c r="D267" s="234" t="s">
        <v>6207</v>
      </c>
      <c r="E267" s="234" t="s">
        <v>19</v>
      </c>
      <c r="F267" s="234" t="s">
        <v>19</v>
      </c>
      <c r="G267" s="234" t="s">
        <v>19</v>
      </c>
      <c r="H267" s="234" t="s">
        <v>6208</v>
      </c>
      <c r="I267" s="234" t="s">
        <v>19</v>
      </c>
      <c r="J267" s="234" t="s">
        <v>6209</v>
      </c>
      <c r="K267" s="237" t="str">
        <f>IF(COUNTIF(L267:AY267,"&lt;&gt;")=0,"",SUMPRODUCT(((Recommendations[ImplStatus]="Implemented")+(Recommendations[ImplStatus]="Compensated"))*ISNUMBER(MATCH(Recommendations[Id],L267:AY267,0)))/COUNTIF(L267:AY267,"&lt;&gt;"))</f>
        <v/>
      </c>
      <c r="L267" s="240"/>
      <c r="M267" s="240"/>
      <c r="N267" s="240"/>
      <c r="O267" s="240"/>
      <c r="P267" s="240"/>
      <c r="Q267" s="240"/>
      <c r="R267" s="240"/>
      <c r="S267" s="240"/>
      <c r="T267" s="240"/>
      <c r="U267" s="240"/>
      <c r="V267" s="240"/>
      <c r="W267" s="240"/>
      <c r="X267" s="240"/>
      <c r="Y267" s="240"/>
      <c r="Z267" s="240"/>
      <c r="AA267" s="240"/>
      <c r="AB267" s="240"/>
      <c r="AC267" s="240"/>
      <c r="AD267" s="240"/>
      <c r="AE267" s="240"/>
      <c r="AF267" s="240"/>
      <c r="AG267" s="240"/>
      <c r="AH267" s="240"/>
      <c r="AI267" s="240"/>
      <c r="AJ267" s="240"/>
      <c r="AK267" s="240"/>
      <c r="AL267" s="240"/>
      <c r="AM267" s="240"/>
      <c r="AN267" s="240"/>
      <c r="AO267" s="240"/>
      <c r="AP267" s="240"/>
      <c r="AQ267" s="240"/>
      <c r="AR267" s="240"/>
      <c r="AS267" s="240"/>
      <c r="AT267" s="240"/>
      <c r="AU267" s="240"/>
      <c r="AV267" s="240"/>
      <c r="AW267" s="240"/>
      <c r="AX267" s="240"/>
      <c r="AY267" s="250"/>
    </row>
    <row r="268" spans="1:51" ht="60" customHeight="1" x14ac:dyDescent="0.35">
      <c r="A268" s="246" t="s">
        <v>6210</v>
      </c>
      <c r="B268" s="234" t="s">
        <v>6211</v>
      </c>
      <c r="C268" s="234" t="s">
        <v>6212</v>
      </c>
      <c r="D268" s="234" t="s">
        <v>6207</v>
      </c>
      <c r="E268" s="234" t="s">
        <v>19</v>
      </c>
      <c r="F268" s="234" t="s">
        <v>19</v>
      </c>
      <c r="G268" s="234" t="s">
        <v>6213</v>
      </c>
      <c r="H268" s="234" t="s">
        <v>6214</v>
      </c>
      <c r="I268" s="234" t="s">
        <v>19</v>
      </c>
      <c r="J268" s="234" t="s">
        <v>6215</v>
      </c>
      <c r="K268" s="237" t="str">
        <f>IF(COUNTIF(L268:AY268,"&lt;&gt;")=0,"",SUMPRODUCT(((Recommendations[ImplStatus]="Implemented")+(Recommendations[ImplStatus]="Compensated"))*ISNUMBER(MATCH(Recommendations[Id],L268:AY268,0)))/COUNTIF(L268:AY268,"&lt;&gt;"))</f>
        <v/>
      </c>
      <c r="L268" s="240"/>
      <c r="M268" s="240"/>
      <c r="N268" s="240"/>
      <c r="O268" s="240"/>
      <c r="P268" s="240"/>
      <c r="Q268" s="240"/>
      <c r="R268" s="240"/>
      <c r="S268" s="240"/>
      <c r="T268" s="240"/>
      <c r="U268" s="240"/>
      <c r="V268" s="240"/>
      <c r="W268" s="240"/>
      <c r="X268" s="240"/>
      <c r="Y268" s="240"/>
      <c r="Z268" s="240"/>
      <c r="AA268" s="240"/>
      <c r="AB268" s="240"/>
      <c r="AC268" s="240"/>
      <c r="AD268" s="240"/>
      <c r="AE268" s="240"/>
      <c r="AF268" s="240"/>
      <c r="AG268" s="240"/>
      <c r="AH268" s="240"/>
      <c r="AI268" s="240"/>
      <c r="AJ268" s="240"/>
      <c r="AK268" s="240"/>
      <c r="AL268" s="240"/>
      <c r="AM268" s="240"/>
      <c r="AN268" s="240"/>
      <c r="AO268" s="240"/>
      <c r="AP268" s="240"/>
      <c r="AQ268" s="240"/>
      <c r="AR268" s="240"/>
      <c r="AS268" s="240"/>
      <c r="AT268" s="240"/>
      <c r="AU268" s="240"/>
      <c r="AV268" s="240"/>
      <c r="AW268" s="240"/>
      <c r="AX268" s="240"/>
      <c r="AY268" s="250"/>
    </row>
    <row r="269" spans="1:51" ht="60" customHeight="1" x14ac:dyDescent="0.35">
      <c r="A269" s="246" t="s">
        <v>6216</v>
      </c>
      <c r="B269" s="234" t="s">
        <v>6217</v>
      </c>
      <c r="C269" s="234" t="s">
        <v>6212</v>
      </c>
      <c r="D269" s="234" t="s">
        <v>6218</v>
      </c>
      <c r="E269" s="234" t="s">
        <v>19</v>
      </c>
      <c r="F269" s="234" t="s">
        <v>19</v>
      </c>
      <c r="G269" s="234" t="s">
        <v>19</v>
      </c>
      <c r="H269" s="234" t="s">
        <v>6219</v>
      </c>
      <c r="I269" s="234" t="s">
        <v>19</v>
      </c>
      <c r="J269" s="234" t="s">
        <v>6220</v>
      </c>
      <c r="K269" s="237" t="str">
        <f>IF(COUNTIF(L269:AY269,"&lt;&gt;")=0,"",SUMPRODUCT(((Recommendations[ImplStatus]="Implemented")+(Recommendations[ImplStatus]="Compensated"))*ISNUMBER(MATCH(Recommendations[Id],L269:AY269,0)))/COUNTIF(L269:AY269,"&lt;&gt;"))</f>
        <v/>
      </c>
      <c r="L269" s="240"/>
      <c r="M269" s="240"/>
      <c r="N269" s="240"/>
      <c r="O269" s="240"/>
      <c r="P269" s="240"/>
      <c r="Q269" s="240"/>
      <c r="R269" s="240"/>
      <c r="S269" s="240"/>
      <c r="T269" s="240"/>
      <c r="U269" s="240"/>
      <c r="V269" s="240"/>
      <c r="W269" s="240"/>
      <c r="X269" s="240"/>
      <c r="Y269" s="240"/>
      <c r="Z269" s="240"/>
      <c r="AA269" s="240"/>
      <c r="AB269" s="240"/>
      <c r="AC269" s="240"/>
      <c r="AD269" s="240"/>
      <c r="AE269" s="240"/>
      <c r="AF269" s="240"/>
      <c r="AG269" s="240"/>
      <c r="AH269" s="240"/>
      <c r="AI269" s="240"/>
      <c r="AJ269" s="240"/>
      <c r="AK269" s="240"/>
      <c r="AL269" s="240"/>
      <c r="AM269" s="240"/>
      <c r="AN269" s="240"/>
      <c r="AO269" s="240"/>
      <c r="AP269" s="240"/>
      <c r="AQ269" s="240"/>
      <c r="AR269" s="240"/>
      <c r="AS269" s="240"/>
      <c r="AT269" s="240"/>
      <c r="AU269" s="240"/>
      <c r="AV269" s="240"/>
      <c r="AW269" s="240"/>
      <c r="AX269" s="240"/>
      <c r="AY269" s="250"/>
    </row>
    <row r="270" spans="1:51" ht="60" customHeight="1" x14ac:dyDescent="0.35">
      <c r="A270" s="246" t="s">
        <v>6221</v>
      </c>
      <c r="B270" s="234" t="s">
        <v>6222</v>
      </c>
      <c r="C270" s="234" t="s">
        <v>6223</v>
      </c>
      <c r="D270" s="234" t="s">
        <v>6224</v>
      </c>
      <c r="E270" s="234" t="s">
        <v>19</v>
      </c>
      <c r="F270" s="234" t="s">
        <v>19</v>
      </c>
      <c r="G270" s="234" t="s">
        <v>19</v>
      </c>
      <c r="H270" s="234" t="s">
        <v>6225</v>
      </c>
      <c r="I270" s="234" t="s">
        <v>19</v>
      </c>
      <c r="J270" s="234" t="s">
        <v>6226</v>
      </c>
      <c r="K270" s="237" t="str">
        <f>IF(COUNTIF(L270:AY270,"&lt;&gt;")=0,"",SUMPRODUCT(((Recommendations[ImplStatus]="Implemented")+(Recommendations[ImplStatus]="Compensated"))*ISNUMBER(MATCH(Recommendations[Id],L270:AY270,0)))/COUNTIF(L270:AY270,"&lt;&gt;"))</f>
        <v/>
      </c>
      <c r="L270" s="240"/>
      <c r="M270" s="240"/>
      <c r="N270" s="240"/>
      <c r="O270" s="240"/>
      <c r="P270" s="240"/>
      <c r="Q270" s="240"/>
      <c r="R270" s="240"/>
      <c r="S270" s="240"/>
      <c r="T270" s="240"/>
      <c r="U270" s="240"/>
      <c r="V270" s="240"/>
      <c r="W270" s="240"/>
      <c r="X270" s="240"/>
      <c r="Y270" s="240"/>
      <c r="Z270" s="240"/>
      <c r="AA270" s="240"/>
      <c r="AB270" s="240"/>
      <c r="AC270" s="240"/>
      <c r="AD270" s="240"/>
      <c r="AE270" s="240"/>
      <c r="AF270" s="240"/>
      <c r="AG270" s="240"/>
      <c r="AH270" s="240"/>
      <c r="AI270" s="240"/>
      <c r="AJ270" s="240"/>
      <c r="AK270" s="240"/>
      <c r="AL270" s="240"/>
      <c r="AM270" s="240"/>
      <c r="AN270" s="240"/>
      <c r="AO270" s="240"/>
      <c r="AP270" s="240"/>
      <c r="AQ270" s="240"/>
      <c r="AR270" s="240"/>
      <c r="AS270" s="240"/>
      <c r="AT270" s="240"/>
      <c r="AU270" s="240"/>
      <c r="AV270" s="240"/>
      <c r="AW270" s="240"/>
      <c r="AX270" s="240"/>
      <c r="AY270" s="250"/>
    </row>
    <row r="271" spans="1:51" ht="60" customHeight="1" x14ac:dyDescent="0.35">
      <c r="A271" s="246" t="s">
        <v>6227</v>
      </c>
      <c r="B271" s="234" t="s">
        <v>6228</v>
      </c>
      <c r="C271" s="234" t="s">
        <v>6229</v>
      </c>
      <c r="D271" s="234" t="s">
        <v>6230</v>
      </c>
      <c r="E271" s="234" t="s">
        <v>19</v>
      </c>
      <c r="F271" s="234" t="s">
        <v>19</v>
      </c>
      <c r="G271" s="234" t="s">
        <v>19</v>
      </c>
      <c r="H271" s="234" t="s">
        <v>6231</v>
      </c>
      <c r="I271" s="234" t="s">
        <v>6232</v>
      </c>
      <c r="J271" s="234" t="s">
        <v>19</v>
      </c>
      <c r="K271" s="237" t="str">
        <f>IF(COUNTIF(L271:AY271,"&lt;&gt;")=0,"",SUMPRODUCT(((Recommendations[ImplStatus]="Implemented")+(Recommendations[ImplStatus]="Compensated"))*ISNUMBER(MATCH(Recommendations[Id],L271:AY271,0)))/COUNTIF(L271:AY271,"&lt;&gt;"))</f>
        <v/>
      </c>
      <c r="L271" s="240"/>
      <c r="M271" s="240"/>
      <c r="N271" s="240"/>
      <c r="O271" s="240"/>
      <c r="P271" s="240"/>
      <c r="Q271" s="240"/>
      <c r="R271" s="240"/>
      <c r="S271" s="240"/>
      <c r="T271" s="240"/>
      <c r="U271" s="240"/>
      <c r="V271" s="240"/>
      <c r="W271" s="240"/>
      <c r="X271" s="240"/>
      <c r="Y271" s="240"/>
      <c r="Z271" s="240"/>
      <c r="AA271" s="240"/>
      <c r="AB271" s="240"/>
      <c r="AC271" s="240"/>
      <c r="AD271" s="240"/>
      <c r="AE271" s="240"/>
      <c r="AF271" s="240"/>
      <c r="AG271" s="240"/>
      <c r="AH271" s="240"/>
      <c r="AI271" s="240"/>
      <c r="AJ271" s="240"/>
      <c r="AK271" s="240"/>
      <c r="AL271" s="240"/>
      <c r="AM271" s="240"/>
      <c r="AN271" s="240"/>
      <c r="AO271" s="240"/>
      <c r="AP271" s="240"/>
      <c r="AQ271" s="240"/>
      <c r="AR271" s="240"/>
      <c r="AS271" s="240"/>
      <c r="AT271" s="240"/>
      <c r="AU271" s="240"/>
      <c r="AV271" s="240"/>
      <c r="AW271" s="240"/>
      <c r="AX271" s="240"/>
      <c r="AY271" s="250"/>
    </row>
    <row r="272" spans="1:51" ht="60" customHeight="1" x14ac:dyDescent="0.35">
      <c r="A272" s="246" t="s">
        <v>6233</v>
      </c>
      <c r="B272" s="234" t="s">
        <v>6234</v>
      </c>
      <c r="C272" s="234" t="s">
        <v>6235</v>
      </c>
      <c r="D272" s="234" t="s">
        <v>6236</v>
      </c>
      <c r="E272" s="234" t="s">
        <v>19</v>
      </c>
      <c r="F272" s="234" t="s">
        <v>19</v>
      </c>
      <c r="G272" s="234" t="s">
        <v>19</v>
      </c>
      <c r="H272" s="234" t="s">
        <v>6237</v>
      </c>
      <c r="I272" s="234" t="s">
        <v>6238</v>
      </c>
      <c r="J272" s="234" t="s">
        <v>6239</v>
      </c>
      <c r="K272" s="237" t="str">
        <f>IF(COUNTIF(L272:AY272,"&lt;&gt;")=0,"",SUMPRODUCT(((Recommendations[ImplStatus]="Implemented")+(Recommendations[ImplStatus]="Compensated"))*ISNUMBER(MATCH(Recommendations[Id],L272:AY272,0)))/COUNTIF(L272:AY272,"&lt;&gt;"))</f>
        <v/>
      </c>
      <c r="L272" s="240"/>
      <c r="M272" s="240"/>
      <c r="N272" s="240"/>
      <c r="O272" s="240"/>
      <c r="P272" s="240"/>
      <c r="Q272" s="240"/>
      <c r="R272" s="240"/>
      <c r="S272" s="240"/>
      <c r="T272" s="240"/>
      <c r="U272" s="240"/>
      <c r="V272" s="240"/>
      <c r="W272" s="240"/>
      <c r="X272" s="240"/>
      <c r="Y272" s="240"/>
      <c r="Z272" s="240"/>
      <c r="AA272" s="240"/>
      <c r="AB272" s="240"/>
      <c r="AC272" s="240"/>
      <c r="AD272" s="240"/>
      <c r="AE272" s="240"/>
      <c r="AF272" s="240"/>
      <c r="AG272" s="240"/>
      <c r="AH272" s="240"/>
      <c r="AI272" s="240"/>
      <c r="AJ272" s="240"/>
      <c r="AK272" s="240"/>
      <c r="AL272" s="240"/>
      <c r="AM272" s="240"/>
      <c r="AN272" s="240"/>
      <c r="AO272" s="240"/>
      <c r="AP272" s="240"/>
      <c r="AQ272" s="240"/>
      <c r="AR272" s="240"/>
      <c r="AS272" s="240"/>
      <c r="AT272" s="240"/>
      <c r="AU272" s="240"/>
      <c r="AV272" s="240"/>
      <c r="AW272" s="240"/>
      <c r="AX272" s="240"/>
      <c r="AY272" s="250"/>
    </row>
    <row r="273" spans="1:51" ht="60" customHeight="1" outlineLevel="1" x14ac:dyDescent="0.35">
      <c r="A273" s="245" t="s">
        <v>2463</v>
      </c>
      <c r="B273" s="233" t="s">
        <v>6240</v>
      </c>
      <c r="C273" s="233"/>
      <c r="D273" s="233"/>
      <c r="E273" s="233"/>
      <c r="F273" s="233"/>
      <c r="G273" s="233"/>
      <c r="H273" s="233"/>
      <c r="I273" s="233"/>
      <c r="J273" s="233"/>
      <c r="K273" s="236" t="str">
        <f>IF(COUNTIF(L273:AY273,"&lt;&gt;")=0,"",SUMPRODUCT(((Recommendations[ImplStatus]="Implemented")+(Recommendations[ImplStatus]="Compensated"))*ISNUMBER(MATCH(Recommendations[Id],L273:AY273,0)))/COUNTIF(L273:AY273,"&lt;&gt;"))</f>
        <v/>
      </c>
      <c r="L273" s="239"/>
      <c r="M273" s="239"/>
      <c r="N273" s="239"/>
      <c r="O273" s="239"/>
      <c r="P273" s="239"/>
      <c r="Q273" s="239"/>
      <c r="R273" s="239"/>
      <c r="S273" s="239"/>
      <c r="T273" s="239"/>
      <c r="U273" s="239"/>
      <c r="V273" s="239"/>
      <c r="W273" s="239"/>
      <c r="X273" s="239"/>
      <c r="Y273" s="239"/>
      <c r="Z273" s="239"/>
      <c r="AA273" s="239"/>
      <c r="AB273" s="239"/>
      <c r="AC273" s="239"/>
      <c r="AD273" s="239"/>
      <c r="AE273" s="239"/>
      <c r="AF273" s="239"/>
      <c r="AG273" s="239"/>
      <c r="AH273" s="239"/>
      <c r="AI273" s="239"/>
      <c r="AJ273" s="239"/>
      <c r="AK273" s="239"/>
      <c r="AL273" s="239"/>
      <c r="AM273" s="239"/>
      <c r="AN273" s="239"/>
      <c r="AO273" s="239"/>
      <c r="AP273" s="239"/>
      <c r="AQ273" s="239"/>
      <c r="AR273" s="239"/>
      <c r="AS273" s="239"/>
      <c r="AT273" s="239"/>
      <c r="AU273" s="239"/>
      <c r="AV273" s="239"/>
      <c r="AW273" s="239"/>
      <c r="AX273" s="239"/>
      <c r="AY273" s="249"/>
    </row>
    <row r="274" spans="1:51" ht="60" customHeight="1" x14ac:dyDescent="0.35">
      <c r="A274" s="246" t="s">
        <v>6241</v>
      </c>
      <c r="B274" s="234" t="s">
        <v>6242</v>
      </c>
      <c r="C274" s="234" t="s">
        <v>6243</v>
      </c>
      <c r="D274" s="234" t="s">
        <v>6236</v>
      </c>
      <c r="E274" s="234" t="s">
        <v>6244</v>
      </c>
      <c r="F274" s="234" t="s">
        <v>19</v>
      </c>
      <c r="G274" s="234" t="s">
        <v>19</v>
      </c>
      <c r="H274" s="234" t="s">
        <v>6245</v>
      </c>
      <c r="I274" s="234" t="s">
        <v>19</v>
      </c>
      <c r="J274" s="234" t="s">
        <v>6246</v>
      </c>
      <c r="K274" s="237" t="str">
        <f>IF(COUNTIF(L274:AY274,"&lt;&gt;")=0,"",SUMPRODUCT(((Recommendations[ImplStatus]="Implemented")+(Recommendations[ImplStatus]="Compensated"))*ISNUMBER(MATCH(Recommendations[Id],L274:AY274,0)))/COUNTIF(L274:AY274,"&lt;&gt;"))</f>
        <v/>
      </c>
      <c r="L274" s="240"/>
      <c r="M274" s="240"/>
      <c r="N274" s="240"/>
      <c r="O274" s="240"/>
      <c r="P274" s="240"/>
      <c r="Q274" s="240"/>
      <c r="R274" s="240"/>
      <c r="S274" s="240"/>
      <c r="T274" s="240"/>
      <c r="U274" s="240"/>
      <c r="V274" s="240"/>
      <c r="W274" s="240"/>
      <c r="X274" s="240"/>
      <c r="Y274" s="240"/>
      <c r="Z274" s="240"/>
      <c r="AA274" s="240"/>
      <c r="AB274" s="240"/>
      <c r="AC274" s="240"/>
      <c r="AD274" s="240"/>
      <c r="AE274" s="240"/>
      <c r="AF274" s="240"/>
      <c r="AG274" s="240"/>
      <c r="AH274" s="240"/>
      <c r="AI274" s="240"/>
      <c r="AJ274" s="240"/>
      <c r="AK274" s="240"/>
      <c r="AL274" s="240"/>
      <c r="AM274" s="240"/>
      <c r="AN274" s="240"/>
      <c r="AO274" s="240"/>
      <c r="AP274" s="240"/>
      <c r="AQ274" s="240"/>
      <c r="AR274" s="240"/>
      <c r="AS274" s="240"/>
      <c r="AT274" s="240"/>
      <c r="AU274" s="240"/>
      <c r="AV274" s="240"/>
      <c r="AW274" s="240"/>
      <c r="AX274" s="240"/>
      <c r="AY274" s="250"/>
    </row>
    <row r="275" spans="1:51" ht="60" customHeight="1" x14ac:dyDescent="0.35">
      <c r="A275" s="246" t="s">
        <v>6247</v>
      </c>
      <c r="B275" s="234" t="s">
        <v>6248</v>
      </c>
      <c r="C275" s="234" t="s">
        <v>6249</v>
      </c>
      <c r="D275" s="234" t="s">
        <v>6250</v>
      </c>
      <c r="E275" s="234" t="s">
        <v>19</v>
      </c>
      <c r="F275" s="234" t="s">
        <v>19</v>
      </c>
      <c r="G275" s="234" t="s">
        <v>19</v>
      </c>
      <c r="H275" s="234" t="s">
        <v>6251</v>
      </c>
      <c r="I275" s="234" t="s">
        <v>19</v>
      </c>
      <c r="J275" s="234" t="s">
        <v>6252</v>
      </c>
      <c r="K275" s="237" t="str">
        <f>IF(COUNTIF(L275:AY275,"&lt;&gt;")=0,"",SUMPRODUCT(((Recommendations[ImplStatus]="Implemented")+(Recommendations[ImplStatus]="Compensated"))*ISNUMBER(MATCH(Recommendations[Id],L275:AY275,0)))/COUNTIF(L275:AY275,"&lt;&gt;"))</f>
        <v/>
      </c>
      <c r="L275" s="240"/>
      <c r="M275" s="240"/>
      <c r="N275" s="240"/>
      <c r="O275" s="240"/>
      <c r="P275" s="240"/>
      <c r="Q275" s="240"/>
      <c r="R275" s="240"/>
      <c r="S275" s="240"/>
      <c r="T275" s="240"/>
      <c r="U275" s="240"/>
      <c r="V275" s="240"/>
      <c r="W275" s="240"/>
      <c r="X275" s="240"/>
      <c r="Y275" s="240"/>
      <c r="Z275" s="240"/>
      <c r="AA275" s="240"/>
      <c r="AB275" s="240"/>
      <c r="AC275" s="240"/>
      <c r="AD275" s="240"/>
      <c r="AE275" s="240"/>
      <c r="AF275" s="240"/>
      <c r="AG275" s="240"/>
      <c r="AH275" s="240"/>
      <c r="AI275" s="240"/>
      <c r="AJ275" s="240"/>
      <c r="AK275" s="240"/>
      <c r="AL275" s="240"/>
      <c r="AM275" s="240"/>
      <c r="AN275" s="240"/>
      <c r="AO275" s="240"/>
      <c r="AP275" s="240"/>
      <c r="AQ275" s="240"/>
      <c r="AR275" s="240"/>
      <c r="AS275" s="240"/>
      <c r="AT275" s="240"/>
      <c r="AU275" s="240"/>
      <c r="AV275" s="240"/>
      <c r="AW275" s="240"/>
      <c r="AX275" s="240"/>
      <c r="AY275" s="250"/>
    </row>
    <row r="276" spans="1:51" ht="60" customHeight="1" x14ac:dyDescent="0.35">
      <c r="A276" s="246" t="s">
        <v>6253</v>
      </c>
      <c r="B276" s="234" t="s">
        <v>6254</v>
      </c>
      <c r="C276" s="234" t="s">
        <v>6255</v>
      </c>
      <c r="D276" s="234" t="s">
        <v>6256</v>
      </c>
      <c r="E276" s="234" t="s">
        <v>19</v>
      </c>
      <c r="F276" s="234" t="s">
        <v>6257</v>
      </c>
      <c r="G276" s="234" t="s">
        <v>19</v>
      </c>
      <c r="H276" s="234" t="s">
        <v>6258</v>
      </c>
      <c r="I276" s="234" t="s">
        <v>6259</v>
      </c>
      <c r="J276" s="234" t="s">
        <v>6260</v>
      </c>
      <c r="K276" s="237">
        <f>IF(COUNTIF(L276:AY276,"&lt;&gt;")=0,"",SUMPRODUCT(((Recommendations[ImplStatus]="Implemented")+(Recommendations[ImplStatus]="Compensated"))*ISNUMBER(MATCH(Recommendations[Id],L276:AY276,0)))/COUNTIF(L276:AY276,"&lt;&gt;"))</f>
        <v>0</v>
      </c>
      <c r="L276" s="240" t="s">
        <v>230</v>
      </c>
      <c r="M276" s="240" t="s">
        <v>1593</v>
      </c>
      <c r="N276" s="240" t="s">
        <v>1598</v>
      </c>
      <c r="O276" s="240" t="s">
        <v>1670</v>
      </c>
      <c r="P276" s="240"/>
      <c r="Q276" s="240"/>
      <c r="R276" s="240"/>
      <c r="S276" s="240"/>
      <c r="T276" s="240"/>
      <c r="U276" s="240"/>
      <c r="V276" s="240"/>
      <c r="W276" s="240"/>
      <c r="X276" s="240"/>
      <c r="Y276" s="240"/>
      <c r="Z276" s="240"/>
      <c r="AA276" s="240"/>
      <c r="AB276" s="240"/>
      <c r="AC276" s="240"/>
      <c r="AD276" s="240"/>
      <c r="AE276" s="240"/>
      <c r="AF276" s="240"/>
      <c r="AG276" s="240"/>
      <c r="AH276" s="240"/>
      <c r="AI276" s="240"/>
      <c r="AJ276" s="240"/>
      <c r="AK276" s="240"/>
      <c r="AL276" s="240"/>
      <c r="AM276" s="240"/>
      <c r="AN276" s="240"/>
      <c r="AO276" s="240"/>
      <c r="AP276" s="240"/>
      <c r="AQ276" s="240"/>
      <c r="AR276" s="240"/>
      <c r="AS276" s="240"/>
      <c r="AT276" s="240"/>
      <c r="AU276" s="240"/>
      <c r="AV276" s="240"/>
      <c r="AW276" s="240"/>
      <c r="AX276" s="240"/>
      <c r="AY276" s="250"/>
    </row>
    <row r="277" spans="1:51" ht="60" customHeight="1" outlineLevel="1" x14ac:dyDescent="0.35">
      <c r="A277" s="245" t="s">
        <v>6261</v>
      </c>
      <c r="B277" s="233" t="s">
        <v>6262</v>
      </c>
      <c r="C277" s="233"/>
      <c r="D277" s="233"/>
      <c r="E277" s="233"/>
      <c r="F277" s="233"/>
      <c r="G277" s="233"/>
      <c r="H277" s="233"/>
      <c r="I277" s="233"/>
      <c r="J277" s="233"/>
      <c r="K277" s="236" t="str">
        <f>IF(COUNTIF(L277:AY277,"&lt;&gt;")=0,"",SUMPRODUCT(((Recommendations[ImplStatus]="Implemented")+(Recommendations[ImplStatus]="Compensated"))*ISNUMBER(MATCH(Recommendations[Id],L277:AY277,0)))/COUNTIF(L277:AY277,"&lt;&gt;"))</f>
        <v/>
      </c>
      <c r="L277" s="239"/>
      <c r="M277" s="239"/>
      <c r="N277" s="239"/>
      <c r="O277" s="239"/>
      <c r="P277" s="239"/>
      <c r="Q277" s="239"/>
      <c r="R277" s="239"/>
      <c r="S277" s="239"/>
      <c r="T277" s="239"/>
      <c r="U277" s="239"/>
      <c r="V277" s="239"/>
      <c r="W277" s="239"/>
      <c r="X277" s="239"/>
      <c r="Y277" s="239"/>
      <c r="Z277" s="239"/>
      <c r="AA277" s="239"/>
      <c r="AB277" s="239"/>
      <c r="AC277" s="239"/>
      <c r="AD277" s="239"/>
      <c r="AE277" s="239"/>
      <c r="AF277" s="239"/>
      <c r="AG277" s="239"/>
      <c r="AH277" s="239"/>
      <c r="AI277" s="239"/>
      <c r="AJ277" s="239"/>
      <c r="AK277" s="239"/>
      <c r="AL277" s="239"/>
      <c r="AM277" s="239"/>
      <c r="AN277" s="239"/>
      <c r="AO277" s="239"/>
      <c r="AP277" s="239"/>
      <c r="AQ277" s="239"/>
      <c r="AR277" s="239"/>
      <c r="AS277" s="239"/>
      <c r="AT277" s="239"/>
      <c r="AU277" s="239"/>
      <c r="AV277" s="239"/>
      <c r="AW277" s="239"/>
      <c r="AX277" s="239"/>
      <c r="AY277" s="249"/>
    </row>
    <row r="278" spans="1:51" ht="60" customHeight="1" x14ac:dyDescent="0.35">
      <c r="A278" s="246" t="s">
        <v>6263</v>
      </c>
      <c r="B278" s="234" t="s">
        <v>6264</v>
      </c>
      <c r="C278" s="234" t="s">
        <v>6265</v>
      </c>
      <c r="D278" s="234" t="s">
        <v>6266</v>
      </c>
      <c r="E278" s="234" t="s">
        <v>19</v>
      </c>
      <c r="F278" s="234" t="s">
        <v>6267</v>
      </c>
      <c r="G278" s="234" t="s">
        <v>19</v>
      </c>
      <c r="H278" s="234" t="s">
        <v>6268</v>
      </c>
      <c r="I278" s="234" t="s">
        <v>19</v>
      </c>
      <c r="J278" s="234" t="s">
        <v>6269</v>
      </c>
      <c r="K278" s="237" t="str">
        <f>IF(COUNTIF(L278:AY278,"&lt;&gt;")=0,"",SUMPRODUCT(((Recommendations[ImplStatus]="Implemented")+(Recommendations[ImplStatus]="Compensated"))*ISNUMBER(MATCH(Recommendations[Id],L278:AY278,0)))/COUNTIF(L278:AY278,"&lt;&gt;"))</f>
        <v/>
      </c>
      <c r="L278" s="240"/>
      <c r="M278" s="240"/>
      <c r="N278" s="240"/>
      <c r="O278" s="240"/>
      <c r="P278" s="240"/>
      <c r="Q278" s="240"/>
      <c r="R278" s="240"/>
      <c r="S278" s="240"/>
      <c r="T278" s="240"/>
      <c r="U278" s="240"/>
      <c r="V278" s="240"/>
      <c r="W278" s="240"/>
      <c r="X278" s="240"/>
      <c r="Y278" s="240"/>
      <c r="Z278" s="240"/>
      <c r="AA278" s="240"/>
      <c r="AB278" s="240"/>
      <c r="AC278" s="240"/>
      <c r="AD278" s="240"/>
      <c r="AE278" s="240"/>
      <c r="AF278" s="240"/>
      <c r="AG278" s="240"/>
      <c r="AH278" s="240"/>
      <c r="AI278" s="240"/>
      <c r="AJ278" s="240"/>
      <c r="AK278" s="240"/>
      <c r="AL278" s="240"/>
      <c r="AM278" s="240"/>
      <c r="AN278" s="240"/>
      <c r="AO278" s="240"/>
      <c r="AP278" s="240"/>
      <c r="AQ278" s="240"/>
      <c r="AR278" s="240"/>
      <c r="AS278" s="240"/>
      <c r="AT278" s="240"/>
      <c r="AU278" s="240"/>
      <c r="AV278" s="240"/>
      <c r="AW278" s="240"/>
      <c r="AX278" s="240"/>
      <c r="AY278" s="250"/>
    </row>
    <row r="279" spans="1:51" ht="60" customHeight="1" outlineLevel="1" x14ac:dyDescent="0.35">
      <c r="A279" s="244" t="s">
        <v>6270</v>
      </c>
      <c r="B279" s="232" t="s">
        <v>6271</v>
      </c>
      <c r="C279" s="232"/>
      <c r="D279" s="232"/>
      <c r="E279" s="232"/>
      <c r="F279" s="232"/>
      <c r="G279" s="232"/>
      <c r="H279" s="232"/>
      <c r="I279" s="232"/>
      <c r="J279" s="232"/>
      <c r="K279" s="235" t="str">
        <f>IF(COUNTIF(L279:AY279,"&lt;&gt;")=0,"",SUMPRODUCT(((Recommendations[ImplStatus]="Implemented")+(Recommendations[ImplStatus]="Compensated"))*ISNUMBER(MATCH(Recommendations[Id],L279:AY279,0)))/COUNTIF(L279:AY279,"&lt;&gt;"))</f>
        <v/>
      </c>
      <c r="L279" s="238"/>
      <c r="M279" s="238"/>
      <c r="N279" s="238"/>
      <c r="O279" s="238"/>
      <c r="P279" s="238"/>
      <c r="Q279" s="238"/>
      <c r="R279" s="238"/>
      <c r="S279" s="238"/>
      <c r="T279" s="238"/>
      <c r="U279" s="238"/>
      <c r="V279" s="238"/>
      <c r="W279" s="238"/>
      <c r="X279" s="238"/>
      <c r="Y279" s="238"/>
      <c r="Z279" s="238"/>
      <c r="AA279" s="238"/>
      <c r="AB279" s="238"/>
      <c r="AC279" s="238"/>
      <c r="AD279" s="238"/>
      <c r="AE279" s="238"/>
      <c r="AF279" s="238"/>
      <c r="AG279" s="238"/>
      <c r="AH279" s="238"/>
      <c r="AI279" s="238"/>
      <c r="AJ279" s="238"/>
      <c r="AK279" s="238"/>
      <c r="AL279" s="238"/>
      <c r="AM279" s="238"/>
      <c r="AN279" s="238"/>
      <c r="AO279" s="238"/>
      <c r="AP279" s="238"/>
      <c r="AQ279" s="238"/>
      <c r="AR279" s="238"/>
      <c r="AS279" s="238"/>
      <c r="AT279" s="238"/>
      <c r="AU279" s="238"/>
      <c r="AV279" s="238"/>
      <c r="AW279" s="238"/>
      <c r="AX279" s="238"/>
      <c r="AY279" s="248"/>
    </row>
    <row r="280" spans="1:51" ht="60" customHeight="1" outlineLevel="1" x14ac:dyDescent="0.35">
      <c r="A280" s="245" t="s">
        <v>2469</v>
      </c>
      <c r="B280" s="233" t="s">
        <v>6272</v>
      </c>
      <c r="C280" s="233"/>
      <c r="D280" s="233"/>
      <c r="E280" s="233"/>
      <c r="F280" s="233"/>
      <c r="G280" s="233"/>
      <c r="H280" s="233"/>
      <c r="I280" s="233"/>
      <c r="J280" s="233"/>
      <c r="K280" s="236" t="str">
        <f>IF(COUNTIF(L280:AY280,"&lt;&gt;")=0,"",SUMPRODUCT(((Recommendations[ImplStatus]="Implemented")+(Recommendations[ImplStatus]="Compensated"))*ISNUMBER(MATCH(Recommendations[Id],L280:AY280,0)))/COUNTIF(L280:AY280,"&lt;&gt;"))</f>
        <v/>
      </c>
      <c r="L280" s="239"/>
      <c r="M280" s="239"/>
      <c r="N280" s="239"/>
      <c r="O280" s="239"/>
      <c r="P280" s="239"/>
      <c r="Q280" s="239"/>
      <c r="R280" s="239"/>
      <c r="S280" s="239"/>
      <c r="T280" s="239"/>
      <c r="U280" s="239"/>
      <c r="V280" s="239"/>
      <c r="W280" s="239"/>
      <c r="X280" s="239"/>
      <c r="Y280" s="239"/>
      <c r="Z280" s="239"/>
      <c r="AA280" s="239"/>
      <c r="AB280" s="239"/>
      <c r="AC280" s="239"/>
      <c r="AD280" s="239"/>
      <c r="AE280" s="239"/>
      <c r="AF280" s="239"/>
      <c r="AG280" s="239"/>
      <c r="AH280" s="239"/>
      <c r="AI280" s="239"/>
      <c r="AJ280" s="239"/>
      <c r="AK280" s="239"/>
      <c r="AL280" s="239"/>
      <c r="AM280" s="239"/>
      <c r="AN280" s="239"/>
      <c r="AO280" s="239"/>
      <c r="AP280" s="239"/>
      <c r="AQ280" s="239"/>
      <c r="AR280" s="239"/>
      <c r="AS280" s="239"/>
      <c r="AT280" s="239"/>
      <c r="AU280" s="239"/>
      <c r="AV280" s="239"/>
      <c r="AW280" s="239"/>
      <c r="AX280" s="239"/>
      <c r="AY280" s="249"/>
    </row>
    <row r="281" spans="1:51" ht="60" customHeight="1" x14ac:dyDescent="0.35">
      <c r="A281" s="246" t="s">
        <v>6273</v>
      </c>
      <c r="B281" s="234" t="s">
        <v>6274</v>
      </c>
      <c r="C281" s="234" t="s">
        <v>6275</v>
      </c>
      <c r="D281" s="234" t="s">
        <v>6276</v>
      </c>
      <c r="E281" s="234" t="s">
        <v>6277</v>
      </c>
      <c r="F281" s="234" t="s">
        <v>19</v>
      </c>
      <c r="G281" s="234" t="s">
        <v>19</v>
      </c>
      <c r="H281" s="234" t="s">
        <v>6278</v>
      </c>
      <c r="I281" s="234" t="s">
        <v>19</v>
      </c>
      <c r="J281" s="234" t="s">
        <v>6279</v>
      </c>
      <c r="K281" s="237" t="str">
        <f>IF(COUNTIF(L281:AY281,"&lt;&gt;")=0,"",SUMPRODUCT(((Recommendations[ImplStatus]="Implemented")+(Recommendations[ImplStatus]="Compensated"))*ISNUMBER(MATCH(Recommendations[Id],L281:AY281,0)))/COUNTIF(L281:AY281,"&lt;&gt;"))</f>
        <v/>
      </c>
      <c r="L281" s="240"/>
      <c r="M281" s="240"/>
      <c r="N281" s="240"/>
      <c r="O281" s="240"/>
      <c r="P281" s="240"/>
      <c r="Q281" s="240"/>
      <c r="R281" s="240"/>
      <c r="S281" s="240"/>
      <c r="T281" s="240"/>
      <c r="U281" s="240"/>
      <c r="V281" s="240"/>
      <c r="W281" s="240"/>
      <c r="X281" s="240"/>
      <c r="Y281" s="240"/>
      <c r="Z281" s="240"/>
      <c r="AA281" s="240"/>
      <c r="AB281" s="240"/>
      <c r="AC281" s="240"/>
      <c r="AD281" s="240"/>
      <c r="AE281" s="240"/>
      <c r="AF281" s="240"/>
      <c r="AG281" s="240"/>
      <c r="AH281" s="240"/>
      <c r="AI281" s="240"/>
      <c r="AJ281" s="240"/>
      <c r="AK281" s="240"/>
      <c r="AL281" s="240"/>
      <c r="AM281" s="240"/>
      <c r="AN281" s="240"/>
      <c r="AO281" s="240"/>
      <c r="AP281" s="240"/>
      <c r="AQ281" s="240"/>
      <c r="AR281" s="240"/>
      <c r="AS281" s="240"/>
      <c r="AT281" s="240"/>
      <c r="AU281" s="240"/>
      <c r="AV281" s="240"/>
      <c r="AW281" s="240"/>
      <c r="AX281" s="240"/>
      <c r="AY281" s="250"/>
    </row>
    <row r="282" spans="1:51" ht="60" customHeight="1" x14ac:dyDescent="0.35">
      <c r="A282" s="246" t="s">
        <v>6280</v>
      </c>
      <c r="B282" s="234" t="s">
        <v>6281</v>
      </c>
      <c r="C282" s="234" t="s">
        <v>6282</v>
      </c>
      <c r="D282" s="234" t="s">
        <v>19</v>
      </c>
      <c r="E282" s="234" t="s">
        <v>19</v>
      </c>
      <c r="F282" s="234" t="s">
        <v>19</v>
      </c>
      <c r="G282" s="234" t="s">
        <v>19</v>
      </c>
      <c r="H282" s="234" t="s">
        <v>6283</v>
      </c>
      <c r="I282" s="234" t="s">
        <v>19</v>
      </c>
      <c r="J282" s="234" t="s">
        <v>6284</v>
      </c>
      <c r="K282" s="237" t="str">
        <f>IF(COUNTIF(L282:AY282,"&lt;&gt;")=0,"",SUMPRODUCT(((Recommendations[ImplStatus]="Implemented")+(Recommendations[ImplStatus]="Compensated"))*ISNUMBER(MATCH(Recommendations[Id],L282:AY282,0)))/COUNTIF(L282:AY282,"&lt;&gt;"))</f>
        <v/>
      </c>
      <c r="L282" s="240"/>
      <c r="M282" s="240"/>
      <c r="N282" s="240"/>
      <c r="O282" s="240"/>
      <c r="P282" s="240"/>
      <c r="Q282" s="240"/>
      <c r="R282" s="240"/>
      <c r="S282" s="240"/>
      <c r="T282" s="240"/>
      <c r="U282" s="240"/>
      <c r="V282" s="240"/>
      <c r="W282" s="240"/>
      <c r="X282" s="240"/>
      <c r="Y282" s="240"/>
      <c r="Z282" s="240"/>
      <c r="AA282" s="240"/>
      <c r="AB282" s="240"/>
      <c r="AC282" s="240"/>
      <c r="AD282" s="240"/>
      <c r="AE282" s="240"/>
      <c r="AF282" s="240"/>
      <c r="AG282" s="240"/>
      <c r="AH282" s="240"/>
      <c r="AI282" s="240"/>
      <c r="AJ282" s="240"/>
      <c r="AK282" s="240"/>
      <c r="AL282" s="240"/>
      <c r="AM282" s="240"/>
      <c r="AN282" s="240"/>
      <c r="AO282" s="240"/>
      <c r="AP282" s="240"/>
      <c r="AQ282" s="240"/>
      <c r="AR282" s="240"/>
      <c r="AS282" s="240"/>
      <c r="AT282" s="240"/>
      <c r="AU282" s="240"/>
      <c r="AV282" s="240"/>
      <c r="AW282" s="240"/>
      <c r="AX282" s="240"/>
      <c r="AY282" s="250"/>
    </row>
    <row r="283" spans="1:51" ht="60" customHeight="1" x14ac:dyDescent="0.35">
      <c r="A283" s="246" t="s">
        <v>6285</v>
      </c>
      <c r="B283" s="234" t="s">
        <v>6286</v>
      </c>
      <c r="C283" s="234" t="s">
        <v>6287</v>
      </c>
      <c r="D283" s="234" t="s">
        <v>19</v>
      </c>
      <c r="E283" s="234" t="s">
        <v>19</v>
      </c>
      <c r="F283" s="234" t="s">
        <v>19</v>
      </c>
      <c r="G283" s="234" t="s">
        <v>19</v>
      </c>
      <c r="H283" s="234" t="s">
        <v>6288</v>
      </c>
      <c r="I283" s="234" t="s">
        <v>19</v>
      </c>
      <c r="J283" s="234" t="s">
        <v>6289</v>
      </c>
      <c r="K283" s="237" t="str">
        <f>IF(COUNTIF(L283:AY283,"&lt;&gt;")=0,"",SUMPRODUCT(((Recommendations[ImplStatus]="Implemented")+(Recommendations[ImplStatus]="Compensated"))*ISNUMBER(MATCH(Recommendations[Id],L283:AY283,0)))/COUNTIF(L283:AY283,"&lt;&gt;"))</f>
        <v/>
      </c>
      <c r="L283" s="240"/>
      <c r="M283" s="240"/>
      <c r="N283" s="240"/>
      <c r="O283" s="240"/>
      <c r="P283" s="240"/>
      <c r="Q283" s="240"/>
      <c r="R283" s="240"/>
      <c r="S283" s="240"/>
      <c r="T283" s="240"/>
      <c r="U283" s="240"/>
      <c r="V283" s="240"/>
      <c r="W283" s="240"/>
      <c r="X283" s="240"/>
      <c r="Y283" s="240"/>
      <c r="Z283" s="240"/>
      <c r="AA283" s="240"/>
      <c r="AB283" s="240"/>
      <c r="AC283" s="240"/>
      <c r="AD283" s="240"/>
      <c r="AE283" s="240"/>
      <c r="AF283" s="240"/>
      <c r="AG283" s="240"/>
      <c r="AH283" s="240"/>
      <c r="AI283" s="240"/>
      <c r="AJ283" s="240"/>
      <c r="AK283" s="240"/>
      <c r="AL283" s="240"/>
      <c r="AM283" s="240"/>
      <c r="AN283" s="240"/>
      <c r="AO283" s="240"/>
      <c r="AP283" s="240"/>
      <c r="AQ283" s="240"/>
      <c r="AR283" s="240"/>
      <c r="AS283" s="240"/>
      <c r="AT283" s="240"/>
      <c r="AU283" s="240"/>
      <c r="AV283" s="240"/>
      <c r="AW283" s="240"/>
      <c r="AX283" s="240"/>
      <c r="AY283" s="250"/>
    </row>
    <row r="284" spans="1:51" ht="60" customHeight="1" x14ac:dyDescent="0.35">
      <c r="A284" s="246" t="s">
        <v>6290</v>
      </c>
      <c r="B284" s="234" t="s">
        <v>6291</v>
      </c>
      <c r="C284" s="234" t="s">
        <v>6292</v>
      </c>
      <c r="D284" s="234" t="s">
        <v>6293</v>
      </c>
      <c r="E284" s="234" t="s">
        <v>19</v>
      </c>
      <c r="F284" s="234" t="s">
        <v>19</v>
      </c>
      <c r="G284" s="234" t="s">
        <v>19</v>
      </c>
      <c r="H284" s="234" t="s">
        <v>6294</v>
      </c>
      <c r="I284" s="234" t="s">
        <v>19</v>
      </c>
      <c r="J284" s="234" t="s">
        <v>6295</v>
      </c>
      <c r="K284" s="237" t="str">
        <f>IF(COUNTIF(L284:AY284,"&lt;&gt;")=0,"",SUMPRODUCT(((Recommendations[ImplStatus]="Implemented")+(Recommendations[ImplStatus]="Compensated"))*ISNUMBER(MATCH(Recommendations[Id],L284:AY284,0)))/COUNTIF(L284:AY284,"&lt;&gt;"))</f>
        <v/>
      </c>
      <c r="L284" s="240"/>
      <c r="M284" s="240"/>
      <c r="N284" s="240"/>
      <c r="O284" s="240"/>
      <c r="P284" s="240"/>
      <c r="Q284" s="240"/>
      <c r="R284" s="240"/>
      <c r="S284" s="240"/>
      <c r="T284" s="240"/>
      <c r="U284" s="240"/>
      <c r="V284" s="240"/>
      <c r="W284" s="240"/>
      <c r="X284" s="240"/>
      <c r="Y284" s="240"/>
      <c r="Z284" s="240"/>
      <c r="AA284" s="240"/>
      <c r="AB284" s="240"/>
      <c r="AC284" s="240"/>
      <c r="AD284" s="240"/>
      <c r="AE284" s="240"/>
      <c r="AF284" s="240"/>
      <c r="AG284" s="240"/>
      <c r="AH284" s="240"/>
      <c r="AI284" s="240"/>
      <c r="AJ284" s="240"/>
      <c r="AK284" s="240"/>
      <c r="AL284" s="240"/>
      <c r="AM284" s="240"/>
      <c r="AN284" s="240"/>
      <c r="AO284" s="240"/>
      <c r="AP284" s="240"/>
      <c r="AQ284" s="240"/>
      <c r="AR284" s="240"/>
      <c r="AS284" s="240"/>
      <c r="AT284" s="240"/>
      <c r="AU284" s="240"/>
      <c r="AV284" s="240"/>
      <c r="AW284" s="240"/>
      <c r="AX284" s="240"/>
      <c r="AY284" s="250"/>
    </row>
    <row r="285" spans="1:51" ht="60" customHeight="1" outlineLevel="1" x14ac:dyDescent="0.35">
      <c r="A285" s="245" t="s">
        <v>2473</v>
      </c>
      <c r="B285" s="233" t="s">
        <v>6296</v>
      </c>
      <c r="C285" s="233"/>
      <c r="D285" s="233"/>
      <c r="E285" s="233"/>
      <c r="F285" s="233"/>
      <c r="G285" s="233"/>
      <c r="H285" s="233"/>
      <c r="I285" s="233"/>
      <c r="J285" s="233"/>
      <c r="K285" s="236" t="str">
        <f>IF(COUNTIF(L285:AY285,"&lt;&gt;")=0,"",SUMPRODUCT(((Recommendations[ImplStatus]="Implemented")+(Recommendations[ImplStatus]="Compensated"))*ISNUMBER(MATCH(Recommendations[Id],L285:AY285,0)))/COUNTIF(L285:AY285,"&lt;&gt;"))</f>
        <v/>
      </c>
      <c r="L285" s="239"/>
      <c r="M285" s="239"/>
      <c r="N285" s="239"/>
      <c r="O285" s="239"/>
      <c r="P285" s="239"/>
      <c r="Q285" s="239"/>
      <c r="R285" s="239"/>
      <c r="S285" s="239"/>
      <c r="T285" s="239"/>
      <c r="U285" s="239"/>
      <c r="V285" s="239"/>
      <c r="W285" s="239"/>
      <c r="X285" s="239"/>
      <c r="Y285" s="239"/>
      <c r="Z285" s="239"/>
      <c r="AA285" s="239"/>
      <c r="AB285" s="239"/>
      <c r="AC285" s="239"/>
      <c r="AD285" s="239"/>
      <c r="AE285" s="239"/>
      <c r="AF285" s="239"/>
      <c r="AG285" s="239"/>
      <c r="AH285" s="239"/>
      <c r="AI285" s="239"/>
      <c r="AJ285" s="239"/>
      <c r="AK285" s="239"/>
      <c r="AL285" s="239"/>
      <c r="AM285" s="239"/>
      <c r="AN285" s="239"/>
      <c r="AO285" s="239"/>
      <c r="AP285" s="239"/>
      <c r="AQ285" s="239"/>
      <c r="AR285" s="239"/>
      <c r="AS285" s="239"/>
      <c r="AT285" s="239"/>
      <c r="AU285" s="239"/>
      <c r="AV285" s="239"/>
      <c r="AW285" s="239"/>
      <c r="AX285" s="239"/>
      <c r="AY285" s="249"/>
    </row>
    <row r="286" spans="1:51" ht="60" customHeight="1" x14ac:dyDescent="0.35">
      <c r="A286" s="246" t="s">
        <v>6297</v>
      </c>
      <c r="B286" s="234" t="s">
        <v>6298</v>
      </c>
      <c r="C286" s="234" t="s">
        <v>6299</v>
      </c>
      <c r="D286" s="234" t="s">
        <v>6300</v>
      </c>
      <c r="E286" s="234" t="s">
        <v>19</v>
      </c>
      <c r="F286" s="234" t="s">
        <v>19</v>
      </c>
      <c r="G286" s="234" t="s">
        <v>19</v>
      </c>
      <c r="H286" s="234" t="s">
        <v>6301</v>
      </c>
      <c r="I286" s="234" t="s">
        <v>6302</v>
      </c>
      <c r="J286" s="234" t="s">
        <v>6303</v>
      </c>
      <c r="K286" s="237" t="str">
        <f>IF(COUNTIF(L286:AY286,"&lt;&gt;")=0,"",SUMPRODUCT(((Recommendations[ImplStatus]="Implemented")+(Recommendations[ImplStatus]="Compensated"))*ISNUMBER(MATCH(Recommendations[Id],L286:AY286,0)))/COUNTIF(L286:AY286,"&lt;&gt;"))</f>
        <v/>
      </c>
      <c r="L286" s="240"/>
      <c r="M286" s="240"/>
      <c r="N286" s="240"/>
      <c r="O286" s="240"/>
      <c r="P286" s="240"/>
      <c r="Q286" s="240"/>
      <c r="R286" s="240"/>
      <c r="S286" s="240"/>
      <c r="T286" s="240"/>
      <c r="U286" s="240"/>
      <c r="V286" s="240"/>
      <c r="W286" s="240"/>
      <c r="X286" s="240"/>
      <c r="Y286" s="240"/>
      <c r="Z286" s="240"/>
      <c r="AA286" s="240"/>
      <c r="AB286" s="240"/>
      <c r="AC286" s="240"/>
      <c r="AD286" s="240"/>
      <c r="AE286" s="240"/>
      <c r="AF286" s="240"/>
      <c r="AG286" s="240"/>
      <c r="AH286" s="240"/>
      <c r="AI286" s="240"/>
      <c r="AJ286" s="240"/>
      <c r="AK286" s="240"/>
      <c r="AL286" s="240"/>
      <c r="AM286" s="240"/>
      <c r="AN286" s="240"/>
      <c r="AO286" s="240"/>
      <c r="AP286" s="240"/>
      <c r="AQ286" s="240"/>
      <c r="AR286" s="240"/>
      <c r="AS286" s="240"/>
      <c r="AT286" s="240"/>
      <c r="AU286" s="240"/>
      <c r="AV286" s="240"/>
      <c r="AW286" s="240"/>
      <c r="AX286" s="240"/>
      <c r="AY286" s="250"/>
    </row>
    <row r="287" spans="1:51" ht="60" customHeight="1" outlineLevel="1" x14ac:dyDescent="0.35">
      <c r="A287" s="245" t="s">
        <v>2477</v>
      </c>
      <c r="B287" s="233" t="s">
        <v>6304</v>
      </c>
      <c r="C287" s="233"/>
      <c r="D287" s="233"/>
      <c r="E287" s="233"/>
      <c r="F287" s="233"/>
      <c r="G287" s="233"/>
      <c r="H287" s="233"/>
      <c r="I287" s="233"/>
      <c r="J287" s="233"/>
      <c r="K287" s="236" t="str">
        <f>IF(COUNTIF(L287:AY287,"&lt;&gt;")=0,"",SUMPRODUCT(((Recommendations[ImplStatus]="Implemented")+(Recommendations[ImplStatus]="Compensated"))*ISNUMBER(MATCH(Recommendations[Id],L287:AY287,0)))/COUNTIF(L287:AY287,"&lt;&gt;"))</f>
        <v/>
      </c>
      <c r="L287" s="239"/>
      <c r="M287" s="239"/>
      <c r="N287" s="239"/>
      <c r="O287" s="239"/>
      <c r="P287" s="239"/>
      <c r="Q287" s="239"/>
      <c r="R287" s="239"/>
      <c r="S287" s="239"/>
      <c r="T287" s="239"/>
      <c r="U287" s="239"/>
      <c r="V287" s="239"/>
      <c r="W287" s="239"/>
      <c r="X287" s="239"/>
      <c r="Y287" s="239"/>
      <c r="Z287" s="239"/>
      <c r="AA287" s="239"/>
      <c r="AB287" s="239"/>
      <c r="AC287" s="239"/>
      <c r="AD287" s="239"/>
      <c r="AE287" s="239"/>
      <c r="AF287" s="239"/>
      <c r="AG287" s="239"/>
      <c r="AH287" s="239"/>
      <c r="AI287" s="239"/>
      <c r="AJ287" s="239"/>
      <c r="AK287" s="239"/>
      <c r="AL287" s="239"/>
      <c r="AM287" s="239"/>
      <c r="AN287" s="239"/>
      <c r="AO287" s="239"/>
      <c r="AP287" s="239"/>
      <c r="AQ287" s="239"/>
      <c r="AR287" s="239"/>
      <c r="AS287" s="239"/>
      <c r="AT287" s="239"/>
      <c r="AU287" s="239"/>
      <c r="AV287" s="239"/>
      <c r="AW287" s="239"/>
      <c r="AX287" s="239"/>
      <c r="AY287" s="249"/>
    </row>
    <row r="288" spans="1:51" ht="60" customHeight="1" x14ac:dyDescent="0.35">
      <c r="A288" s="246" t="s">
        <v>6305</v>
      </c>
      <c r="B288" s="234" t="s">
        <v>6306</v>
      </c>
      <c r="C288" s="234" t="s">
        <v>6307</v>
      </c>
      <c r="D288" s="234" t="s">
        <v>6308</v>
      </c>
      <c r="E288" s="234" t="s">
        <v>6309</v>
      </c>
      <c r="F288" s="234" t="s">
        <v>6310</v>
      </c>
      <c r="G288" s="234" t="s">
        <v>6311</v>
      </c>
      <c r="H288" s="234" t="s">
        <v>6312</v>
      </c>
      <c r="I288" s="234" t="s">
        <v>5293</v>
      </c>
      <c r="J288" s="234" t="s">
        <v>6313</v>
      </c>
      <c r="K288" s="237" t="str">
        <f>IF(COUNTIF(L288:AY288,"&lt;&gt;")=0,"",SUMPRODUCT(((Recommendations[ImplStatus]="Implemented")+(Recommendations[ImplStatus]="Compensated"))*ISNUMBER(MATCH(Recommendations[Id],L288:AY288,0)))/COUNTIF(L288:AY288,"&lt;&gt;"))</f>
        <v/>
      </c>
      <c r="L288" s="240"/>
      <c r="M288" s="240"/>
      <c r="N288" s="240"/>
      <c r="O288" s="240"/>
      <c r="P288" s="240"/>
      <c r="Q288" s="240"/>
      <c r="R288" s="240"/>
      <c r="S288" s="240"/>
      <c r="T288" s="240"/>
      <c r="U288" s="240"/>
      <c r="V288" s="240"/>
      <c r="W288" s="240"/>
      <c r="X288" s="240"/>
      <c r="Y288" s="240"/>
      <c r="Z288" s="240"/>
      <c r="AA288" s="240"/>
      <c r="AB288" s="240"/>
      <c r="AC288" s="240"/>
      <c r="AD288" s="240"/>
      <c r="AE288" s="240"/>
      <c r="AF288" s="240"/>
      <c r="AG288" s="240"/>
      <c r="AH288" s="240"/>
      <c r="AI288" s="240"/>
      <c r="AJ288" s="240"/>
      <c r="AK288" s="240"/>
      <c r="AL288" s="240"/>
      <c r="AM288" s="240"/>
      <c r="AN288" s="240"/>
      <c r="AO288" s="240"/>
      <c r="AP288" s="240"/>
      <c r="AQ288" s="240"/>
      <c r="AR288" s="240"/>
      <c r="AS288" s="240"/>
      <c r="AT288" s="240"/>
      <c r="AU288" s="240"/>
      <c r="AV288" s="240"/>
      <c r="AW288" s="240"/>
      <c r="AX288" s="240"/>
      <c r="AY288" s="250"/>
    </row>
    <row r="289" spans="1:51" ht="60" customHeight="1" x14ac:dyDescent="0.35">
      <c r="A289" s="246" t="s">
        <v>6314</v>
      </c>
      <c r="B289" s="234" t="s">
        <v>6315</v>
      </c>
      <c r="C289" s="234" t="s">
        <v>6316</v>
      </c>
      <c r="D289" s="234" t="s">
        <v>19</v>
      </c>
      <c r="E289" s="234" t="s">
        <v>6309</v>
      </c>
      <c r="F289" s="234" t="s">
        <v>19</v>
      </c>
      <c r="G289" s="234" t="s">
        <v>6317</v>
      </c>
      <c r="H289" s="234" t="s">
        <v>6318</v>
      </c>
      <c r="I289" s="234" t="s">
        <v>6319</v>
      </c>
      <c r="J289" s="234" t="s">
        <v>6320</v>
      </c>
      <c r="K289" s="237" t="str">
        <f>IF(COUNTIF(L289:AY289,"&lt;&gt;")=0,"",SUMPRODUCT(((Recommendations[ImplStatus]="Implemented")+(Recommendations[ImplStatus]="Compensated"))*ISNUMBER(MATCH(Recommendations[Id],L289:AY289,0)))/COUNTIF(L289:AY289,"&lt;&gt;"))</f>
        <v/>
      </c>
      <c r="L289" s="240"/>
      <c r="M289" s="240"/>
      <c r="N289" s="240"/>
      <c r="O289" s="240"/>
      <c r="P289" s="240"/>
      <c r="Q289" s="240"/>
      <c r="R289" s="240"/>
      <c r="S289" s="240"/>
      <c r="T289" s="240"/>
      <c r="U289" s="240"/>
      <c r="V289" s="240"/>
      <c r="W289" s="240"/>
      <c r="X289" s="240"/>
      <c r="Y289" s="240"/>
      <c r="Z289" s="240"/>
      <c r="AA289" s="240"/>
      <c r="AB289" s="240"/>
      <c r="AC289" s="240"/>
      <c r="AD289" s="240"/>
      <c r="AE289" s="240"/>
      <c r="AF289" s="240"/>
      <c r="AG289" s="240"/>
      <c r="AH289" s="240"/>
      <c r="AI289" s="240"/>
      <c r="AJ289" s="240"/>
      <c r="AK289" s="240"/>
      <c r="AL289" s="240"/>
      <c r="AM289" s="240"/>
      <c r="AN289" s="240"/>
      <c r="AO289" s="240"/>
      <c r="AP289" s="240"/>
      <c r="AQ289" s="240"/>
      <c r="AR289" s="240"/>
      <c r="AS289" s="240"/>
      <c r="AT289" s="240"/>
      <c r="AU289" s="240"/>
      <c r="AV289" s="240"/>
      <c r="AW289" s="240"/>
      <c r="AX289" s="240"/>
      <c r="AY289" s="250"/>
    </row>
    <row r="290" spans="1:51" ht="60" customHeight="1" x14ac:dyDescent="0.35">
      <c r="A290" s="246" t="s">
        <v>6321</v>
      </c>
      <c r="B290" s="234" t="s">
        <v>6322</v>
      </c>
      <c r="C290" s="234" t="s">
        <v>6323</v>
      </c>
      <c r="D290" s="234" t="s">
        <v>19</v>
      </c>
      <c r="E290" s="234" t="s">
        <v>6324</v>
      </c>
      <c r="F290" s="234" t="s">
        <v>19</v>
      </c>
      <c r="G290" s="234" t="s">
        <v>6325</v>
      </c>
      <c r="H290" s="234" t="s">
        <v>6326</v>
      </c>
      <c r="I290" s="234" t="s">
        <v>6327</v>
      </c>
      <c r="J290" s="234" t="s">
        <v>6328</v>
      </c>
      <c r="K290" s="237" t="str">
        <f>IF(COUNTIF(L290:AY290,"&lt;&gt;")=0,"",SUMPRODUCT(((Recommendations[ImplStatus]="Implemented")+(Recommendations[ImplStatus]="Compensated"))*ISNUMBER(MATCH(Recommendations[Id],L290:AY290,0)))/COUNTIF(L290:AY290,"&lt;&gt;"))</f>
        <v/>
      </c>
      <c r="L290" s="240"/>
      <c r="M290" s="240"/>
      <c r="N290" s="240"/>
      <c r="O290" s="240"/>
      <c r="P290" s="240"/>
      <c r="Q290" s="240"/>
      <c r="R290" s="240"/>
      <c r="S290" s="240"/>
      <c r="T290" s="240"/>
      <c r="U290" s="240"/>
      <c r="V290" s="240"/>
      <c r="W290" s="240"/>
      <c r="X290" s="240"/>
      <c r="Y290" s="240"/>
      <c r="Z290" s="240"/>
      <c r="AA290" s="240"/>
      <c r="AB290" s="240"/>
      <c r="AC290" s="240"/>
      <c r="AD290" s="240"/>
      <c r="AE290" s="240"/>
      <c r="AF290" s="240"/>
      <c r="AG290" s="240"/>
      <c r="AH290" s="240"/>
      <c r="AI290" s="240"/>
      <c r="AJ290" s="240"/>
      <c r="AK290" s="240"/>
      <c r="AL290" s="240"/>
      <c r="AM290" s="240"/>
      <c r="AN290" s="240"/>
      <c r="AO290" s="240"/>
      <c r="AP290" s="240"/>
      <c r="AQ290" s="240"/>
      <c r="AR290" s="240"/>
      <c r="AS290" s="240"/>
      <c r="AT290" s="240"/>
      <c r="AU290" s="240"/>
      <c r="AV290" s="240"/>
      <c r="AW290" s="240"/>
      <c r="AX290" s="240"/>
      <c r="AY290" s="250"/>
    </row>
    <row r="291" spans="1:51" ht="60" customHeight="1" x14ac:dyDescent="0.35">
      <c r="A291" s="246" t="s">
        <v>6329</v>
      </c>
      <c r="B291" s="234" t="s">
        <v>6330</v>
      </c>
      <c r="C291" s="234" t="s">
        <v>6331</v>
      </c>
      <c r="D291" s="234" t="s">
        <v>19</v>
      </c>
      <c r="E291" s="234" t="s">
        <v>19</v>
      </c>
      <c r="F291" s="234" t="s">
        <v>19</v>
      </c>
      <c r="G291" s="234" t="s">
        <v>19</v>
      </c>
      <c r="H291" s="234" t="s">
        <v>6332</v>
      </c>
      <c r="I291" s="234" t="s">
        <v>5293</v>
      </c>
      <c r="J291" s="234" t="s">
        <v>6333</v>
      </c>
      <c r="K291" s="237" t="str">
        <f>IF(COUNTIF(L291:AY291,"&lt;&gt;")=0,"",SUMPRODUCT(((Recommendations[ImplStatus]="Implemented")+(Recommendations[ImplStatus]="Compensated"))*ISNUMBER(MATCH(Recommendations[Id],L291:AY291,0)))/COUNTIF(L291:AY291,"&lt;&gt;"))</f>
        <v/>
      </c>
      <c r="L291" s="240"/>
      <c r="M291" s="240"/>
      <c r="N291" s="240"/>
      <c r="O291" s="240"/>
      <c r="P291" s="240"/>
      <c r="Q291" s="240"/>
      <c r="R291" s="240"/>
      <c r="S291" s="240"/>
      <c r="T291" s="240"/>
      <c r="U291" s="240"/>
      <c r="V291" s="240"/>
      <c r="W291" s="240"/>
      <c r="X291" s="240"/>
      <c r="Y291" s="240"/>
      <c r="Z291" s="240"/>
      <c r="AA291" s="240"/>
      <c r="AB291" s="240"/>
      <c r="AC291" s="240"/>
      <c r="AD291" s="240"/>
      <c r="AE291" s="240"/>
      <c r="AF291" s="240"/>
      <c r="AG291" s="240"/>
      <c r="AH291" s="240"/>
      <c r="AI291" s="240"/>
      <c r="AJ291" s="240"/>
      <c r="AK291" s="240"/>
      <c r="AL291" s="240"/>
      <c r="AM291" s="240"/>
      <c r="AN291" s="240"/>
      <c r="AO291" s="240"/>
      <c r="AP291" s="240"/>
      <c r="AQ291" s="240"/>
      <c r="AR291" s="240"/>
      <c r="AS291" s="240"/>
      <c r="AT291" s="240"/>
      <c r="AU291" s="240"/>
      <c r="AV291" s="240"/>
      <c r="AW291" s="240"/>
      <c r="AX291" s="240"/>
      <c r="AY291" s="250"/>
    </row>
    <row r="292" spans="1:51" ht="60" customHeight="1" outlineLevel="1" x14ac:dyDescent="0.35">
      <c r="A292" s="245" t="s">
        <v>2481</v>
      </c>
      <c r="B292" s="233" t="s">
        <v>6334</v>
      </c>
      <c r="C292" s="233"/>
      <c r="D292" s="233"/>
      <c r="E292" s="233"/>
      <c r="F292" s="233"/>
      <c r="G292" s="233"/>
      <c r="H292" s="233"/>
      <c r="I292" s="233"/>
      <c r="J292" s="233"/>
      <c r="K292" s="236" t="str">
        <f>IF(COUNTIF(L292:AY292,"&lt;&gt;")=0,"",SUMPRODUCT(((Recommendations[ImplStatus]="Implemented")+(Recommendations[ImplStatus]="Compensated"))*ISNUMBER(MATCH(Recommendations[Id],L292:AY292,0)))/COUNTIF(L292:AY292,"&lt;&gt;"))</f>
        <v/>
      </c>
      <c r="L292" s="239"/>
      <c r="M292" s="239"/>
      <c r="N292" s="239"/>
      <c r="O292" s="239"/>
      <c r="P292" s="239"/>
      <c r="Q292" s="239"/>
      <c r="R292" s="239"/>
      <c r="S292" s="239"/>
      <c r="T292" s="239"/>
      <c r="U292" s="239"/>
      <c r="V292" s="239"/>
      <c r="W292" s="239"/>
      <c r="X292" s="239"/>
      <c r="Y292" s="239"/>
      <c r="Z292" s="239"/>
      <c r="AA292" s="239"/>
      <c r="AB292" s="239"/>
      <c r="AC292" s="239"/>
      <c r="AD292" s="239"/>
      <c r="AE292" s="239"/>
      <c r="AF292" s="239"/>
      <c r="AG292" s="239"/>
      <c r="AH292" s="239"/>
      <c r="AI292" s="239"/>
      <c r="AJ292" s="239"/>
      <c r="AK292" s="239"/>
      <c r="AL292" s="239"/>
      <c r="AM292" s="239"/>
      <c r="AN292" s="239"/>
      <c r="AO292" s="239"/>
      <c r="AP292" s="239"/>
      <c r="AQ292" s="239"/>
      <c r="AR292" s="239"/>
      <c r="AS292" s="239"/>
      <c r="AT292" s="239"/>
      <c r="AU292" s="239"/>
      <c r="AV292" s="239"/>
      <c r="AW292" s="239"/>
      <c r="AX292" s="239"/>
      <c r="AY292" s="249"/>
    </row>
    <row r="293" spans="1:51" ht="60" customHeight="1" x14ac:dyDescent="0.35">
      <c r="A293" s="246" t="s">
        <v>6335</v>
      </c>
      <c r="B293" s="234" t="s">
        <v>6336</v>
      </c>
      <c r="C293" s="234" t="s">
        <v>6337</v>
      </c>
      <c r="D293" s="234" t="s">
        <v>6338</v>
      </c>
      <c r="E293" s="234" t="s">
        <v>19</v>
      </c>
      <c r="F293" s="234" t="s">
        <v>19</v>
      </c>
      <c r="G293" s="234" t="s">
        <v>19</v>
      </c>
      <c r="H293" s="234" t="s">
        <v>6339</v>
      </c>
      <c r="I293" s="234" t="s">
        <v>6340</v>
      </c>
      <c r="J293" s="234" t="s">
        <v>6341</v>
      </c>
      <c r="K293" s="237" t="str">
        <f>IF(COUNTIF(L293:AY293,"&lt;&gt;")=0,"",SUMPRODUCT(((Recommendations[ImplStatus]="Implemented")+(Recommendations[ImplStatus]="Compensated"))*ISNUMBER(MATCH(Recommendations[Id],L293:AY293,0)))/COUNTIF(L293:AY293,"&lt;&gt;"))</f>
        <v/>
      </c>
      <c r="L293" s="240"/>
      <c r="M293" s="240"/>
      <c r="N293" s="240"/>
      <c r="O293" s="240"/>
      <c r="P293" s="240"/>
      <c r="Q293" s="240"/>
      <c r="R293" s="240"/>
      <c r="S293" s="240"/>
      <c r="T293" s="240"/>
      <c r="U293" s="240"/>
      <c r="V293" s="240"/>
      <c r="W293" s="240"/>
      <c r="X293" s="240"/>
      <c r="Y293" s="240"/>
      <c r="Z293" s="240"/>
      <c r="AA293" s="240"/>
      <c r="AB293" s="240"/>
      <c r="AC293" s="240"/>
      <c r="AD293" s="240"/>
      <c r="AE293" s="240"/>
      <c r="AF293" s="240"/>
      <c r="AG293" s="240"/>
      <c r="AH293" s="240"/>
      <c r="AI293" s="240"/>
      <c r="AJ293" s="240"/>
      <c r="AK293" s="240"/>
      <c r="AL293" s="240"/>
      <c r="AM293" s="240"/>
      <c r="AN293" s="240"/>
      <c r="AO293" s="240"/>
      <c r="AP293" s="240"/>
      <c r="AQ293" s="240"/>
      <c r="AR293" s="240"/>
      <c r="AS293" s="240"/>
      <c r="AT293" s="240"/>
      <c r="AU293" s="240"/>
      <c r="AV293" s="240"/>
      <c r="AW293" s="240"/>
      <c r="AX293" s="240"/>
      <c r="AY293" s="250"/>
    </row>
    <row r="294" spans="1:51" ht="60" customHeight="1" x14ac:dyDescent="0.35">
      <c r="A294" s="246" t="s">
        <v>6342</v>
      </c>
      <c r="B294" s="234" t="s">
        <v>6343</v>
      </c>
      <c r="C294" s="234" t="s">
        <v>6344</v>
      </c>
      <c r="D294" s="234" t="s">
        <v>6338</v>
      </c>
      <c r="E294" s="234" t="s">
        <v>19</v>
      </c>
      <c r="F294" s="234" t="s">
        <v>6345</v>
      </c>
      <c r="G294" s="234" t="s">
        <v>19</v>
      </c>
      <c r="H294" s="234" t="s">
        <v>6346</v>
      </c>
      <c r="I294" s="234" t="s">
        <v>5263</v>
      </c>
      <c r="J294" s="234" t="s">
        <v>6347</v>
      </c>
      <c r="K294" s="237" t="str">
        <f>IF(COUNTIF(L294:AY294,"&lt;&gt;")=0,"",SUMPRODUCT(((Recommendations[ImplStatus]="Implemented")+(Recommendations[ImplStatus]="Compensated"))*ISNUMBER(MATCH(Recommendations[Id],L294:AY294,0)))/COUNTIF(L294:AY294,"&lt;&gt;"))</f>
        <v/>
      </c>
      <c r="L294" s="240"/>
      <c r="M294" s="240"/>
      <c r="N294" s="240"/>
      <c r="O294" s="240"/>
      <c r="P294" s="240"/>
      <c r="Q294" s="240"/>
      <c r="R294" s="240"/>
      <c r="S294" s="240"/>
      <c r="T294" s="240"/>
      <c r="U294" s="240"/>
      <c r="V294" s="240"/>
      <c r="W294" s="240"/>
      <c r="X294" s="240"/>
      <c r="Y294" s="240"/>
      <c r="Z294" s="240"/>
      <c r="AA294" s="240"/>
      <c r="AB294" s="240"/>
      <c r="AC294" s="240"/>
      <c r="AD294" s="240"/>
      <c r="AE294" s="240"/>
      <c r="AF294" s="240"/>
      <c r="AG294" s="240"/>
      <c r="AH294" s="240"/>
      <c r="AI294" s="240"/>
      <c r="AJ294" s="240"/>
      <c r="AK294" s="240"/>
      <c r="AL294" s="240"/>
      <c r="AM294" s="240"/>
      <c r="AN294" s="240"/>
      <c r="AO294" s="240"/>
      <c r="AP294" s="240"/>
      <c r="AQ294" s="240"/>
      <c r="AR294" s="240"/>
      <c r="AS294" s="240"/>
      <c r="AT294" s="240"/>
      <c r="AU294" s="240"/>
      <c r="AV294" s="240"/>
      <c r="AW294" s="240"/>
      <c r="AX294" s="240"/>
      <c r="AY294" s="250"/>
    </row>
    <row r="295" spans="1:51" ht="60" customHeight="1" x14ac:dyDescent="0.35">
      <c r="A295" s="246" t="s">
        <v>6348</v>
      </c>
      <c r="B295" s="234" t="s">
        <v>6349</v>
      </c>
      <c r="C295" s="234" t="s">
        <v>6350</v>
      </c>
      <c r="D295" s="234" t="s">
        <v>6351</v>
      </c>
      <c r="E295" s="234" t="s">
        <v>19</v>
      </c>
      <c r="F295" s="234" t="s">
        <v>19</v>
      </c>
      <c r="G295" s="234" t="s">
        <v>19</v>
      </c>
      <c r="H295" s="234" t="s">
        <v>6352</v>
      </c>
      <c r="I295" s="234" t="s">
        <v>5263</v>
      </c>
      <c r="J295" s="234" t="s">
        <v>6353</v>
      </c>
      <c r="K295" s="237" t="str">
        <f>IF(COUNTIF(L295:AY295,"&lt;&gt;")=0,"",SUMPRODUCT(((Recommendations[ImplStatus]="Implemented")+(Recommendations[ImplStatus]="Compensated"))*ISNUMBER(MATCH(Recommendations[Id],L295:AY295,0)))/COUNTIF(L295:AY295,"&lt;&gt;"))</f>
        <v/>
      </c>
      <c r="L295" s="240"/>
      <c r="M295" s="240"/>
      <c r="N295" s="240"/>
      <c r="O295" s="240"/>
      <c r="P295" s="240"/>
      <c r="Q295" s="240"/>
      <c r="R295" s="240"/>
      <c r="S295" s="240"/>
      <c r="T295" s="240"/>
      <c r="U295" s="240"/>
      <c r="V295" s="240"/>
      <c r="W295" s="240"/>
      <c r="X295" s="240"/>
      <c r="Y295" s="240"/>
      <c r="Z295" s="240"/>
      <c r="AA295" s="240"/>
      <c r="AB295" s="240"/>
      <c r="AC295" s="240"/>
      <c r="AD295" s="240"/>
      <c r="AE295" s="240"/>
      <c r="AF295" s="240"/>
      <c r="AG295" s="240"/>
      <c r="AH295" s="240"/>
      <c r="AI295" s="240"/>
      <c r="AJ295" s="240"/>
      <c r="AK295" s="240"/>
      <c r="AL295" s="240"/>
      <c r="AM295" s="240"/>
      <c r="AN295" s="240"/>
      <c r="AO295" s="240"/>
      <c r="AP295" s="240"/>
      <c r="AQ295" s="240"/>
      <c r="AR295" s="240"/>
      <c r="AS295" s="240"/>
      <c r="AT295" s="240"/>
      <c r="AU295" s="240"/>
      <c r="AV295" s="240"/>
      <c r="AW295" s="240"/>
      <c r="AX295" s="240"/>
      <c r="AY295" s="250"/>
    </row>
    <row r="296" spans="1:51" ht="60" customHeight="1" outlineLevel="1" x14ac:dyDescent="0.35">
      <c r="A296" s="245" t="s">
        <v>2485</v>
      </c>
      <c r="B296" s="233" t="s">
        <v>6354</v>
      </c>
      <c r="C296" s="233"/>
      <c r="D296" s="233"/>
      <c r="E296" s="233"/>
      <c r="F296" s="233"/>
      <c r="G296" s="233"/>
      <c r="H296" s="233"/>
      <c r="I296" s="233"/>
      <c r="J296" s="233"/>
      <c r="K296" s="236" t="str">
        <f>IF(COUNTIF(L296:AY296,"&lt;&gt;")=0,"",SUMPRODUCT(((Recommendations[ImplStatus]="Implemented")+(Recommendations[ImplStatus]="Compensated"))*ISNUMBER(MATCH(Recommendations[Id],L296:AY296,0)))/COUNTIF(L296:AY296,"&lt;&gt;"))</f>
        <v/>
      </c>
      <c r="L296" s="239"/>
      <c r="M296" s="239"/>
      <c r="N296" s="239"/>
      <c r="O296" s="239"/>
      <c r="P296" s="239"/>
      <c r="Q296" s="239"/>
      <c r="R296" s="239"/>
      <c r="S296" s="239"/>
      <c r="T296" s="239"/>
      <c r="U296" s="239"/>
      <c r="V296" s="239"/>
      <c r="W296" s="239"/>
      <c r="X296" s="239"/>
      <c r="Y296" s="239"/>
      <c r="Z296" s="239"/>
      <c r="AA296" s="239"/>
      <c r="AB296" s="239"/>
      <c r="AC296" s="239"/>
      <c r="AD296" s="239"/>
      <c r="AE296" s="239"/>
      <c r="AF296" s="239"/>
      <c r="AG296" s="239"/>
      <c r="AH296" s="239"/>
      <c r="AI296" s="239"/>
      <c r="AJ296" s="239"/>
      <c r="AK296" s="239"/>
      <c r="AL296" s="239"/>
      <c r="AM296" s="239"/>
      <c r="AN296" s="239"/>
      <c r="AO296" s="239"/>
      <c r="AP296" s="239"/>
      <c r="AQ296" s="239"/>
      <c r="AR296" s="239"/>
      <c r="AS296" s="239"/>
      <c r="AT296" s="239"/>
      <c r="AU296" s="239"/>
      <c r="AV296" s="239"/>
      <c r="AW296" s="239"/>
      <c r="AX296" s="239"/>
      <c r="AY296" s="249"/>
    </row>
    <row r="297" spans="1:51" ht="60" customHeight="1" x14ac:dyDescent="0.35">
      <c r="A297" s="246" t="s">
        <v>6355</v>
      </c>
      <c r="B297" s="234" t="s">
        <v>6356</v>
      </c>
      <c r="C297" s="234" t="s">
        <v>6357</v>
      </c>
      <c r="D297" s="234" t="s">
        <v>6351</v>
      </c>
      <c r="E297" s="234" t="s">
        <v>19</v>
      </c>
      <c r="F297" s="234" t="s">
        <v>6358</v>
      </c>
      <c r="G297" s="234" t="s">
        <v>19</v>
      </c>
      <c r="H297" s="234" t="s">
        <v>6359</v>
      </c>
      <c r="I297" s="234" t="s">
        <v>19</v>
      </c>
      <c r="J297" s="234" t="s">
        <v>6360</v>
      </c>
      <c r="K297" s="237" t="str">
        <f>IF(COUNTIF(L297:AY297,"&lt;&gt;")=0,"",SUMPRODUCT(((Recommendations[ImplStatus]="Implemented")+(Recommendations[ImplStatus]="Compensated"))*ISNUMBER(MATCH(Recommendations[Id],L297:AY297,0)))/COUNTIF(L297:AY297,"&lt;&gt;"))</f>
        <v/>
      </c>
      <c r="L297" s="240"/>
      <c r="M297" s="240"/>
      <c r="N297" s="240"/>
      <c r="O297" s="240"/>
      <c r="P297" s="240"/>
      <c r="Q297" s="240"/>
      <c r="R297" s="240"/>
      <c r="S297" s="240"/>
      <c r="T297" s="240"/>
      <c r="U297" s="240"/>
      <c r="V297" s="240"/>
      <c r="W297" s="240"/>
      <c r="X297" s="240"/>
      <c r="Y297" s="240"/>
      <c r="Z297" s="240"/>
      <c r="AA297" s="240"/>
      <c r="AB297" s="240"/>
      <c r="AC297" s="240"/>
      <c r="AD297" s="240"/>
      <c r="AE297" s="240"/>
      <c r="AF297" s="240"/>
      <c r="AG297" s="240"/>
      <c r="AH297" s="240"/>
      <c r="AI297" s="240"/>
      <c r="AJ297" s="240"/>
      <c r="AK297" s="240"/>
      <c r="AL297" s="240"/>
      <c r="AM297" s="240"/>
      <c r="AN297" s="240"/>
      <c r="AO297" s="240"/>
      <c r="AP297" s="240"/>
      <c r="AQ297" s="240"/>
      <c r="AR297" s="240"/>
      <c r="AS297" s="240"/>
      <c r="AT297" s="240"/>
      <c r="AU297" s="240"/>
      <c r="AV297" s="240"/>
      <c r="AW297" s="240"/>
      <c r="AX297" s="240"/>
      <c r="AY297" s="250"/>
    </row>
    <row r="298" spans="1:51" ht="60" customHeight="1" x14ac:dyDescent="0.35">
      <c r="A298" s="246" t="s">
        <v>6361</v>
      </c>
      <c r="B298" s="234" t="s">
        <v>6362</v>
      </c>
      <c r="C298" s="234" t="s">
        <v>6363</v>
      </c>
      <c r="D298" s="234" t="s">
        <v>6364</v>
      </c>
      <c r="E298" s="234" t="s">
        <v>19</v>
      </c>
      <c r="F298" s="234" t="s">
        <v>19</v>
      </c>
      <c r="G298" s="234" t="s">
        <v>6365</v>
      </c>
      <c r="H298" s="234" t="s">
        <v>6366</v>
      </c>
      <c r="I298" s="234" t="s">
        <v>6366</v>
      </c>
      <c r="J298" s="234" t="s">
        <v>6367</v>
      </c>
      <c r="K298" s="237" t="str">
        <f>IF(COUNTIF(L298:AY298,"&lt;&gt;")=0,"",SUMPRODUCT(((Recommendations[ImplStatus]="Implemented")+(Recommendations[ImplStatus]="Compensated"))*ISNUMBER(MATCH(Recommendations[Id],L298:AY298,0)))/COUNTIF(L298:AY298,"&lt;&gt;"))</f>
        <v/>
      </c>
      <c r="L298" s="240"/>
      <c r="M298" s="240"/>
      <c r="N298" s="240"/>
      <c r="O298" s="240"/>
      <c r="P298" s="240"/>
      <c r="Q298" s="240"/>
      <c r="R298" s="240"/>
      <c r="S298" s="240"/>
      <c r="T298" s="240"/>
      <c r="U298" s="240"/>
      <c r="V298" s="240"/>
      <c r="W298" s="240"/>
      <c r="X298" s="240"/>
      <c r="Y298" s="240"/>
      <c r="Z298" s="240"/>
      <c r="AA298" s="240"/>
      <c r="AB298" s="240"/>
      <c r="AC298" s="240"/>
      <c r="AD298" s="240"/>
      <c r="AE298" s="240"/>
      <c r="AF298" s="240"/>
      <c r="AG298" s="240"/>
      <c r="AH298" s="240"/>
      <c r="AI298" s="240"/>
      <c r="AJ298" s="240"/>
      <c r="AK298" s="240"/>
      <c r="AL298" s="240"/>
      <c r="AM298" s="240"/>
      <c r="AN298" s="240"/>
      <c r="AO298" s="240"/>
      <c r="AP298" s="240"/>
      <c r="AQ298" s="240"/>
      <c r="AR298" s="240"/>
      <c r="AS298" s="240"/>
      <c r="AT298" s="240"/>
      <c r="AU298" s="240"/>
      <c r="AV298" s="240"/>
      <c r="AW298" s="240"/>
      <c r="AX298" s="240"/>
      <c r="AY298" s="250"/>
    </row>
    <row r="299" spans="1:51" ht="60" customHeight="1" x14ac:dyDescent="0.35">
      <c r="A299" s="246" t="s">
        <v>6368</v>
      </c>
      <c r="B299" s="234" t="s">
        <v>6369</v>
      </c>
      <c r="C299" s="234" t="s">
        <v>6370</v>
      </c>
      <c r="D299" s="234" t="s">
        <v>19</v>
      </c>
      <c r="E299" s="234" t="s">
        <v>19</v>
      </c>
      <c r="F299" s="234" t="s">
        <v>19</v>
      </c>
      <c r="G299" s="234" t="s">
        <v>19</v>
      </c>
      <c r="H299" s="234" t="s">
        <v>6371</v>
      </c>
      <c r="I299" s="234" t="s">
        <v>6372</v>
      </c>
      <c r="J299" s="234" t="s">
        <v>6373</v>
      </c>
      <c r="K299" s="237" t="str">
        <f>IF(COUNTIF(L299:AY299,"&lt;&gt;")=0,"",SUMPRODUCT(((Recommendations[ImplStatus]="Implemented")+(Recommendations[ImplStatus]="Compensated"))*ISNUMBER(MATCH(Recommendations[Id],L299:AY299,0)))/COUNTIF(L299:AY299,"&lt;&gt;"))</f>
        <v/>
      </c>
      <c r="L299" s="240"/>
      <c r="M299" s="240"/>
      <c r="N299" s="240"/>
      <c r="O299" s="240"/>
      <c r="P299" s="240"/>
      <c r="Q299" s="240"/>
      <c r="R299" s="240"/>
      <c r="S299" s="240"/>
      <c r="T299" s="240"/>
      <c r="U299" s="240"/>
      <c r="V299" s="240"/>
      <c r="W299" s="240"/>
      <c r="X299" s="240"/>
      <c r="Y299" s="240"/>
      <c r="Z299" s="240"/>
      <c r="AA299" s="240"/>
      <c r="AB299" s="240"/>
      <c r="AC299" s="240"/>
      <c r="AD299" s="240"/>
      <c r="AE299" s="240"/>
      <c r="AF299" s="240"/>
      <c r="AG299" s="240"/>
      <c r="AH299" s="240"/>
      <c r="AI299" s="240"/>
      <c r="AJ299" s="240"/>
      <c r="AK299" s="240"/>
      <c r="AL299" s="240"/>
      <c r="AM299" s="240"/>
      <c r="AN299" s="240"/>
      <c r="AO299" s="240"/>
      <c r="AP299" s="240"/>
      <c r="AQ299" s="240"/>
      <c r="AR299" s="240"/>
      <c r="AS299" s="240"/>
      <c r="AT299" s="240"/>
      <c r="AU299" s="240"/>
      <c r="AV299" s="240"/>
      <c r="AW299" s="240"/>
      <c r="AX299" s="240"/>
      <c r="AY299" s="250"/>
    </row>
    <row r="300" spans="1:51" ht="60" customHeight="1" x14ac:dyDescent="0.35">
      <c r="A300" s="246" t="s">
        <v>6374</v>
      </c>
      <c r="B300" s="234" t="s">
        <v>6375</v>
      </c>
      <c r="C300" s="234" t="s">
        <v>6376</v>
      </c>
      <c r="D300" s="234" t="s">
        <v>19</v>
      </c>
      <c r="E300" s="234" t="s">
        <v>19</v>
      </c>
      <c r="F300" s="234" t="s">
        <v>6377</v>
      </c>
      <c r="G300" s="234" t="s">
        <v>19</v>
      </c>
      <c r="H300" s="234" t="s">
        <v>6378</v>
      </c>
      <c r="I300" s="234" t="s">
        <v>6372</v>
      </c>
      <c r="J300" s="234" t="s">
        <v>6379</v>
      </c>
      <c r="K300" s="237" t="str">
        <f>IF(COUNTIF(L300:AY300,"&lt;&gt;")=0,"",SUMPRODUCT(((Recommendations[ImplStatus]="Implemented")+(Recommendations[ImplStatus]="Compensated"))*ISNUMBER(MATCH(Recommendations[Id],L300:AY300,0)))/COUNTIF(L300:AY300,"&lt;&gt;"))</f>
        <v/>
      </c>
      <c r="L300" s="240"/>
      <c r="M300" s="240"/>
      <c r="N300" s="240"/>
      <c r="O300" s="240"/>
      <c r="P300" s="240"/>
      <c r="Q300" s="240"/>
      <c r="R300" s="240"/>
      <c r="S300" s="240"/>
      <c r="T300" s="240"/>
      <c r="U300" s="240"/>
      <c r="V300" s="240"/>
      <c r="W300" s="240"/>
      <c r="X300" s="240"/>
      <c r="Y300" s="240"/>
      <c r="Z300" s="240"/>
      <c r="AA300" s="240"/>
      <c r="AB300" s="240"/>
      <c r="AC300" s="240"/>
      <c r="AD300" s="240"/>
      <c r="AE300" s="240"/>
      <c r="AF300" s="240"/>
      <c r="AG300" s="240"/>
      <c r="AH300" s="240"/>
      <c r="AI300" s="240"/>
      <c r="AJ300" s="240"/>
      <c r="AK300" s="240"/>
      <c r="AL300" s="240"/>
      <c r="AM300" s="240"/>
      <c r="AN300" s="240"/>
      <c r="AO300" s="240"/>
      <c r="AP300" s="240"/>
      <c r="AQ300" s="240"/>
      <c r="AR300" s="240"/>
      <c r="AS300" s="240"/>
      <c r="AT300" s="240"/>
      <c r="AU300" s="240"/>
      <c r="AV300" s="240"/>
      <c r="AW300" s="240"/>
      <c r="AX300" s="240"/>
      <c r="AY300" s="250"/>
    </row>
    <row r="301" spans="1:51" ht="60" customHeight="1" outlineLevel="1" x14ac:dyDescent="0.35">
      <c r="A301" s="245" t="s">
        <v>2489</v>
      </c>
      <c r="B301" s="233" t="s">
        <v>6380</v>
      </c>
      <c r="C301" s="233"/>
      <c r="D301" s="233"/>
      <c r="E301" s="233"/>
      <c r="F301" s="233"/>
      <c r="G301" s="233"/>
      <c r="H301" s="233"/>
      <c r="I301" s="233"/>
      <c r="J301" s="233"/>
      <c r="K301" s="236" t="str">
        <f>IF(COUNTIF(L301:AY301,"&lt;&gt;")=0,"",SUMPRODUCT(((Recommendations[ImplStatus]="Implemented")+(Recommendations[ImplStatus]="Compensated"))*ISNUMBER(MATCH(Recommendations[Id],L301:AY301,0)))/COUNTIF(L301:AY301,"&lt;&gt;"))</f>
        <v/>
      </c>
      <c r="L301" s="239"/>
      <c r="M301" s="239"/>
      <c r="N301" s="239"/>
      <c r="O301" s="239"/>
      <c r="P301" s="239"/>
      <c r="Q301" s="239"/>
      <c r="R301" s="239"/>
      <c r="S301" s="239"/>
      <c r="T301" s="239"/>
      <c r="U301" s="239"/>
      <c r="V301" s="239"/>
      <c r="W301" s="239"/>
      <c r="X301" s="239"/>
      <c r="Y301" s="239"/>
      <c r="Z301" s="239"/>
      <c r="AA301" s="239"/>
      <c r="AB301" s="239"/>
      <c r="AC301" s="239"/>
      <c r="AD301" s="239"/>
      <c r="AE301" s="239"/>
      <c r="AF301" s="239"/>
      <c r="AG301" s="239"/>
      <c r="AH301" s="239"/>
      <c r="AI301" s="239"/>
      <c r="AJ301" s="239"/>
      <c r="AK301" s="239"/>
      <c r="AL301" s="239"/>
      <c r="AM301" s="239"/>
      <c r="AN301" s="239"/>
      <c r="AO301" s="239"/>
      <c r="AP301" s="239"/>
      <c r="AQ301" s="239"/>
      <c r="AR301" s="239"/>
      <c r="AS301" s="239"/>
      <c r="AT301" s="239"/>
      <c r="AU301" s="239"/>
      <c r="AV301" s="239"/>
      <c r="AW301" s="239"/>
      <c r="AX301" s="239"/>
      <c r="AY301" s="249"/>
    </row>
    <row r="302" spans="1:51" ht="60" customHeight="1" x14ac:dyDescent="0.35">
      <c r="A302" s="246" t="s">
        <v>6381</v>
      </c>
      <c r="B302" s="234" t="s">
        <v>6382</v>
      </c>
      <c r="C302" s="234" t="s">
        <v>6383</v>
      </c>
      <c r="D302" s="234" t="s">
        <v>19</v>
      </c>
      <c r="E302" s="234" t="s">
        <v>19</v>
      </c>
      <c r="F302" s="234" t="s">
        <v>19</v>
      </c>
      <c r="G302" s="234" t="s">
        <v>19</v>
      </c>
      <c r="H302" s="234" t="s">
        <v>6384</v>
      </c>
      <c r="I302" s="234" t="s">
        <v>19</v>
      </c>
      <c r="J302" s="234" t="s">
        <v>6385</v>
      </c>
      <c r="K302" s="237" t="str">
        <f>IF(COUNTIF(L302:AY302,"&lt;&gt;")=0,"",SUMPRODUCT(((Recommendations[ImplStatus]="Implemented")+(Recommendations[ImplStatus]="Compensated"))*ISNUMBER(MATCH(Recommendations[Id],L302:AY302,0)))/COUNTIF(L302:AY302,"&lt;&gt;"))</f>
        <v/>
      </c>
      <c r="L302" s="240"/>
      <c r="M302" s="240"/>
      <c r="N302" s="240"/>
      <c r="O302" s="240"/>
      <c r="P302" s="240"/>
      <c r="Q302" s="240"/>
      <c r="R302" s="240"/>
      <c r="S302" s="240"/>
      <c r="T302" s="240"/>
      <c r="U302" s="240"/>
      <c r="V302" s="240"/>
      <c r="W302" s="240"/>
      <c r="X302" s="240"/>
      <c r="Y302" s="240"/>
      <c r="Z302" s="240"/>
      <c r="AA302" s="240"/>
      <c r="AB302" s="240"/>
      <c r="AC302" s="240"/>
      <c r="AD302" s="240"/>
      <c r="AE302" s="240"/>
      <c r="AF302" s="240"/>
      <c r="AG302" s="240"/>
      <c r="AH302" s="240"/>
      <c r="AI302" s="240"/>
      <c r="AJ302" s="240"/>
      <c r="AK302" s="240"/>
      <c r="AL302" s="240"/>
      <c r="AM302" s="240"/>
      <c r="AN302" s="240"/>
      <c r="AO302" s="240"/>
      <c r="AP302" s="240"/>
      <c r="AQ302" s="240"/>
      <c r="AR302" s="240"/>
      <c r="AS302" s="240"/>
      <c r="AT302" s="240"/>
      <c r="AU302" s="240"/>
      <c r="AV302" s="240"/>
      <c r="AW302" s="240"/>
      <c r="AX302" s="240"/>
      <c r="AY302" s="250"/>
    </row>
    <row r="303" spans="1:51" ht="60" customHeight="1" x14ac:dyDescent="0.35">
      <c r="A303" s="246" t="s">
        <v>6386</v>
      </c>
      <c r="B303" s="234" t="s">
        <v>6387</v>
      </c>
      <c r="C303" s="234" t="s">
        <v>6388</v>
      </c>
      <c r="D303" s="234" t="s">
        <v>6389</v>
      </c>
      <c r="E303" s="234" t="s">
        <v>19</v>
      </c>
      <c r="F303" s="234" t="s">
        <v>19</v>
      </c>
      <c r="G303" s="234" t="s">
        <v>19</v>
      </c>
      <c r="H303" s="234" t="s">
        <v>6390</v>
      </c>
      <c r="I303" s="234" t="s">
        <v>5293</v>
      </c>
      <c r="J303" s="234" t="s">
        <v>6391</v>
      </c>
      <c r="K303" s="237" t="str">
        <f>IF(COUNTIF(L303:AY303,"&lt;&gt;")=0,"",SUMPRODUCT(((Recommendations[ImplStatus]="Implemented")+(Recommendations[ImplStatus]="Compensated"))*ISNUMBER(MATCH(Recommendations[Id],L303:AY303,0)))/COUNTIF(L303:AY303,"&lt;&gt;"))</f>
        <v/>
      </c>
      <c r="L303" s="240"/>
      <c r="M303" s="240"/>
      <c r="N303" s="240"/>
      <c r="O303" s="240"/>
      <c r="P303" s="240"/>
      <c r="Q303" s="240"/>
      <c r="R303" s="240"/>
      <c r="S303" s="240"/>
      <c r="T303" s="240"/>
      <c r="U303" s="240"/>
      <c r="V303" s="240"/>
      <c r="W303" s="240"/>
      <c r="X303" s="240"/>
      <c r="Y303" s="240"/>
      <c r="Z303" s="240"/>
      <c r="AA303" s="240"/>
      <c r="AB303" s="240"/>
      <c r="AC303" s="240"/>
      <c r="AD303" s="240"/>
      <c r="AE303" s="240"/>
      <c r="AF303" s="240"/>
      <c r="AG303" s="240"/>
      <c r="AH303" s="240"/>
      <c r="AI303" s="240"/>
      <c r="AJ303" s="240"/>
      <c r="AK303" s="240"/>
      <c r="AL303" s="240"/>
      <c r="AM303" s="240"/>
      <c r="AN303" s="240"/>
      <c r="AO303" s="240"/>
      <c r="AP303" s="240"/>
      <c r="AQ303" s="240"/>
      <c r="AR303" s="240"/>
      <c r="AS303" s="240"/>
      <c r="AT303" s="240"/>
      <c r="AU303" s="240"/>
      <c r="AV303" s="240"/>
      <c r="AW303" s="240"/>
      <c r="AX303" s="240"/>
      <c r="AY303" s="250"/>
    </row>
    <row r="304" spans="1:51" ht="60" customHeight="1" x14ac:dyDescent="0.35">
      <c r="A304" s="246" t="s">
        <v>6392</v>
      </c>
      <c r="B304" s="234" t="s">
        <v>6393</v>
      </c>
      <c r="C304" s="234" t="s">
        <v>6394</v>
      </c>
      <c r="D304" s="234" t="s">
        <v>6389</v>
      </c>
      <c r="E304" s="234" t="s">
        <v>19</v>
      </c>
      <c r="F304" s="234" t="s">
        <v>6395</v>
      </c>
      <c r="G304" s="234" t="s">
        <v>19</v>
      </c>
      <c r="H304" s="234" t="s">
        <v>6396</v>
      </c>
      <c r="I304" s="234" t="s">
        <v>19</v>
      </c>
      <c r="J304" s="234" t="s">
        <v>6397</v>
      </c>
      <c r="K304" s="237" t="str">
        <f>IF(COUNTIF(L304:AY304,"&lt;&gt;")=0,"",SUMPRODUCT(((Recommendations[ImplStatus]="Implemented")+(Recommendations[ImplStatus]="Compensated"))*ISNUMBER(MATCH(Recommendations[Id],L304:AY304,0)))/COUNTIF(L304:AY304,"&lt;&gt;"))</f>
        <v/>
      </c>
      <c r="L304" s="240"/>
      <c r="M304" s="240"/>
      <c r="N304" s="240"/>
      <c r="O304" s="240"/>
      <c r="P304" s="240"/>
      <c r="Q304" s="240"/>
      <c r="R304" s="240"/>
      <c r="S304" s="240"/>
      <c r="T304" s="240"/>
      <c r="U304" s="240"/>
      <c r="V304" s="240"/>
      <c r="W304" s="240"/>
      <c r="X304" s="240"/>
      <c r="Y304" s="240"/>
      <c r="Z304" s="240"/>
      <c r="AA304" s="240"/>
      <c r="AB304" s="240"/>
      <c r="AC304" s="240"/>
      <c r="AD304" s="240"/>
      <c r="AE304" s="240"/>
      <c r="AF304" s="240"/>
      <c r="AG304" s="240"/>
      <c r="AH304" s="240"/>
      <c r="AI304" s="240"/>
      <c r="AJ304" s="240"/>
      <c r="AK304" s="240"/>
      <c r="AL304" s="240"/>
      <c r="AM304" s="240"/>
      <c r="AN304" s="240"/>
      <c r="AO304" s="240"/>
      <c r="AP304" s="240"/>
      <c r="AQ304" s="240"/>
      <c r="AR304" s="240"/>
      <c r="AS304" s="240"/>
      <c r="AT304" s="240"/>
      <c r="AU304" s="240"/>
      <c r="AV304" s="240"/>
      <c r="AW304" s="240"/>
      <c r="AX304" s="240"/>
      <c r="AY304" s="250"/>
    </row>
    <row r="305" spans="1:51" ht="60" customHeight="1" x14ac:dyDescent="0.35">
      <c r="A305" s="246" t="s">
        <v>6398</v>
      </c>
      <c r="B305" s="234" t="s">
        <v>6399</v>
      </c>
      <c r="C305" s="234" t="s">
        <v>6400</v>
      </c>
      <c r="D305" s="234" t="s">
        <v>6401</v>
      </c>
      <c r="E305" s="234" t="s">
        <v>19</v>
      </c>
      <c r="F305" s="234" t="s">
        <v>19</v>
      </c>
      <c r="G305" s="234" t="s">
        <v>19</v>
      </c>
      <c r="H305" s="234" t="s">
        <v>6402</v>
      </c>
      <c r="I305" s="234" t="s">
        <v>6403</v>
      </c>
      <c r="J305" s="234" t="s">
        <v>6404</v>
      </c>
      <c r="K305" s="237" t="str">
        <f>IF(COUNTIF(L305:AY305,"&lt;&gt;")=0,"",SUMPRODUCT(((Recommendations[ImplStatus]="Implemented")+(Recommendations[ImplStatus]="Compensated"))*ISNUMBER(MATCH(Recommendations[Id],L305:AY305,0)))/COUNTIF(L305:AY305,"&lt;&gt;"))</f>
        <v/>
      </c>
      <c r="L305" s="240"/>
      <c r="M305" s="240"/>
      <c r="N305" s="240"/>
      <c r="O305" s="240"/>
      <c r="P305" s="240"/>
      <c r="Q305" s="240"/>
      <c r="R305" s="240"/>
      <c r="S305" s="240"/>
      <c r="T305" s="240"/>
      <c r="U305" s="240"/>
      <c r="V305" s="240"/>
      <c r="W305" s="240"/>
      <c r="X305" s="240"/>
      <c r="Y305" s="240"/>
      <c r="Z305" s="240"/>
      <c r="AA305" s="240"/>
      <c r="AB305" s="240"/>
      <c r="AC305" s="240"/>
      <c r="AD305" s="240"/>
      <c r="AE305" s="240"/>
      <c r="AF305" s="240"/>
      <c r="AG305" s="240"/>
      <c r="AH305" s="240"/>
      <c r="AI305" s="240"/>
      <c r="AJ305" s="240"/>
      <c r="AK305" s="240"/>
      <c r="AL305" s="240"/>
      <c r="AM305" s="240"/>
      <c r="AN305" s="240"/>
      <c r="AO305" s="240"/>
      <c r="AP305" s="240"/>
      <c r="AQ305" s="240"/>
      <c r="AR305" s="240"/>
      <c r="AS305" s="240"/>
      <c r="AT305" s="240"/>
      <c r="AU305" s="240"/>
      <c r="AV305" s="240"/>
      <c r="AW305" s="240"/>
      <c r="AX305" s="240"/>
      <c r="AY305" s="250"/>
    </row>
    <row r="306" spans="1:51" ht="60" customHeight="1" x14ac:dyDescent="0.35">
      <c r="A306" s="246" t="s">
        <v>6405</v>
      </c>
      <c r="B306" s="234" t="s">
        <v>6406</v>
      </c>
      <c r="C306" s="234" t="s">
        <v>6407</v>
      </c>
      <c r="D306" s="234" t="s">
        <v>6408</v>
      </c>
      <c r="E306" s="234" t="s">
        <v>19</v>
      </c>
      <c r="F306" s="234" t="s">
        <v>19</v>
      </c>
      <c r="G306" s="234" t="s">
        <v>19</v>
      </c>
      <c r="H306" s="234" t="s">
        <v>6409</v>
      </c>
      <c r="I306" s="234" t="s">
        <v>5293</v>
      </c>
      <c r="J306" s="234" t="s">
        <v>6410</v>
      </c>
      <c r="K306" s="237" t="str">
        <f>IF(COUNTIF(L306:AY306,"&lt;&gt;")=0,"",SUMPRODUCT(((Recommendations[ImplStatus]="Implemented")+(Recommendations[ImplStatus]="Compensated"))*ISNUMBER(MATCH(Recommendations[Id],L306:AY306,0)))/COUNTIF(L306:AY306,"&lt;&gt;"))</f>
        <v/>
      </c>
      <c r="L306" s="240"/>
      <c r="M306" s="240"/>
      <c r="N306" s="240"/>
      <c r="O306" s="240"/>
      <c r="P306" s="240"/>
      <c r="Q306" s="240"/>
      <c r="R306" s="240"/>
      <c r="S306" s="240"/>
      <c r="T306" s="240"/>
      <c r="U306" s="240"/>
      <c r="V306" s="240"/>
      <c r="W306" s="240"/>
      <c r="X306" s="240"/>
      <c r="Y306" s="240"/>
      <c r="Z306" s="240"/>
      <c r="AA306" s="240"/>
      <c r="AB306" s="240"/>
      <c r="AC306" s="240"/>
      <c r="AD306" s="240"/>
      <c r="AE306" s="240"/>
      <c r="AF306" s="240"/>
      <c r="AG306" s="240"/>
      <c r="AH306" s="240"/>
      <c r="AI306" s="240"/>
      <c r="AJ306" s="240"/>
      <c r="AK306" s="240"/>
      <c r="AL306" s="240"/>
      <c r="AM306" s="240"/>
      <c r="AN306" s="240"/>
      <c r="AO306" s="240"/>
      <c r="AP306" s="240"/>
      <c r="AQ306" s="240"/>
      <c r="AR306" s="240"/>
      <c r="AS306" s="240"/>
      <c r="AT306" s="240"/>
      <c r="AU306" s="240"/>
      <c r="AV306" s="240"/>
      <c r="AW306" s="240"/>
      <c r="AX306" s="240"/>
      <c r="AY306" s="250"/>
    </row>
    <row r="307" spans="1:51" ht="60" customHeight="1" outlineLevel="1" x14ac:dyDescent="0.35">
      <c r="A307" s="245" t="s">
        <v>2493</v>
      </c>
      <c r="B307" s="233" t="s">
        <v>6411</v>
      </c>
      <c r="C307" s="233"/>
      <c r="D307" s="233"/>
      <c r="E307" s="233"/>
      <c r="F307" s="233"/>
      <c r="G307" s="233"/>
      <c r="H307" s="233"/>
      <c r="I307" s="233"/>
      <c r="J307" s="233"/>
      <c r="K307" s="236" t="str">
        <f>IF(COUNTIF(L307:AY307,"&lt;&gt;")=0,"",SUMPRODUCT(((Recommendations[ImplStatus]="Implemented")+(Recommendations[ImplStatus]="Compensated"))*ISNUMBER(MATCH(Recommendations[Id],L307:AY307,0)))/COUNTIF(L307:AY307,"&lt;&gt;"))</f>
        <v/>
      </c>
      <c r="L307" s="239"/>
      <c r="M307" s="239"/>
      <c r="N307" s="239"/>
      <c r="O307" s="239"/>
      <c r="P307" s="239"/>
      <c r="Q307" s="239"/>
      <c r="R307" s="239"/>
      <c r="S307" s="239"/>
      <c r="T307" s="239"/>
      <c r="U307" s="239"/>
      <c r="V307" s="239"/>
      <c r="W307" s="239"/>
      <c r="X307" s="239"/>
      <c r="Y307" s="239"/>
      <c r="Z307" s="239"/>
      <c r="AA307" s="239"/>
      <c r="AB307" s="239"/>
      <c r="AC307" s="239"/>
      <c r="AD307" s="239"/>
      <c r="AE307" s="239"/>
      <c r="AF307" s="239"/>
      <c r="AG307" s="239"/>
      <c r="AH307" s="239"/>
      <c r="AI307" s="239"/>
      <c r="AJ307" s="239"/>
      <c r="AK307" s="239"/>
      <c r="AL307" s="239"/>
      <c r="AM307" s="239"/>
      <c r="AN307" s="239"/>
      <c r="AO307" s="239"/>
      <c r="AP307" s="239"/>
      <c r="AQ307" s="239"/>
      <c r="AR307" s="239"/>
      <c r="AS307" s="239"/>
      <c r="AT307" s="239"/>
      <c r="AU307" s="239"/>
      <c r="AV307" s="239"/>
      <c r="AW307" s="239"/>
      <c r="AX307" s="239"/>
      <c r="AY307" s="249"/>
    </row>
    <row r="308" spans="1:51" ht="60" customHeight="1" x14ac:dyDescent="0.35">
      <c r="A308" s="246" t="s">
        <v>6412</v>
      </c>
      <c r="B308" s="234" t="s">
        <v>6413</v>
      </c>
      <c r="C308" s="234" t="s">
        <v>6414</v>
      </c>
      <c r="D308" s="234" t="s">
        <v>6408</v>
      </c>
      <c r="E308" s="234" t="s">
        <v>19</v>
      </c>
      <c r="F308" s="234" t="s">
        <v>6415</v>
      </c>
      <c r="G308" s="234" t="s">
        <v>19</v>
      </c>
      <c r="H308" s="234" t="s">
        <v>6416</v>
      </c>
      <c r="I308" s="234" t="s">
        <v>6417</v>
      </c>
      <c r="J308" s="234" t="s">
        <v>6418</v>
      </c>
      <c r="K308" s="237" t="str">
        <f>IF(COUNTIF(L308:AY308,"&lt;&gt;")=0,"",SUMPRODUCT(((Recommendations[ImplStatus]="Implemented")+(Recommendations[ImplStatus]="Compensated"))*ISNUMBER(MATCH(Recommendations[Id],L308:AY308,0)))/COUNTIF(L308:AY308,"&lt;&gt;"))</f>
        <v/>
      </c>
      <c r="L308" s="240"/>
      <c r="M308" s="240"/>
      <c r="N308" s="240"/>
      <c r="O308" s="240"/>
      <c r="P308" s="240"/>
      <c r="Q308" s="240"/>
      <c r="R308" s="240"/>
      <c r="S308" s="240"/>
      <c r="T308" s="240"/>
      <c r="U308" s="240"/>
      <c r="V308" s="240"/>
      <c r="W308" s="240"/>
      <c r="X308" s="240"/>
      <c r="Y308" s="240"/>
      <c r="Z308" s="240"/>
      <c r="AA308" s="240"/>
      <c r="AB308" s="240"/>
      <c r="AC308" s="240"/>
      <c r="AD308" s="240"/>
      <c r="AE308" s="240"/>
      <c r="AF308" s="240"/>
      <c r="AG308" s="240"/>
      <c r="AH308" s="240"/>
      <c r="AI308" s="240"/>
      <c r="AJ308" s="240"/>
      <c r="AK308" s="240"/>
      <c r="AL308" s="240"/>
      <c r="AM308" s="240"/>
      <c r="AN308" s="240"/>
      <c r="AO308" s="240"/>
      <c r="AP308" s="240"/>
      <c r="AQ308" s="240"/>
      <c r="AR308" s="240"/>
      <c r="AS308" s="240"/>
      <c r="AT308" s="240"/>
      <c r="AU308" s="240"/>
      <c r="AV308" s="240"/>
      <c r="AW308" s="240"/>
      <c r="AX308" s="240"/>
      <c r="AY308" s="250"/>
    </row>
    <row r="309" spans="1:51" ht="60" customHeight="1" outlineLevel="1" x14ac:dyDescent="0.35">
      <c r="A309" s="245" t="s">
        <v>2497</v>
      </c>
      <c r="B309" s="233" t="s">
        <v>6419</v>
      </c>
      <c r="C309" s="233"/>
      <c r="D309" s="233"/>
      <c r="E309" s="233"/>
      <c r="F309" s="233"/>
      <c r="G309" s="233"/>
      <c r="H309" s="233"/>
      <c r="I309" s="233"/>
      <c r="J309" s="233"/>
      <c r="K309" s="236" t="str">
        <f>IF(COUNTIF(L309:AY309,"&lt;&gt;")=0,"",SUMPRODUCT(((Recommendations[ImplStatus]="Implemented")+(Recommendations[ImplStatus]="Compensated"))*ISNUMBER(MATCH(Recommendations[Id],L309:AY309,0)))/COUNTIF(L309:AY309,"&lt;&gt;"))</f>
        <v/>
      </c>
      <c r="L309" s="239"/>
      <c r="M309" s="239"/>
      <c r="N309" s="239"/>
      <c r="O309" s="239"/>
      <c r="P309" s="239"/>
      <c r="Q309" s="239"/>
      <c r="R309" s="239"/>
      <c r="S309" s="239"/>
      <c r="T309" s="239"/>
      <c r="U309" s="239"/>
      <c r="V309" s="239"/>
      <c r="W309" s="239"/>
      <c r="X309" s="239"/>
      <c r="Y309" s="239"/>
      <c r="Z309" s="239"/>
      <c r="AA309" s="239"/>
      <c r="AB309" s="239"/>
      <c r="AC309" s="239"/>
      <c r="AD309" s="239"/>
      <c r="AE309" s="239"/>
      <c r="AF309" s="239"/>
      <c r="AG309" s="239"/>
      <c r="AH309" s="239"/>
      <c r="AI309" s="239"/>
      <c r="AJ309" s="239"/>
      <c r="AK309" s="239"/>
      <c r="AL309" s="239"/>
      <c r="AM309" s="239"/>
      <c r="AN309" s="239"/>
      <c r="AO309" s="239"/>
      <c r="AP309" s="239"/>
      <c r="AQ309" s="239"/>
      <c r="AR309" s="239"/>
      <c r="AS309" s="239"/>
      <c r="AT309" s="239"/>
      <c r="AU309" s="239"/>
      <c r="AV309" s="239"/>
      <c r="AW309" s="239"/>
      <c r="AX309" s="239"/>
      <c r="AY309" s="249"/>
    </row>
    <row r="310" spans="1:51" ht="60" customHeight="1" x14ac:dyDescent="0.35">
      <c r="A310" s="246" t="s">
        <v>6420</v>
      </c>
      <c r="B310" s="234" t="s">
        <v>6421</v>
      </c>
      <c r="C310" s="234" t="s">
        <v>6422</v>
      </c>
      <c r="D310" s="234" t="s">
        <v>19</v>
      </c>
      <c r="E310" s="234" t="s">
        <v>19</v>
      </c>
      <c r="F310" s="234" t="s">
        <v>6423</v>
      </c>
      <c r="G310" s="234" t="s">
        <v>19</v>
      </c>
      <c r="H310" s="234" t="s">
        <v>6424</v>
      </c>
      <c r="I310" s="234" t="s">
        <v>6425</v>
      </c>
      <c r="J310" s="234" t="s">
        <v>6426</v>
      </c>
      <c r="K310" s="237" t="str">
        <f>IF(COUNTIF(L310:AY310,"&lt;&gt;")=0,"",SUMPRODUCT(((Recommendations[ImplStatus]="Implemented")+(Recommendations[ImplStatus]="Compensated"))*ISNUMBER(MATCH(Recommendations[Id],L310:AY310,0)))/COUNTIF(L310:AY310,"&lt;&gt;"))</f>
        <v/>
      </c>
      <c r="L310" s="240"/>
      <c r="M310" s="240"/>
      <c r="N310" s="240"/>
      <c r="O310" s="240"/>
      <c r="P310" s="240"/>
      <c r="Q310" s="240"/>
      <c r="R310" s="240"/>
      <c r="S310" s="240"/>
      <c r="T310" s="240"/>
      <c r="U310" s="240"/>
      <c r="V310" s="240"/>
      <c r="W310" s="240"/>
      <c r="X310" s="240"/>
      <c r="Y310" s="240"/>
      <c r="Z310" s="240"/>
      <c r="AA310" s="240"/>
      <c r="AB310" s="240"/>
      <c r="AC310" s="240"/>
      <c r="AD310" s="240"/>
      <c r="AE310" s="240"/>
      <c r="AF310" s="240"/>
      <c r="AG310" s="240"/>
      <c r="AH310" s="240"/>
      <c r="AI310" s="240"/>
      <c r="AJ310" s="240"/>
      <c r="AK310" s="240"/>
      <c r="AL310" s="240"/>
      <c r="AM310" s="240"/>
      <c r="AN310" s="240"/>
      <c r="AO310" s="240"/>
      <c r="AP310" s="240"/>
      <c r="AQ310" s="240"/>
      <c r="AR310" s="240"/>
      <c r="AS310" s="240"/>
      <c r="AT310" s="240"/>
      <c r="AU310" s="240"/>
      <c r="AV310" s="240"/>
      <c r="AW310" s="240"/>
      <c r="AX310" s="240"/>
      <c r="AY310" s="250"/>
    </row>
    <row r="311" spans="1:51" ht="60" customHeight="1" x14ac:dyDescent="0.35">
      <c r="A311" s="246" t="s">
        <v>6427</v>
      </c>
      <c r="B311" s="234" t="s">
        <v>6428</v>
      </c>
      <c r="C311" s="234" t="s">
        <v>6429</v>
      </c>
      <c r="D311" s="234" t="s">
        <v>6430</v>
      </c>
      <c r="E311" s="234" t="s">
        <v>19</v>
      </c>
      <c r="F311" s="234" t="s">
        <v>19</v>
      </c>
      <c r="G311" s="234" t="s">
        <v>6431</v>
      </c>
      <c r="H311" s="234" t="s">
        <v>6432</v>
      </c>
      <c r="I311" s="234" t="s">
        <v>19</v>
      </c>
      <c r="J311" s="234" t="s">
        <v>6433</v>
      </c>
      <c r="K311" s="237" t="str">
        <f>IF(COUNTIF(L311:AY311,"&lt;&gt;")=0,"",SUMPRODUCT(((Recommendations[ImplStatus]="Implemented")+(Recommendations[ImplStatus]="Compensated"))*ISNUMBER(MATCH(Recommendations[Id],L311:AY311,0)))/COUNTIF(L311:AY311,"&lt;&gt;"))</f>
        <v/>
      </c>
      <c r="L311" s="240"/>
      <c r="M311" s="240"/>
      <c r="N311" s="240"/>
      <c r="O311" s="240"/>
      <c r="P311" s="240"/>
      <c r="Q311" s="240"/>
      <c r="R311" s="240"/>
      <c r="S311" s="240"/>
      <c r="T311" s="240"/>
      <c r="U311" s="240"/>
      <c r="V311" s="240"/>
      <c r="W311" s="240"/>
      <c r="X311" s="240"/>
      <c r="Y311" s="240"/>
      <c r="Z311" s="240"/>
      <c r="AA311" s="240"/>
      <c r="AB311" s="240"/>
      <c r="AC311" s="240"/>
      <c r="AD311" s="240"/>
      <c r="AE311" s="240"/>
      <c r="AF311" s="240"/>
      <c r="AG311" s="240"/>
      <c r="AH311" s="240"/>
      <c r="AI311" s="240"/>
      <c r="AJ311" s="240"/>
      <c r="AK311" s="240"/>
      <c r="AL311" s="240"/>
      <c r="AM311" s="240"/>
      <c r="AN311" s="240"/>
      <c r="AO311" s="240"/>
      <c r="AP311" s="240"/>
      <c r="AQ311" s="240"/>
      <c r="AR311" s="240"/>
      <c r="AS311" s="240"/>
      <c r="AT311" s="240"/>
      <c r="AU311" s="240"/>
      <c r="AV311" s="240"/>
      <c r="AW311" s="240"/>
      <c r="AX311" s="240"/>
      <c r="AY311" s="250"/>
    </row>
    <row r="312" spans="1:51" ht="60" customHeight="1" x14ac:dyDescent="0.35">
      <c r="A312" s="246" t="s">
        <v>6434</v>
      </c>
      <c r="B312" s="234" t="s">
        <v>6435</v>
      </c>
      <c r="C312" s="234" t="s">
        <v>6436</v>
      </c>
      <c r="D312" s="234" t="s">
        <v>6437</v>
      </c>
      <c r="E312" s="234" t="s">
        <v>19</v>
      </c>
      <c r="F312" s="234" t="s">
        <v>19</v>
      </c>
      <c r="G312" s="234" t="s">
        <v>19</v>
      </c>
      <c r="H312" s="234" t="s">
        <v>6438</v>
      </c>
      <c r="I312" s="234" t="s">
        <v>19</v>
      </c>
      <c r="J312" s="234" t="s">
        <v>6439</v>
      </c>
      <c r="K312" s="237" t="str">
        <f>IF(COUNTIF(L312:AY312,"&lt;&gt;")=0,"",SUMPRODUCT(((Recommendations[ImplStatus]="Implemented")+(Recommendations[ImplStatus]="Compensated"))*ISNUMBER(MATCH(Recommendations[Id],L312:AY312,0)))/COUNTIF(L312:AY312,"&lt;&gt;"))</f>
        <v/>
      </c>
      <c r="L312" s="240"/>
      <c r="M312" s="240"/>
      <c r="N312" s="240"/>
      <c r="O312" s="240"/>
      <c r="P312" s="240"/>
      <c r="Q312" s="240"/>
      <c r="R312" s="240"/>
      <c r="S312" s="240"/>
      <c r="T312" s="240"/>
      <c r="U312" s="240"/>
      <c r="V312" s="240"/>
      <c r="W312" s="240"/>
      <c r="X312" s="240"/>
      <c r="Y312" s="240"/>
      <c r="Z312" s="240"/>
      <c r="AA312" s="240"/>
      <c r="AB312" s="240"/>
      <c r="AC312" s="240"/>
      <c r="AD312" s="240"/>
      <c r="AE312" s="240"/>
      <c r="AF312" s="240"/>
      <c r="AG312" s="240"/>
      <c r="AH312" s="240"/>
      <c r="AI312" s="240"/>
      <c r="AJ312" s="240"/>
      <c r="AK312" s="240"/>
      <c r="AL312" s="240"/>
      <c r="AM312" s="240"/>
      <c r="AN312" s="240"/>
      <c r="AO312" s="240"/>
      <c r="AP312" s="240"/>
      <c r="AQ312" s="240"/>
      <c r="AR312" s="240"/>
      <c r="AS312" s="240"/>
      <c r="AT312" s="240"/>
      <c r="AU312" s="240"/>
      <c r="AV312" s="240"/>
      <c r="AW312" s="240"/>
      <c r="AX312" s="240"/>
      <c r="AY312" s="250"/>
    </row>
    <row r="313" spans="1:51" ht="60" customHeight="1" x14ac:dyDescent="0.35">
      <c r="A313" s="246" t="s">
        <v>6440</v>
      </c>
      <c r="B313" s="234" t="s">
        <v>6441</v>
      </c>
      <c r="C313" s="234" t="s">
        <v>6442</v>
      </c>
      <c r="D313" s="234" t="s">
        <v>6443</v>
      </c>
      <c r="E313" s="234" t="s">
        <v>19</v>
      </c>
      <c r="F313" s="234" t="s">
        <v>19</v>
      </c>
      <c r="G313" s="234" t="s">
        <v>6444</v>
      </c>
      <c r="H313" s="234" t="s">
        <v>6445</v>
      </c>
      <c r="I313" s="234" t="s">
        <v>6446</v>
      </c>
      <c r="J313" s="234" t="s">
        <v>6447</v>
      </c>
      <c r="K313" s="237" t="str">
        <f>IF(COUNTIF(L313:AY313,"&lt;&gt;")=0,"",SUMPRODUCT(((Recommendations[ImplStatus]="Implemented")+(Recommendations[ImplStatus]="Compensated"))*ISNUMBER(MATCH(Recommendations[Id],L313:AY313,0)))/COUNTIF(L313:AY313,"&lt;&gt;"))</f>
        <v/>
      </c>
      <c r="L313" s="240"/>
      <c r="M313" s="240"/>
      <c r="N313" s="240"/>
      <c r="O313" s="240"/>
      <c r="P313" s="240"/>
      <c r="Q313" s="240"/>
      <c r="R313" s="240"/>
      <c r="S313" s="240"/>
      <c r="T313" s="240"/>
      <c r="U313" s="240"/>
      <c r="V313" s="240"/>
      <c r="W313" s="240"/>
      <c r="X313" s="240"/>
      <c r="Y313" s="240"/>
      <c r="Z313" s="240"/>
      <c r="AA313" s="240"/>
      <c r="AB313" s="240"/>
      <c r="AC313" s="240"/>
      <c r="AD313" s="240"/>
      <c r="AE313" s="240"/>
      <c r="AF313" s="240"/>
      <c r="AG313" s="240"/>
      <c r="AH313" s="240"/>
      <c r="AI313" s="240"/>
      <c r="AJ313" s="240"/>
      <c r="AK313" s="240"/>
      <c r="AL313" s="240"/>
      <c r="AM313" s="240"/>
      <c r="AN313" s="240"/>
      <c r="AO313" s="240"/>
      <c r="AP313" s="240"/>
      <c r="AQ313" s="240"/>
      <c r="AR313" s="240"/>
      <c r="AS313" s="240"/>
      <c r="AT313" s="240"/>
      <c r="AU313" s="240"/>
      <c r="AV313" s="240"/>
      <c r="AW313" s="240"/>
      <c r="AX313" s="240"/>
      <c r="AY313" s="250"/>
    </row>
    <row r="314" spans="1:51" ht="60" customHeight="1" x14ac:dyDescent="0.35">
      <c r="A314" s="246" t="s">
        <v>6448</v>
      </c>
      <c r="B314" s="234" t="s">
        <v>6449</v>
      </c>
      <c r="C314" s="234" t="s">
        <v>6450</v>
      </c>
      <c r="D314" s="234" t="s">
        <v>6451</v>
      </c>
      <c r="E314" s="234" t="s">
        <v>19</v>
      </c>
      <c r="F314" s="234" t="s">
        <v>19</v>
      </c>
      <c r="G314" s="234" t="s">
        <v>6452</v>
      </c>
      <c r="H314" s="234" t="s">
        <v>6453</v>
      </c>
      <c r="I314" s="234" t="s">
        <v>6454</v>
      </c>
      <c r="J314" s="234" t="s">
        <v>6455</v>
      </c>
      <c r="K314" s="237" t="str">
        <f>IF(COUNTIF(L314:AY314,"&lt;&gt;")=0,"",SUMPRODUCT(((Recommendations[ImplStatus]="Implemented")+(Recommendations[ImplStatus]="Compensated"))*ISNUMBER(MATCH(Recommendations[Id],L314:AY314,0)))/COUNTIF(L314:AY314,"&lt;&gt;"))</f>
        <v/>
      </c>
      <c r="L314" s="240"/>
      <c r="M314" s="240"/>
      <c r="N314" s="240"/>
      <c r="O314" s="240"/>
      <c r="P314" s="240"/>
      <c r="Q314" s="240"/>
      <c r="R314" s="240"/>
      <c r="S314" s="240"/>
      <c r="T314" s="240"/>
      <c r="U314" s="240"/>
      <c r="V314" s="240"/>
      <c r="W314" s="240"/>
      <c r="X314" s="240"/>
      <c r="Y314" s="240"/>
      <c r="Z314" s="240"/>
      <c r="AA314" s="240"/>
      <c r="AB314" s="240"/>
      <c r="AC314" s="240"/>
      <c r="AD314" s="240"/>
      <c r="AE314" s="240"/>
      <c r="AF314" s="240"/>
      <c r="AG314" s="240"/>
      <c r="AH314" s="240"/>
      <c r="AI314" s="240"/>
      <c r="AJ314" s="240"/>
      <c r="AK314" s="240"/>
      <c r="AL314" s="240"/>
      <c r="AM314" s="240"/>
      <c r="AN314" s="240"/>
      <c r="AO314" s="240"/>
      <c r="AP314" s="240"/>
      <c r="AQ314" s="240"/>
      <c r="AR314" s="240"/>
      <c r="AS314" s="240"/>
      <c r="AT314" s="240"/>
      <c r="AU314" s="240"/>
      <c r="AV314" s="240"/>
      <c r="AW314" s="240"/>
      <c r="AX314" s="240"/>
      <c r="AY314" s="250"/>
    </row>
    <row r="315" spans="1:51" ht="60" customHeight="1" outlineLevel="1" x14ac:dyDescent="0.35">
      <c r="A315" s="245" t="s">
        <v>6456</v>
      </c>
      <c r="B315" s="233" t="s">
        <v>6457</v>
      </c>
      <c r="C315" s="233"/>
      <c r="D315" s="233"/>
      <c r="E315" s="233"/>
      <c r="F315" s="233"/>
      <c r="G315" s="233"/>
      <c r="H315" s="233"/>
      <c r="I315" s="233"/>
      <c r="J315" s="233"/>
      <c r="K315" s="236" t="str">
        <f>IF(COUNTIF(L315:AY315,"&lt;&gt;")=0,"",SUMPRODUCT(((Recommendations[ImplStatus]="Implemented")+(Recommendations[ImplStatus]="Compensated"))*ISNUMBER(MATCH(Recommendations[Id],L315:AY315,0)))/COUNTIF(L315:AY315,"&lt;&gt;"))</f>
        <v/>
      </c>
      <c r="L315" s="239"/>
      <c r="M315" s="239"/>
      <c r="N315" s="239"/>
      <c r="O315" s="239"/>
      <c r="P315" s="239"/>
      <c r="Q315" s="239"/>
      <c r="R315" s="239"/>
      <c r="S315" s="239"/>
      <c r="T315" s="239"/>
      <c r="U315" s="239"/>
      <c r="V315" s="239"/>
      <c r="W315" s="239"/>
      <c r="X315" s="239"/>
      <c r="Y315" s="239"/>
      <c r="Z315" s="239"/>
      <c r="AA315" s="239"/>
      <c r="AB315" s="239"/>
      <c r="AC315" s="239"/>
      <c r="AD315" s="239"/>
      <c r="AE315" s="239"/>
      <c r="AF315" s="239"/>
      <c r="AG315" s="239"/>
      <c r="AH315" s="239"/>
      <c r="AI315" s="239"/>
      <c r="AJ315" s="239"/>
      <c r="AK315" s="239"/>
      <c r="AL315" s="239"/>
      <c r="AM315" s="239"/>
      <c r="AN315" s="239"/>
      <c r="AO315" s="239"/>
      <c r="AP315" s="239"/>
      <c r="AQ315" s="239"/>
      <c r="AR315" s="239"/>
      <c r="AS315" s="239"/>
      <c r="AT315" s="239"/>
      <c r="AU315" s="239"/>
      <c r="AV315" s="239"/>
      <c r="AW315" s="239"/>
      <c r="AX315" s="239"/>
      <c r="AY315" s="249"/>
    </row>
    <row r="316" spans="1:51" ht="60" customHeight="1" x14ac:dyDescent="0.35">
      <c r="A316" s="246" t="s">
        <v>6458</v>
      </c>
      <c r="B316" s="234" t="s">
        <v>6459</v>
      </c>
      <c r="C316" s="234" t="s">
        <v>6460</v>
      </c>
      <c r="D316" s="234" t="s">
        <v>19</v>
      </c>
      <c r="E316" s="234" t="s">
        <v>19</v>
      </c>
      <c r="F316" s="234" t="s">
        <v>19</v>
      </c>
      <c r="G316" s="234" t="s">
        <v>19</v>
      </c>
      <c r="H316" s="234" t="s">
        <v>6461</v>
      </c>
      <c r="I316" s="234" t="s">
        <v>6462</v>
      </c>
      <c r="J316" s="234" t="s">
        <v>6463</v>
      </c>
      <c r="K316" s="237" t="str">
        <f>IF(COUNTIF(L316:AY316,"&lt;&gt;")=0,"",SUMPRODUCT(((Recommendations[ImplStatus]="Implemented")+(Recommendations[ImplStatus]="Compensated"))*ISNUMBER(MATCH(Recommendations[Id],L316:AY316,0)))/COUNTIF(L316:AY316,"&lt;&gt;"))</f>
        <v/>
      </c>
      <c r="L316" s="240"/>
      <c r="M316" s="240"/>
      <c r="N316" s="240"/>
      <c r="O316" s="240"/>
      <c r="P316" s="240"/>
      <c r="Q316" s="240"/>
      <c r="R316" s="240"/>
      <c r="S316" s="240"/>
      <c r="T316" s="240"/>
      <c r="U316" s="240"/>
      <c r="V316" s="240"/>
      <c r="W316" s="240"/>
      <c r="X316" s="240"/>
      <c r="Y316" s="240"/>
      <c r="Z316" s="240"/>
      <c r="AA316" s="240"/>
      <c r="AB316" s="240"/>
      <c r="AC316" s="240"/>
      <c r="AD316" s="240"/>
      <c r="AE316" s="240"/>
      <c r="AF316" s="240"/>
      <c r="AG316" s="240"/>
      <c r="AH316" s="240"/>
      <c r="AI316" s="240"/>
      <c r="AJ316" s="240"/>
      <c r="AK316" s="240"/>
      <c r="AL316" s="240"/>
      <c r="AM316" s="240"/>
      <c r="AN316" s="240"/>
      <c r="AO316" s="240"/>
      <c r="AP316" s="240"/>
      <c r="AQ316" s="240"/>
      <c r="AR316" s="240"/>
      <c r="AS316" s="240"/>
      <c r="AT316" s="240"/>
      <c r="AU316" s="240"/>
      <c r="AV316" s="240"/>
      <c r="AW316" s="240"/>
      <c r="AX316" s="240"/>
      <c r="AY316" s="250"/>
    </row>
    <row r="317" spans="1:51" ht="60" customHeight="1" x14ac:dyDescent="0.35">
      <c r="A317" s="246" t="s">
        <v>6464</v>
      </c>
      <c r="B317" s="234" t="s">
        <v>6465</v>
      </c>
      <c r="C317" s="234" t="s">
        <v>19</v>
      </c>
      <c r="D317" s="234" t="s">
        <v>19</v>
      </c>
      <c r="E317" s="234" t="s">
        <v>19</v>
      </c>
      <c r="F317" s="234" t="s">
        <v>19</v>
      </c>
      <c r="G317" s="234" t="s">
        <v>19</v>
      </c>
      <c r="H317" s="234" t="s">
        <v>19</v>
      </c>
      <c r="I317" s="234" t="s">
        <v>19</v>
      </c>
      <c r="J317" s="234" t="s">
        <v>19</v>
      </c>
      <c r="K317" s="237" t="str">
        <f>IF(COUNTIF(L317:AY317,"&lt;&gt;")=0,"",SUMPRODUCT(((Recommendations[ImplStatus]="Implemented")+(Recommendations[ImplStatus]="Compensated"))*ISNUMBER(MATCH(Recommendations[Id],L317:AY317,0)))/COUNTIF(L317:AY317,"&lt;&gt;"))</f>
        <v/>
      </c>
      <c r="L317" s="240"/>
      <c r="M317" s="240"/>
      <c r="N317" s="240"/>
      <c r="O317" s="240"/>
      <c r="P317" s="240"/>
      <c r="Q317" s="240"/>
      <c r="R317" s="240"/>
      <c r="S317" s="240"/>
      <c r="T317" s="240"/>
      <c r="U317" s="240"/>
      <c r="V317" s="240"/>
      <c r="W317" s="240"/>
      <c r="X317" s="240"/>
      <c r="Y317" s="240"/>
      <c r="Z317" s="240"/>
      <c r="AA317" s="240"/>
      <c r="AB317" s="240"/>
      <c r="AC317" s="240"/>
      <c r="AD317" s="240"/>
      <c r="AE317" s="240"/>
      <c r="AF317" s="240"/>
      <c r="AG317" s="240"/>
      <c r="AH317" s="240"/>
      <c r="AI317" s="240"/>
      <c r="AJ317" s="240"/>
      <c r="AK317" s="240"/>
      <c r="AL317" s="240"/>
      <c r="AM317" s="240"/>
      <c r="AN317" s="240"/>
      <c r="AO317" s="240"/>
      <c r="AP317" s="240"/>
      <c r="AQ317" s="240"/>
      <c r="AR317" s="240"/>
      <c r="AS317" s="240"/>
      <c r="AT317" s="240"/>
      <c r="AU317" s="240"/>
      <c r="AV317" s="240"/>
      <c r="AW317" s="240"/>
      <c r="AX317" s="240"/>
      <c r="AY317" s="250"/>
    </row>
    <row r="318" spans="1:51" ht="60" customHeight="1" outlineLevel="1" x14ac:dyDescent="0.35">
      <c r="A318" s="245" t="s">
        <v>6466</v>
      </c>
      <c r="B318" s="233" t="s">
        <v>6467</v>
      </c>
      <c r="C318" s="233"/>
      <c r="D318" s="233"/>
      <c r="E318" s="233"/>
      <c r="F318" s="233"/>
      <c r="G318" s="233"/>
      <c r="H318" s="233"/>
      <c r="I318" s="233"/>
      <c r="J318" s="233"/>
      <c r="K318" s="236" t="str">
        <f>IF(COUNTIF(L318:AY318,"&lt;&gt;")=0,"",SUMPRODUCT(((Recommendations[ImplStatus]="Implemented")+(Recommendations[ImplStatus]="Compensated"))*ISNUMBER(MATCH(Recommendations[Id],L318:AY318,0)))/COUNTIF(L318:AY318,"&lt;&gt;"))</f>
        <v/>
      </c>
      <c r="L318" s="239"/>
      <c r="M318" s="239"/>
      <c r="N318" s="239"/>
      <c r="O318" s="239"/>
      <c r="P318" s="239"/>
      <c r="Q318" s="239"/>
      <c r="R318" s="239"/>
      <c r="S318" s="239"/>
      <c r="T318" s="239"/>
      <c r="U318" s="239"/>
      <c r="V318" s="239"/>
      <c r="W318" s="239"/>
      <c r="X318" s="239"/>
      <c r="Y318" s="239"/>
      <c r="Z318" s="239"/>
      <c r="AA318" s="239"/>
      <c r="AB318" s="239"/>
      <c r="AC318" s="239"/>
      <c r="AD318" s="239"/>
      <c r="AE318" s="239"/>
      <c r="AF318" s="239"/>
      <c r="AG318" s="239"/>
      <c r="AH318" s="239"/>
      <c r="AI318" s="239"/>
      <c r="AJ318" s="239"/>
      <c r="AK318" s="239"/>
      <c r="AL318" s="239"/>
      <c r="AM318" s="239"/>
      <c r="AN318" s="239"/>
      <c r="AO318" s="239"/>
      <c r="AP318" s="239"/>
      <c r="AQ318" s="239"/>
      <c r="AR318" s="239"/>
      <c r="AS318" s="239"/>
      <c r="AT318" s="239"/>
      <c r="AU318" s="239"/>
      <c r="AV318" s="239"/>
      <c r="AW318" s="239"/>
      <c r="AX318" s="239"/>
      <c r="AY318" s="249"/>
    </row>
    <row r="319" spans="1:51" ht="60" customHeight="1" x14ac:dyDescent="0.35">
      <c r="A319" s="246" t="s">
        <v>6468</v>
      </c>
      <c r="B319" s="234" t="s">
        <v>6469</v>
      </c>
      <c r="C319" s="234" t="s">
        <v>6470</v>
      </c>
      <c r="D319" s="234" t="s">
        <v>6471</v>
      </c>
      <c r="E319" s="234" t="s">
        <v>19</v>
      </c>
      <c r="F319" s="234" t="s">
        <v>6472</v>
      </c>
      <c r="G319" s="234" t="s">
        <v>6473</v>
      </c>
      <c r="H319" s="234" t="s">
        <v>6474</v>
      </c>
      <c r="I319" s="234" t="s">
        <v>19</v>
      </c>
      <c r="J319" s="234" t="s">
        <v>6475</v>
      </c>
      <c r="K319" s="237" t="str">
        <f>IF(COUNTIF(L319:AY319,"&lt;&gt;")=0,"",SUMPRODUCT(((Recommendations[ImplStatus]="Implemented")+(Recommendations[ImplStatus]="Compensated"))*ISNUMBER(MATCH(Recommendations[Id],L319:AY319,0)))/COUNTIF(L319:AY319,"&lt;&gt;"))</f>
        <v/>
      </c>
      <c r="L319" s="240"/>
      <c r="M319" s="240"/>
      <c r="N319" s="240"/>
      <c r="O319" s="240"/>
      <c r="P319" s="240"/>
      <c r="Q319" s="240"/>
      <c r="R319" s="240"/>
      <c r="S319" s="240"/>
      <c r="T319" s="240"/>
      <c r="U319" s="240"/>
      <c r="V319" s="240"/>
      <c r="W319" s="240"/>
      <c r="X319" s="240"/>
      <c r="Y319" s="240"/>
      <c r="Z319" s="240"/>
      <c r="AA319" s="240"/>
      <c r="AB319" s="240"/>
      <c r="AC319" s="240"/>
      <c r="AD319" s="240"/>
      <c r="AE319" s="240"/>
      <c r="AF319" s="240"/>
      <c r="AG319" s="240"/>
      <c r="AH319" s="240"/>
      <c r="AI319" s="240"/>
      <c r="AJ319" s="240"/>
      <c r="AK319" s="240"/>
      <c r="AL319" s="240"/>
      <c r="AM319" s="240"/>
      <c r="AN319" s="240"/>
      <c r="AO319" s="240"/>
      <c r="AP319" s="240"/>
      <c r="AQ319" s="240"/>
      <c r="AR319" s="240"/>
      <c r="AS319" s="240"/>
      <c r="AT319" s="240"/>
      <c r="AU319" s="240"/>
      <c r="AV319" s="240"/>
      <c r="AW319" s="240"/>
      <c r="AX319" s="240"/>
      <c r="AY319" s="250"/>
    </row>
    <row r="320" spans="1:51" ht="60" customHeight="1" x14ac:dyDescent="0.35">
      <c r="A320" s="246" t="s">
        <v>6476</v>
      </c>
      <c r="B320" s="234" t="s">
        <v>6477</v>
      </c>
      <c r="C320" s="234" t="s">
        <v>6478</v>
      </c>
      <c r="D320" s="234" t="s">
        <v>6479</v>
      </c>
      <c r="E320" s="234" t="s">
        <v>19</v>
      </c>
      <c r="F320" s="234" t="s">
        <v>19</v>
      </c>
      <c r="G320" s="234" t="s">
        <v>19</v>
      </c>
      <c r="H320" s="234" t="s">
        <v>6480</v>
      </c>
      <c r="I320" s="234" t="s">
        <v>19</v>
      </c>
      <c r="J320" s="234" t="s">
        <v>19</v>
      </c>
      <c r="K320" s="237" t="str">
        <f>IF(COUNTIF(L320:AY320,"&lt;&gt;")=0,"",SUMPRODUCT(((Recommendations[ImplStatus]="Implemented")+(Recommendations[ImplStatus]="Compensated"))*ISNUMBER(MATCH(Recommendations[Id],L320:AY320,0)))/COUNTIF(L320:AY320,"&lt;&gt;"))</f>
        <v/>
      </c>
      <c r="L320" s="240"/>
      <c r="M320" s="240"/>
      <c r="N320" s="240"/>
      <c r="O320" s="240"/>
      <c r="P320" s="240"/>
      <c r="Q320" s="240"/>
      <c r="R320" s="240"/>
      <c r="S320" s="240"/>
      <c r="T320" s="240"/>
      <c r="U320" s="240"/>
      <c r="V320" s="240"/>
      <c r="W320" s="240"/>
      <c r="X320" s="240"/>
      <c r="Y320" s="240"/>
      <c r="Z320" s="240"/>
      <c r="AA320" s="240"/>
      <c r="AB320" s="240"/>
      <c r="AC320" s="240"/>
      <c r="AD320" s="240"/>
      <c r="AE320" s="240"/>
      <c r="AF320" s="240"/>
      <c r="AG320" s="240"/>
      <c r="AH320" s="240"/>
      <c r="AI320" s="240"/>
      <c r="AJ320" s="240"/>
      <c r="AK320" s="240"/>
      <c r="AL320" s="240"/>
      <c r="AM320" s="240"/>
      <c r="AN320" s="240"/>
      <c r="AO320" s="240"/>
      <c r="AP320" s="240"/>
      <c r="AQ320" s="240"/>
      <c r="AR320" s="240"/>
      <c r="AS320" s="240"/>
      <c r="AT320" s="240"/>
      <c r="AU320" s="240"/>
      <c r="AV320" s="240"/>
      <c r="AW320" s="240"/>
      <c r="AX320" s="240"/>
      <c r="AY320" s="250"/>
    </row>
    <row r="321" spans="1:51" ht="60" customHeight="1" x14ac:dyDescent="0.35">
      <c r="A321" s="246" t="s">
        <v>6481</v>
      </c>
      <c r="B321" s="234" t="s">
        <v>6482</v>
      </c>
      <c r="C321" s="234" t="s">
        <v>6483</v>
      </c>
      <c r="D321" s="234" t="s">
        <v>6484</v>
      </c>
      <c r="E321" s="234" t="s">
        <v>19</v>
      </c>
      <c r="F321" s="234" t="s">
        <v>19</v>
      </c>
      <c r="G321" s="234" t="s">
        <v>19</v>
      </c>
      <c r="H321" s="234" t="s">
        <v>6485</v>
      </c>
      <c r="I321" s="234" t="s">
        <v>19</v>
      </c>
      <c r="J321" s="234" t="s">
        <v>6486</v>
      </c>
      <c r="K321" s="237" t="str">
        <f>IF(COUNTIF(L321:AY321,"&lt;&gt;")=0,"",SUMPRODUCT(((Recommendations[ImplStatus]="Implemented")+(Recommendations[ImplStatus]="Compensated"))*ISNUMBER(MATCH(Recommendations[Id],L321:AY321,0)))/COUNTIF(L321:AY321,"&lt;&gt;"))</f>
        <v/>
      </c>
      <c r="L321" s="240"/>
      <c r="M321" s="240"/>
      <c r="N321" s="240"/>
      <c r="O321" s="240"/>
      <c r="P321" s="240"/>
      <c r="Q321" s="240"/>
      <c r="R321" s="240"/>
      <c r="S321" s="240"/>
      <c r="T321" s="240"/>
      <c r="U321" s="240"/>
      <c r="V321" s="240"/>
      <c r="W321" s="240"/>
      <c r="X321" s="240"/>
      <c r="Y321" s="240"/>
      <c r="Z321" s="240"/>
      <c r="AA321" s="240"/>
      <c r="AB321" s="240"/>
      <c r="AC321" s="240"/>
      <c r="AD321" s="240"/>
      <c r="AE321" s="240"/>
      <c r="AF321" s="240"/>
      <c r="AG321" s="240"/>
      <c r="AH321" s="240"/>
      <c r="AI321" s="240"/>
      <c r="AJ321" s="240"/>
      <c r="AK321" s="240"/>
      <c r="AL321" s="240"/>
      <c r="AM321" s="240"/>
      <c r="AN321" s="240"/>
      <c r="AO321" s="240"/>
      <c r="AP321" s="240"/>
      <c r="AQ321" s="240"/>
      <c r="AR321" s="240"/>
      <c r="AS321" s="240"/>
      <c r="AT321" s="240"/>
      <c r="AU321" s="240"/>
      <c r="AV321" s="240"/>
      <c r="AW321" s="240"/>
      <c r="AX321" s="240"/>
      <c r="AY321" s="250"/>
    </row>
    <row r="322" spans="1:51" ht="60" customHeight="1" x14ac:dyDescent="0.35">
      <c r="A322" s="246" t="s">
        <v>6487</v>
      </c>
      <c r="B322" s="234" t="s">
        <v>6488</v>
      </c>
      <c r="C322" s="234" t="s">
        <v>6489</v>
      </c>
      <c r="D322" s="234" t="s">
        <v>6490</v>
      </c>
      <c r="E322" s="234" t="s">
        <v>19</v>
      </c>
      <c r="F322" s="234" t="s">
        <v>19</v>
      </c>
      <c r="G322" s="234" t="s">
        <v>19</v>
      </c>
      <c r="H322" s="234" t="s">
        <v>6491</v>
      </c>
      <c r="I322" s="234" t="s">
        <v>19</v>
      </c>
      <c r="J322" s="234" t="s">
        <v>6492</v>
      </c>
      <c r="K322" s="237" t="str">
        <f>IF(COUNTIF(L322:AY322,"&lt;&gt;")=0,"",SUMPRODUCT(((Recommendations[ImplStatus]="Implemented")+(Recommendations[ImplStatus]="Compensated"))*ISNUMBER(MATCH(Recommendations[Id],L322:AY322,0)))/COUNTIF(L322:AY322,"&lt;&gt;"))</f>
        <v/>
      </c>
      <c r="L322" s="240"/>
      <c r="M322" s="240"/>
      <c r="N322" s="240"/>
      <c r="O322" s="240"/>
      <c r="P322" s="240"/>
      <c r="Q322" s="240"/>
      <c r="R322" s="240"/>
      <c r="S322" s="240"/>
      <c r="T322" s="240"/>
      <c r="U322" s="240"/>
      <c r="V322" s="240"/>
      <c r="W322" s="240"/>
      <c r="X322" s="240"/>
      <c r="Y322" s="240"/>
      <c r="Z322" s="240"/>
      <c r="AA322" s="240"/>
      <c r="AB322" s="240"/>
      <c r="AC322" s="240"/>
      <c r="AD322" s="240"/>
      <c r="AE322" s="240"/>
      <c r="AF322" s="240"/>
      <c r="AG322" s="240"/>
      <c r="AH322" s="240"/>
      <c r="AI322" s="240"/>
      <c r="AJ322" s="240"/>
      <c r="AK322" s="240"/>
      <c r="AL322" s="240"/>
      <c r="AM322" s="240"/>
      <c r="AN322" s="240"/>
      <c r="AO322" s="240"/>
      <c r="AP322" s="240"/>
      <c r="AQ322" s="240"/>
      <c r="AR322" s="240"/>
      <c r="AS322" s="240"/>
      <c r="AT322" s="240"/>
      <c r="AU322" s="240"/>
      <c r="AV322" s="240"/>
      <c r="AW322" s="240"/>
      <c r="AX322" s="240"/>
      <c r="AY322" s="250"/>
    </row>
    <row r="323" spans="1:51" ht="60" customHeight="1" x14ac:dyDescent="0.35">
      <c r="A323" s="246" t="s">
        <v>6493</v>
      </c>
      <c r="B323" s="234" t="s">
        <v>6494</v>
      </c>
      <c r="C323" s="234" t="s">
        <v>6495</v>
      </c>
      <c r="D323" s="234" t="s">
        <v>19</v>
      </c>
      <c r="E323" s="234" t="s">
        <v>19</v>
      </c>
      <c r="F323" s="234" t="s">
        <v>19</v>
      </c>
      <c r="G323" s="234" t="s">
        <v>19</v>
      </c>
      <c r="H323" s="234" t="s">
        <v>6496</v>
      </c>
      <c r="I323" s="234" t="s">
        <v>5293</v>
      </c>
      <c r="J323" s="234" t="s">
        <v>6497</v>
      </c>
      <c r="K323" s="237" t="str">
        <f>IF(COUNTIF(L323:AY323,"&lt;&gt;")=0,"",SUMPRODUCT(((Recommendations[ImplStatus]="Implemented")+(Recommendations[ImplStatus]="Compensated"))*ISNUMBER(MATCH(Recommendations[Id],L323:AY323,0)))/COUNTIF(L323:AY323,"&lt;&gt;"))</f>
        <v/>
      </c>
      <c r="L323" s="240"/>
      <c r="M323" s="240"/>
      <c r="N323" s="240"/>
      <c r="O323" s="240"/>
      <c r="P323" s="240"/>
      <c r="Q323" s="240"/>
      <c r="R323" s="240"/>
      <c r="S323" s="240"/>
      <c r="T323" s="240"/>
      <c r="U323" s="240"/>
      <c r="V323" s="240"/>
      <c r="W323" s="240"/>
      <c r="X323" s="240"/>
      <c r="Y323" s="240"/>
      <c r="Z323" s="240"/>
      <c r="AA323" s="240"/>
      <c r="AB323" s="240"/>
      <c r="AC323" s="240"/>
      <c r="AD323" s="240"/>
      <c r="AE323" s="240"/>
      <c r="AF323" s="240"/>
      <c r="AG323" s="240"/>
      <c r="AH323" s="240"/>
      <c r="AI323" s="240"/>
      <c r="AJ323" s="240"/>
      <c r="AK323" s="240"/>
      <c r="AL323" s="240"/>
      <c r="AM323" s="240"/>
      <c r="AN323" s="240"/>
      <c r="AO323" s="240"/>
      <c r="AP323" s="240"/>
      <c r="AQ323" s="240"/>
      <c r="AR323" s="240"/>
      <c r="AS323" s="240"/>
      <c r="AT323" s="240"/>
      <c r="AU323" s="240"/>
      <c r="AV323" s="240"/>
      <c r="AW323" s="240"/>
      <c r="AX323" s="240"/>
      <c r="AY323" s="250"/>
    </row>
    <row r="324" spans="1:51" ht="60" customHeight="1" x14ac:dyDescent="0.35">
      <c r="A324" s="246" t="s">
        <v>6498</v>
      </c>
      <c r="B324" s="234" t="s">
        <v>6499</v>
      </c>
      <c r="C324" s="234" t="s">
        <v>6500</v>
      </c>
      <c r="D324" s="234" t="s">
        <v>19</v>
      </c>
      <c r="E324" s="234" t="s">
        <v>19</v>
      </c>
      <c r="F324" s="234" t="s">
        <v>19</v>
      </c>
      <c r="G324" s="234" t="s">
        <v>19</v>
      </c>
      <c r="H324" s="234" t="s">
        <v>6501</v>
      </c>
      <c r="I324" s="234" t="s">
        <v>6502</v>
      </c>
      <c r="J324" s="234" t="s">
        <v>6503</v>
      </c>
      <c r="K324" s="237" t="str">
        <f>IF(COUNTIF(L324:AY324,"&lt;&gt;")=0,"",SUMPRODUCT(((Recommendations[ImplStatus]="Implemented")+(Recommendations[ImplStatus]="Compensated"))*ISNUMBER(MATCH(Recommendations[Id],L324:AY324,0)))/COUNTIF(L324:AY324,"&lt;&gt;"))</f>
        <v/>
      </c>
      <c r="L324" s="240"/>
      <c r="M324" s="240"/>
      <c r="N324" s="240"/>
      <c r="O324" s="240"/>
      <c r="P324" s="240"/>
      <c r="Q324" s="240"/>
      <c r="R324" s="240"/>
      <c r="S324" s="240"/>
      <c r="T324" s="240"/>
      <c r="U324" s="240"/>
      <c r="V324" s="240"/>
      <c r="W324" s="240"/>
      <c r="X324" s="240"/>
      <c r="Y324" s="240"/>
      <c r="Z324" s="240"/>
      <c r="AA324" s="240"/>
      <c r="AB324" s="240"/>
      <c r="AC324" s="240"/>
      <c r="AD324" s="240"/>
      <c r="AE324" s="240"/>
      <c r="AF324" s="240"/>
      <c r="AG324" s="240"/>
      <c r="AH324" s="240"/>
      <c r="AI324" s="240"/>
      <c r="AJ324" s="240"/>
      <c r="AK324" s="240"/>
      <c r="AL324" s="240"/>
      <c r="AM324" s="240"/>
      <c r="AN324" s="240"/>
      <c r="AO324" s="240"/>
      <c r="AP324" s="240"/>
      <c r="AQ324" s="240"/>
      <c r="AR324" s="240"/>
      <c r="AS324" s="240"/>
      <c r="AT324" s="240"/>
      <c r="AU324" s="240"/>
      <c r="AV324" s="240"/>
      <c r="AW324" s="240"/>
      <c r="AX324" s="240"/>
      <c r="AY324" s="250"/>
    </row>
    <row r="325" spans="1:51" ht="60" customHeight="1" x14ac:dyDescent="0.35">
      <c r="A325" s="246" t="s">
        <v>6504</v>
      </c>
      <c r="B325" s="234" t="s">
        <v>6505</v>
      </c>
      <c r="C325" s="234" t="s">
        <v>6506</v>
      </c>
      <c r="D325" s="234" t="s">
        <v>6507</v>
      </c>
      <c r="E325" s="234" t="s">
        <v>19</v>
      </c>
      <c r="F325" s="234" t="s">
        <v>19</v>
      </c>
      <c r="G325" s="234" t="s">
        <v>19</v>
      </c>
      <c r="H325" s="234" t="s">
        <v>6508</v>
      </c>
      <c r="I325" s="234" t="s">
        <v>19</v>
      </c>
      <c r="J325" s="234" t="s">
        <v>6509</v>
      </c>
      <c r="K325" s="237" t="str">
        <f>IF(COUNTIF(L325:AY325,"&lt;&gt;")=0,"",SUMPRODUCT(((Recommendations[ImplStatus]="Implemented")+(Recommendations[ImplStatus]="Compensated"))*ISNUMBER(MATCH(Recommendations[Id],L325:AY325,0)))/COUNTIF(L325:AY325,"&lt;&gt;"))</f>
        <v/>
      </c>
      <c r="L325" s="240"/>
      <c r="M325" s="240"/>
      <c r="N325" s="240"/>
      <c r="O325" s="240"/>
      <c r="P325" s="240"/>
      <c r="Q325" s="240"/>
      <c r="R325" s="240"/>
      <c r="S325" s="240"/>
      <c r="T325" s="240"/>
      <c r="U325" s="240"/>
      <c r="V325" s="240"/>
      <c r="W325" s="240"/>
      <c r="X325" s="240"/>
      <c r="Y325" s="240"/>
      <c r="Z325" s="240"/>
      <c r="AA325" s="240"/>
      <c r="AB325" s="240"/>
      <c r="AC325" s="240"/>
      <c r="AD325" s="240"/>
      <c r="AE325" s="240"/>
      <c r="AF325" s="240"/>
      <c r="AG325" s="240"/>
      <c r="AH325" s="240"/>
      <c r="AI325" s="240"/>
      <c r="AJ325" s="240"/>
      <c r="AK325" s="240"/>
      <c r="AL325" s="240"/>
      <c r="AM325" s="240"/>
      <c r="AN325" s="240"/>
      <c r="AO325" s="240"/>
      <c r="AP325" s="240"/>
      <c r="AQ325" s="240"/>
      <c r="AR325" s="240"/>
      <c r="AS325" s="240"/>
      <c r="AT325" s="240"/>
      <c r="AU325" s="240"/>
      <c r="AV325" s="240"/>
      <c r="AW325" s="240"/>
      <c r="AX325" s="240"/>
      <c r="AY325" s="250"/>
    </row>
    <row r="326" spans="1:51" ht="60" customHeight="1" x14ac:dyDescent="0.35">
      <c r="A326" s="247" t="s">
        <v>6510</v>
      </c>
      <c r="B326" s="241" t="s">
        <v>6511</v>
      </c>
      <c r="C326" s="241" t="s">
        <v>6512</v>
      </c>
      <c r="D326" s="241" t="s">
        <v>6513</v>
      </c>
      <c r="E326" s="241" t="s">
        <v>19</v>
      </c>
      <c r="F326" s="241" t="s">
        <v>19</v>
      </c>
      <c r="G326" s="241" t="s">
        <v>19</v>
      </c>
      <c r="H326" s="241" t="s">
        <v>6514</v>
      </c>
      <c r="I326" s="241" t="s">
        <v>5293</v>
      </c>
      <c r="J326" s="241" t="s">
        <v>6515</v>
      </c>
      <c r="K326" s="242" t="str">
        <f>IF(COUNTIF(L326:AY326,"&lt;&gt;")=0,"",SUMPRODUCT(((Recommendations[ImplStatus]="Implemented")+(Recommendations[ImplStatus]="Compensated"))*ISNUMBER(MATCH(Recommendations[Id],L326:AY326,0)))/COUNTIF(L326:AY326,"&lt;&gt;"))</f>
        <v/>
      </c>
      <c r="L326" s="243"/>
      <c r="M326" s="243"/>
      <c r="N326" s="243"/>
      <c r="O326" s="243"/>
      <c r="P326" s="243"/>
      <c r="Q326" s="243"/>
      <c r="R326" s="243"/>
      <c r="S326" s="243"/>
      <c r="T326" s="243"/>
      <c r="U326" s="243"/>
      <c r="V326" s="243"/>
      <c r="W326" s="243"/>
      <c r="X326" s="243"/>
      <c r="Y326" s="243"/>
      <c r="Z326" s="243"/>
      <c r="AA326" s="243"/>
      <c r="AB326" s="243"/>
      <c r="AC326" s="243"/>
      <c r="AD326" s="243"/>
      <c r="AE326" s="243"/>
      <c r="AF326" s="243"/>
      <c r="AG326" s="243"/>
      <c r="AH326" s="243"/>
      <c r="AI326" s="243"/>
      <c r="AJ326" s="243"/>
      <c r="AK326" s="243"/>
      <c r="AL326" s="243"/>
      <c r="AM326" s="243"/>
      <c r="AN326" s="243"/>
      <c r="AO326" s="243"/>
      <c r="AP326" s="243"/>
      <c r="AQ326" s="243"/>
      <c r="AR326" s="243"/>
      <c r="AS326" s="243"/>
      <c r="AT326" s="243"/>
      <c r="AU326" s="243"/>
      <c r="AV326" s="243"/>
      <c r="AW326" s="243"/>
      <c r="AX326" s="243"/>
      <c r="AY326" s="251"/>
    </row>
    <row r="330" spans="1:51" ht="32" customHeight="1" x14ac:dyDescent="0.35">
      <c r="A330" s="288" t="s">
        <v>1787</v>
      </c>
      <c r="B330" s="288"/>
      <c r="C330" s="288"/>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IFERROR(INDEX('Recommendations'!$G$2:$G$376, MATCH(L2,'Recommendations'!$A$2:$A$376,0))="Implemented", FALSE))</xm:f>
            <x14:dxf>
              <font>
                <color rgb="FF000000"/>
              </font>
              <fill>
                <patternFill>
                  <bgColor rgb="FF3C7D22"/>
                </patternFill>
              </fill>
            </x14:dxf>
          </x14:cfRule>
          <x14:cfRule type="expression" priority="2" id="{00000000-000E-0000-0A00-000002000000}">
            <xm:f>AND(L2&lt;&gt;"", IFERROR(INDEX('Recommendations'!$G$2:$G$376, MATCH(L2,'Recommendations'!$A$2:$A$376,0))="Compensated", FALSE))</xm:f>
            <x14:dxf>
              <font>
                <color rgb="FF000000"/>
              </font>
              <fill>
                <patternFill>
                  <bgColor rgb="FFC6E0B4"/>
                </patternFill>
              </fill>
            </x14:dxf>
          </x14:cfRule>
          <x14:cfRule type="expression" priority="3" id="{00000000-000E-0000-0A00-000003000000}">
            <xm:f>AND(L2&lt;&gt;"", IFERROR(INDEX('Recommendations'!$G$2:$G$376, MATCH(L2,'Recommendations'!$A$2:$A$376,0))="Testing", FALSE))</xm:f>
            <x14:dxf>
              <font>
                <color rgb="FF000000"/>
              </font>
              <fill>
                <patternFill>
                  <bgColor rgb="FFFFC000"/>
                </patternFill>
              </fill>
            </x14:dxf>
          </x14:cfRule>
          <x14:cfRule type="expression" priority="4" id="{00000000-000E-0000-0A00-000004000000}">
            <xm:f>AND(L2&lt;&gt;"", IFERROR(INDEX('Recommendations'!$G$2:$G$376, MATCH(L2,'Recommendations'!$A$2:$A$376,0))="Failed", FALSE))</xm:f>
            <x14:dxf>
              <font>
                <color rgb="FF000000"/>
              </font>
              <fill>
                <patternFill>
                  <bgColor rgb="FFD82891"/>
                </patternFill>
              </fill>
            </x14:dxf>
          </x14:cfRule>
          <x14:cfRule type="expression" priority="5" id="{00000000-000E-0000-0A00-000005000000}">
            <xm:f>AND(L2&lt;&gt;"", IFERROR(INDEX('Recommendations'!$G$2:$G$376, MATCH(L2,'Recommendations'!$A$2:$A$376,0))="Risk Accepted", FALSE))</xm:f>
            <x14:dxf>
              <font>
                <color rgb="FF000000"/>
              </font>
              <fill>
                <patternFill>
                  <bgColor rgb="FFD9D9D9"/>
                </patternFill>
              </fill>
            </x14:dxf>
          </x14:cfRule>
          <x14:cfRule type="expression" priority="6" id="{00000000-000E-0000-0A00-000006000000}">
            <xm:f>AND(L2&lt;&gt;"", IFERROR(INDEX('Recommendations'!$G$2:$G$376, MATCH(L2,'Recommendations'!$A$2:$A$376,0))="N/A", FALSE))</xm:f>
            <x14:dxf>
              <font>
                <color rgb="FF000000"/>
              </font>
              <fill>
                <patternFill>
                  <bgColor rgb="FFF2F2F2"/>
                </patternFill>
              </fill>
            </x14:dxf>
          </x14:cfRule>
          <xm:sqref>L2:AY326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85" t="s">
        <v>3664</v>
      </c>
      <c r="B1" s="286" t="s">
        <v>4549</v>
      </c>
      <c r="C1" s="286" t="s">
        <v>0</v>
      </c>
      <c r="D1" s="286" t="s">
        <v>2027</v>
      </c>
      <c r="E1" s="286" t="s">
        <v>6516</v>
      </c>
      <c r="F1" s="286" t="s">
        <v>6517</v>
      </c>
      <c r="G1" s="286" t="s">
        <v>2032</v>
      </c>
      <c r="H1" s="286" t="s">
        <v>2033</v>
      </c>
      <c r="I1" s="286" t="s">
        <v>2034</v>
      </c>
      <c r="J1" s="286" t="s">
        <v>2035</v>
      </c>
      <c r="K1" s="286" t="s">
        <v>2036</v>
      </c>
      <c r="L1" s="286" t="s">
        <v>2037</v>
      </c>
      <c r="M1" s="286" t="s">
        <v>2038</v>
      </c>
      <c r="N1" s="286" t="s">
        <v>2039</v>
      </c>
      <c r="O1" s="286" t="s">
        <v>2040</v>
      </c>
      <c r="P1" s="286" t="s">
        <v>2041</v>
      </c>
      <c r="Q1" s="286" t="s">
        <v>2042</v>
      </c>
      <c r="R1" s="286" t="s">
        <v>2043</v>
      </c>
      <c r="S1" s="286" t="s">
        <v>2044</v>
      </c>
      <c r="T1" s="286" t="s">
        <v>2045</v>
      </c>
      <c r="U1" s="286" t="s">
        <v>2046</v>
      </c>
      <c r="V1" s="286" t="s">
        <v>2047</v>
      </c>
      <c r="W1" s="286" t="s">
        <v>2048</v>
      </c>
      <c r="X1" s="286" t="s">
        <v>2049</v>
      </c>
      <c r="Y1" s="286" t="s">
        <v>2050</v>
      </c>
      <c r="Z1" s="286" t="s">
        <v>2051</v>
      </c>
      <c r="AA1" s="286" t="s">
        <v>2052</v>
      </c>
      <c r="AB1" s="286" t="s">
        <v>2053</v>
      </c>
      <c r="AC1" s="286" t="s">
        <v>2054</v>
      </c>
      <c r="AD1" s="286" t="s">
        <v>2055</v>
      </c>
      <c r="AE1" s="286" t="s">
        <v>2056</v>
      </c>
      <c r="AF1" s="286" t="s">
        <v>2057</v>
      </c>
      <c r="AG1" s="286" t="s">
        <v>2058</v>
      </c>
      <c r="AH1" s="286" t="s">
        <v>2059</v>
      </c>
      <c r="AI1" s="286" t="s">
        <v>2060</v>
      </c>
      <c r="AJ1" s="286" t="s">
        <v>2061</v>
      </c>
      <c r="AK1" s="286" t="s">
        <v>2062</v>
      </c>
      <c r="AL1" s="286" t="s">
        <v>2063</v>
      </c>
      <c r="AM1" s="286" t="s">
        <v>2064</v>
      </c>
      <c r="AN1" s="286" t="s">
        <v>2065</v>
      </c>
      <c r="AO1" s="286" t="s">
        <v>2066</v>
      </c>
      <c r="AP1" s="286" t="s">
        <v>2067</v>
      </c>
      <c r="AQ1" s="286" t="s">
        <v>2068</v>
      </c>
      <c r="AR1" s="286" t="s">
        <v>2069</v>
      </c>
      <c r="AS1" s="286" t="s">
        <v>2070</v>
      </c>
      <c r="AT1" s="286" t="s">
        <v>2071</v>
      </c>
      <c r="AU1" s="287" t="s">
        <v>2072</v>
      </c>
    </row>
    <row r="2" spans="1:47" ht="60" customHeight="1" outlineLevel="1" x14ac:dyDescent="0.35">
      <c r="A2" s="277" t="s">
        <v>6518</v>
      </c>
      <c r="B2" s="255"/>
      <c r="C2" s="255"/>
      <c r="D2" s="259"/>
      <c r="E2" s="255"/>
      <c r="F2" s="263"/>
      <c r="G2" s="266" t="str">
        <f>IF(COUNTIF(H2:AU2,"&lt;&gt;")=0,"",SUMPRODUCT(((Recommendations[ImplStatus]="Implemented")+(Recommendations[ImplStatus]="Compensated"))*ISNUMBER(MATCH(Recommendations[Id],H2:AU2,0)))/COUNTIF(H2:AU2,"&lt;&gt;"))</f>
        <v/>
      </c>
      <c r="H2" s="263"/>
      <c r="I2" s="263"/>
      <c r="J2" s="263"/>
      <c r="K2" s="263"/>
      <c r="L2" s="263"/>
      <c r="M2" s="263"/>
      <c r="N2" s="263"/>
      <c r="O2" s="263"/>
      <c r="P2" s="263"/>
      <c r="Q2" s="263"/>
      <c r="R2" s="263"/>
      <c r="S2" s="263"/>
      <c r="T2" s="263"/>
      <c r="U2" s="263"/>
      <c r="V2" s="263"/>
      <c r="W2" s="263"/>
      <c r="X2" s="263"/>
      <c r="Y2" s="263"/>
      <c r="Z2" s="263"/>
      <c r="AA2" s="263"/>
      <c r="AB2" s="263"/>
      <c r="AC2" s="263"/>
      <c r="AD2" s="263"/>
      <c r="AE2" s="263"/>
      <c r="AF2" s="263"/>
      <c r="AG2" s="263"/>
      <c r="AH2" s="263"/>
      <c r="AI2" s="263"/>
      <c r="AJ2" s="263"/>
      <c r="AK2" s="263"/>
      <c r="AL2" s="263"/>
      <c r="AM2" s="263"/>
      <c r="AN2" s="263"/>
      <c r="AO2" s="263"/>
      <c r="AP2" s="263"/>
      <c r="AQ2" s="263"/>
      <c r="AR2" s="263"/>
      <c r="AS2" s="263"/>
      <c r="AT2" s="263"/>
      <c r="AU2" s="281"/>
    </row>
    <row r="3" spans="1:47" ht="60" customHeight="1" outlineLevel="2" x14ac:dyDescent="0.35">
      <c r="A3" s="278" t="s">
        <v>6518</v>
      </c>
      <c r="B3" s="256" t="s">
        <v>6519</v>
      </c>
      <c r="C3" s="256"/>
      <c r="D3" s="260"/>
      <c r="E3" s="256"/>
      <c r="F3" s="264"/>
      <c r="G3" s="267" t="str">
        <f>IF(COUNTIF(H3:AU3,"&lt;&gt;")=0,"",SUMPRODUCT(((Recommendations[ImplStatus]="Implemented")+(Recommendations[ImplStatus]="Compensated"))*ISNUMBER(MATCH(Recommendations[Id],H3:AU3,0)))/COUNTIF(H3:AU3,"&lt;&gt;"))</f>
        <v/>
      </c>
      <c r="H3" s="264"/>
      <c r="I3" s="264"/>
      <c r="J3" s="264"/>
      <c r="K3" s="264"/>
      <c r="L3" s="264"/>
      <c r="M3" s="264"/>
      <c r="N3" s="264"/>
      <c r="O3" s="264"/>
      <c r="P3" s="264"/>
      <c r="Q3" s="264"/>
      <c r="R3" s="264"/>
      <c r="S3" s="264"/>
      <c r="T3" s="264"/>
      <c r="U3" s="264"/>
      <c r="V3" s="264"/>
      <c r="W3" s="264"/>
      <c r="X3" s="264"/>
      <c r="Y3" s="264"/>
      <c r="Z3" s="264"/>
      <c r="AA3" s="264"/>
      <c r="AB3" s="264"/>
      <c r="AC3" s="264"/>
      <c r="AD3" s="264"/>
      <c r="AE3" s="264"/>
      <c r="AF3" s="264"/>
      <c r="AG3" s="264"/>
      <c r="AH3" s="264"/>
      <c r="AI3" s="264"/>
      <c r="AJ3" s="264"/>
      <c r="AK3" s="264"/>
      <c r="AL3" s="264"/>
      <c r="AM3" s="264"/>
      <c r="AN3" s="264"/>
      <c r="AO3" s="264"/>
      <c r="AP3" s="264"/>
      <c r="AQ3" s="264"/>
      <c r="AR3" s="264"/>
      <c r="AS3" s="264"/>
      <c r="AT3" s="264"/>
      <c r="AU3" s="282"/>
    </row>
    <row r="4" spans="1:47" ht="60" customHeight="1" x14ac:dyDescent="0.35">
      <c r="A4" s="279" t="s">
        <v>6518</v>
      </c>
      <c r="B4" s="257" t="s">
        <v>6519</v>
      </c>
      <c r="C4" s="258" t="s">
        <v>6520</v>
      </c>
      <c r="D4" s="261" t="s">
        <v>6521</v>
      </c>
      <c r="E4" s="262" t="s">
        <v>6522</v>
      </c>
      <c r="F4" s="265" t="s">
        <v>6523</v>
      </c>
      <c r="G4" s="268" t="str">
        <f>IF(COUNTIF(H4:AU4,"&lt;&gt;")=0,"",SUMPRODUCT(((Recommendations[ImplStatus]="Implemented")+(Recommendations[ImplStatus]="Compensated"))*ISNUMBER(MATCH(Recommendations[Id],H4:AU4,0)))/COUNTIF(H4:AU4,"&lt;&gt;"))</f>
        <v/>
      </c>
      <c r="H4" s="269"/>
      <c r="I4" s="269"/>
      <c r="J4" s="269"/>
      <c r="K4" s="269"/>
      <c r="L4" s="269"/>
      <c r="M4" s="269"/>
      <c r="N4" s="269"/>
      <c r="O4" s="269"/>
      <c r="P4" s="269"/>
      <c r="Q4" s="269"/>
      <c r="R4" s="269"/>
      <c r="S4" s="269"/>
      <c r="T4" s="269"/>
      <c r="U4" s="269"/>
      <c r="V4" s="269"/>
      <c r="W4" s="269"/>
      <c r="X4" s="269"/>
      <c r="Y4" s="269"/>
      <c r="Z4" s="269"/>
      <c r="AA4" s="269"/>
      <c r="AB4" s="269"/>
      <c r="AC4" s="269"/>
      <c r="AD4" s="269"/>
      <c r="AE4" s="269"/>
      <c r="AF4" s="269"/>
      <c r="AG4" s="269"/>
      <c r="AH4" s="269"/>
      <c r="AI4" s="269"/>
      <c r="AJ4" s="269"/>
      <c r="AK4" s="269"/>
      <c r="AL4" s="269"/>
      <c r="AM4" s="269"/>
      <c r="AN4" s="269"/>
      <c r="AO4" s="269"/>
      <c r="AP4" s="269"/>
      <c r="AQ4" s="269"/>
      <c r="AR4" s="269"/>
      <c r="AS4" s="269"/>
      <c r="AT4" s="269"/>
      <c r="AU4" s="283"/>
    </row>
    <row r="5" spans="1:47" ht="60" customHeight="1" x14ac:dyDescent="0.35">
      <c r="A5" s="279" t="s">
        <v>6518</v>
      </c>
      <c r="B5" s="257" t="s">
        <v>6519</v>
      </c>
      <c r="C5" s="258" t="s">
        <v>6524</v>
      </c>
      <c r="D5" s="261" t="s">
        <v>6525</v>
      </c>
      <c r="E5" s="262" t="s">
        <v>6522</v>
      </c>
      <c r="F5" s="265" t="s">
        <v>6523</v>
      </c>
      <c r="G5" s="268" t="str">
        <f>IF(COUNTIF(H5:AU5,"&lt;&gt;")=0,"",SUMPRODUCT(((Recommendations[ImplStatus]="Implemented")+(Recommendations[ImplStatus]="Compensated"))*ISNUMBER(MATCH(Recommendations[Id],H5:AU5,0)))/COUNTIF(H5:AU5,"&lt;&gt;"))</f>
        <v/>
      </c>
      <c r="H5" s="269"/>
      <c r="I5" s="269"/>
      <c r="J5" s="269"/>
      <c r="K5" s="269"/>
      <c r="L5" s="269"/>
      <c r="M5" s="269"/>
      <c r="N5" s="269"/>
      <c r="O5" s="269"/>
      <c r="P5" s="269"/>
      <c r="Q5" s="269"/>
      <c r="R5" s="269"/>
      <c r="S5" s="269"/>
      <c r="T5" s="269"/>
      <c r="U5" s="269"/>
      <c r="V5" s="269"/>
      <c r="W5" s="269"/>
      <c r="X5" s="269"/>
      <c r="Y5" s="269"/>
      <c r="Z5" s="269"/>
      <c r="AA5" s="269"/>
      <c r="AB5" s="269"/>
      <c r="AC5" s="269"/>
      <c r="AD5" s="269"/>
      <c r="AE5" s="269"/>
      <c r="AF5" s="269"/>
      <c r="AG5" s="269"/>
      <c r="AH5" s="269"/>
      <c r="AI5" s="269"/>
      <c r="AJ5" s="269"/>
      <c r="AK5" s="269"/>
      <c r="AL5" s="269"/>
      <c r="AM5" s="269"/>
      <c r="AN5" s="269"/>
      <c r="AO5" s="269"/>
      <c r="AP5" s="269"/>
      <c r="AQ5" s="269"/>
      <c r="AR5" s="269"/>
      <c r="AS5" s="269"/>
      <c r="AT5" s="269"/>
      <c r="AU5" s="283"/>
    </row>
    <row r="6" spans="1:47" ht="60" customHeight="1" x14ac:dyDescent="0.35">
      <c r="A6" s="279" t="s">
        <v>6518</v>
      </c>
      <c r="B6" s="257" t="s">
        <v>6519</v>
      </c>
      <c r="C6" s="258" t="s">
        <v>6526</v>
      </c>
      <c r="D6" s="261" t="s">
        <v>6527</v>
      </c>
      <c r="E6" s="262" t="s">
        <v>6522</v>
      </c>
      <c r="F6" s="265" t="s">
        <v>6523</v>
      </c>
      <c r="G6" s="268" t="str">
        <f>IF(COUNTIF(H6:AU6,"&lt;&gt;")=0,"",SUMPRODUCT(((Recommendations[ImplStatus]="Implemented")+(Recommendations[ImplStatus]="Compensated"))*ISNUMBER(MATCH(Recommendations[Id],H6:AU6,0)))/COUNTIF(H6:AU6,"&lt;&gt;"))</f>
        <v/>
      </c>
      <c r="H6" s="269"/>
      <c r="I6" s="269"/>
      <c r="J6" s="269"/>
      <c r="K6" s="269"/>
      <c r="L6" s="269"/>
      <c r="M6" s="269"/>
      <c r="N6" s="269"/>
      <c r="O6" s="269"/>
      <c r="P6" s="269"/>
      <c r="Q6" s="269"/>
      <c r="R6" s="269"/>
      <c r="S6" s="269"/>
      <c r="T6" s="269"/>
      <c r="U6" s="269"/>
      <c r="V6" s="269"/>
      <c r="W6" s="269"/>
      <c r="X6" s="269"/>
      <c r="Y6" s="269"/>
      <c r="Z6" s="269"/>
      <c r="AA6" s="269"/>
      <c r="AB6" s="269"/>
      <c r="AC6" s="269"/>
      <c r="AD6" s="269"/>
      <c r="AE6" s="269"/>
      <c r="AF6" s="269"/>
      <c r="AG6" s="269"/>
      <c r="AH6" s="269"/>
      <c r="AI6" s="269"/>
      <c r="AJ6" s="269"/>
      <c r="AK6" s="269"/>
      <c r="AL6" s="269"/>
      <c r="AM6" s="269"/>
      <c r="AN6" s="269"/>
      <c r="AO6" s="269"/>
      <c r="AP6" s="269"/>
      <c r="AQ6" s="269"/>
      <c r="AR6" s="269"/>
      <c r="AS6" s="269"/>
      <c r="AT6" s="269"/>
      <c r="AU6" s="283"/>
    </row>
    <row r="7" spans="1:47" ht="60" customHeight="1" x14ac:dyDescent="0.35">
      <c r="A7" s="279" t="s">
        <v>6518</v>
      </c>
      <c r="B7" s="257" t="s">
        <v>6519</v>
      </c>
      <c r="C7" s="258" t="s">
        <v>6528</v>
      </c>
      <c r="D7" s="261" t="s">
        <v>6529</v>
      </c>
      <c r="E7" s="262" t="s">
        <v>6522</v>
      </c>
      <c r="F7" s="265" t="s">
        <v>6523</v>
      </c>
      <c r="G7" s="268" t="str">
        <f>IF(COUNTIF(H7:AU7,"&lt;&gt;")=0,"",SUMPRODUCT(((Recommendations[ImplStatus]="Implemented")+(Recommendations[ImplStatus]="Compensated"))*ISNUMBER(MATCH(Recommendations[Id],H7:AU7,0)))/COUNTIF(H7:AU7,"&lt;&gt;"))</f>
        <v/>
      </c>
      <c r="H7" s="269"/>
      <c r="I7" s="269"/>
      <c r="J7" s="269"/>
      <c r="K7" s="269"/>
      <c r="L7" s="269"/>
      <c r="M7" s="269"/>
      <c r="N7" s="269"/>
      <c r="O7" s="269"/>
      <c r="P7" s="269"/>
      <c r="Q7" s="269"/>
      <c r="R7" s="269"/>
      <c r="S7" s="269"/>
      <c r="T7" s="269"/>
      <c r="U7" s="269"/>
      <c r="V7" s="269"/>
      <c r="W7" s="269"/>
      <c r="X7" s="269"/>
      <c r="Y7" s="269"/>
      <c r="Z7" s="269"/>
      <c r="AA7" s="269"/>
      <c r="AB7" s="269"/>
      <c r="AC7" s="269"/>
      <c r="AD7" s="269"/>
      <c r="AE7" s="269"/>
      <c r="AF7" s="269"/>
      <c r="AG7" s="269"/>
      <c r="AH7" s="269"/>
      <c r="AI7" s="269"/>
      <c r="AJ7" s="269"/>
      <c r="AK7" s="269"/>
      <c r="AL7" s="269"/>
      <c r="AM7" s="269"/>
      <c r="AN7" s="269"/>
      <c r="AO7" s="269"/>
      <c r="AP7" s="269"/>
      <c r="AQ7" s="269"/>
      <c r="AR7" s="269"/>
      <c r="AS7" s="269"/>
      <c r="AT7" s="269"/>
      <c r="AU7" s="283"/>
    </row>
    <row r="8" spans="1:47" ht="60" customHeight="1" x14ac:dyDescent="0.35">
      <c r="A8" s="279" t="s">
        <v>6518</v>
      </c>
      <c r="B8" s="257" t="s">
        <v>6519</v>
      </c>
      <c r="C8" s="258" t="s">
        <v>6530</v>
      </c>
      <c r="D8" s="261" t="s">
        <v>6531</v>
      </c>
      <c r="E8" s="262" t="s">
        <v>6522</v>
      </c>
      <c r="F8" s="265" t="s">
        <v>6523</v>
      </c>
      <c r="G8" s="268" t="str">
        <f>IF(COUNTIF(H8:AU8,"&lt;&gt;")=0,"",SUMPRODUCT(((Recommendations[ImplStatus]="Implemented")+(Recommendations[ImplStatus]="Compensated"))*ISNUMBER(MATCH(Recommendations[Id],H8:AU8,0)))/COUNTIF(H8:AU8,"&lt;&gt;"))</f>
        <v/>
      </c>
      <c r="H8" s="269"/>
      <c r="I8" s="269"/>
      <c r="J8" s="269"/>
      <c r="K8" s="269"/>
      <c r="L8" s="269"/>
      <c r="M8" s="269"/>
      <c r="N8" s="269"/>
      <c r="O8" s="269"/>
      <c r="P8" s="269"/>
      <c r="Q8" s="269"/>
      <c r="R8" s="269"/>
      <c r="S8" s="269"/>
      <c r="T8" s="269"/>
      <c r="U8" s="269"/>
      <c r="V8" s="269"/>
      <c r="W8" s="269"/>
      <c r="X8" s="269"/>
      <c r="Y8" s="269"/>
      <c r="Z8" s="269"/>
      <c r="AA8" s="269"/>
      <c r="AB8" s="269"/>
      <c r="AC8" s="269"/>
      <c r="AD8" s="269"/>
      <c r="AE8" s="269"/>
      <c r="AF8" s="269"/>
      <c r="AG8" s="269"/>
      <c r="AH8" s="269"/>
      <c r="AI8" s="269"/>
      <c r="AJ8" s="269"/>
      <c r="AK8" s="269"/>
      <c r="AL8" s="269"/>
      <c r="AM8" s="269"/>
      <c r="AN8" s="269"/>
      <c r="AO8" s="269"/>
      <c r="AP8" s="269"/>
      <c r="AQ8" s="269"/>
      <c r="AR8" s="269"/>
      <c r="AS8" s="269"/>
      <c r="AT8" s="269"/>
      <c r="AU8" s="283"/>
    </row>
    <row r="9" spans="1:47" ht="60" customHeight="1" x14ac:dyDescent="0.35">
      <c r="A9" s="279" t="s">
        <v>6518</v>
      </c>
      <c r="B9" s="257" t="s">
        <v>6519</v>
      </c>
      <c r="C9" s="258" t="s">
        <v>6532</v>
      </c>
      <c r="D9" s="261" t="s">
        <v>6533</v>
      </c>
      <c r="E9" s="262" t="s">
        <v>6522</v>
      </c>
      <c r="F9" s="265" t="s">
        <v>6523</v>
      </c>
      <c r="G9" s="268" t="str">
        <f>IF(COUNTIF(H9:AU9,"&lt;&gt;")=0,"",SUMPRODUCT(((Recommendations[ImplStatus]="Implemented")+(Recommendations[ImplStatus]="Compensated"))*ISNUMBER(MATCH(Recommendations[Id],H9:AU9,0)))/COUNTIF(H9:AU9,"&lt;&gt;"))</f>
        <v/>
      </c>
      <c r="H9" s="269"/>
      <c r="I9" s="269"/>
      <c r="J9" s="269"/>
      <c r="K9" s="269"/>
      <c r="L9" s="269"/>
      <c r="M9" s="269"/>
      <c r="N9" s="269"/>
      <c r="O9" s="269"/>
      <c r="P9" s="269"/>
      <c r="Q9" s="269"/>
      <c r="R9" s="269"/>
      <c r="S9" s="269"/>
      <c r="T9" s="269"/>
      <c r="U9" s="269"/>
      <c r="V9" s="269"/>
      <c r="W9" s="269"/>
      <c r="X9" s="269"/>
      <c r="Y9" s="269"/>
      <c r="Z9" s="269"/>
      <c r="AA9" s="269"/>
      <c r="AB9" s="269"/>
      <c r="AC9" s="269"/>
      <c r="AD9" s="269"/>
      <c r="AE9" s="269"/>
      <c r="AF9" s="269"/>
      <c r="AG9" s="269"/>
      <c r="AH9" s="269"/>
      <c r="AI9" s="269"/>
      <c r="AJ9" s="269"/>
      <c r="AK9" s="269"/>
      <c r="AL9" s="269"/>
      <c r="AM9" s="269"/>
      <c r="AN9" s="269"/>
      <c r="AO9" s="269"/>
      <c r="AP9" s="269"/>
      <c r="AQ9" s="269"/>
      <c r="AR9" s="269"/>
      <c r="AS9" s="269"/>
      <c r="AT9" s="269"/>
      <c r="AU9" s="283"/>
    </row>
    <row r="10" spans="1:47" ht="60" customHeight="1" x14ac:dyDescent="0.35">
      <c r="A10" s="279" t="s">
        <v>6518</v>
      </c>
      <c r="B10" s="257" t="s">
        <v>6519</v>
      </c>
      <c r="C10" s="258" t="s">
        <v>6534</v>
      </c>
      <c r="D10" s="261" t="s">
        <v>6535</v>
      </c>
      <c r="E10" s="262" t="s">
        <v>6522</v>
      </c>
      <c r="F10" s="265" t="s">
        <v>6523</v>
      </c>
      <c r="G10" s="268" t="str">
        <f>IF(COUNTIF(H10:AU10,"&lt;&gt;")=0,"",SUMPRODUCT(((Recommendations[ImplStatus]="Implemented")+(Recommendations[ImplStatus]="Compensated"))*ISNUMBER(MATCH(Recommendations[Id],H10:AU10,0)))/COUNTIF(H10:AU10,"&lt;&gt;"))</f>
        <v/>
      </c>
      <c r="H10" s="269"/>
      <c r="I10" s="269"/>
      <c r="J10" s="269"/>
      <c r="K10" s="269"/>
      <c r="L10" s="269"/>
      <c r="M10" s="269"/>
      <c r="N10" s="269"/>
      <c r="O10" s="269"/>
      <c r="P10" s="269"/>
      <c r="Q10" s="269"/>
      <c r="R10" s="269"/>
      <c r="S10" s="269"/>
      <c r="T10" s="269"/>
      <c r="U10" s="269"/>
      <c r="V10" s="269"/>
      <c r="W10" s="269"/>
      <c r="X10" s="269"/>
      <c r="Y10" s="269"/>
      <c r="Z10" s="269"/>
      <c r="AA10" s="269"/>
      <c r="AB10" s="269"/>
      <c r="AC10" s="269"/>
      <c r="AD10" s="269"/>
      <c r="AE10" s="269"/>
      <c r="AF10" s="269"/>
      <c r="AG10" s="269"/>
      <c r="AH10" s="269"/>
      <c r="AI10" s="269"/>
      <c r="AJ10" s="269"/>
      <c r="AK10" s="269"/>
      <c r="AL10" s="269"/>
      <c r="AM10" s="269"/>
      <c r="AN10" s="269"/>
      <c r="AO10" s="269"/>
      <c r="AP10" s="269"/>
      <c r="AQ10" s="269"/>
      <c r="AR10" s="269"/>
      <c r="AS10" s="269"/>
      <c r="AT10" s="269"/>
      <c r="AU10" s="283"/>
    </row>
    <row r="11" spans="1:47" ht="60" customHeight="1" x14ac:dyDescent="0.35">
      <c r="A11" s="279" t="s">
        <v>6518</v>
      </c>
      <c r="B11" s="257" t="s">
        <v>6519</v>
      </c>
      <c r="C11" s="258" t="s">
        <v>6536</v>
      </c>
      <c r="D11" s="261" t="s">
        <v>6537</v>
      </c>
      <c r="E11" s="262" t="s">
        <v>6522</v>
      </c>
      <c r="F11" s="265" t="s">
        <v>6523</v>
      </c>
      <c r="G11" s="268" t="str">
        <f>IF(COUNTIF(H11:AU11,"&lt;&gt;")=0,"",SUMPRODUCT(((Recommendations[ImplStatus]="Implemented")+(Recommendations[ImplStatus]="Compensated"))*ISNUMBER(MATCH(Recommendations[Id],H11:AU11,0)))/COUNTIF(H11:AU11,"&lt;&gt;"))</f>
        <v/>
      </c>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c r="AK11" s="269"/>
      <c r="AL11" s="269"/>
      <c r="AM11" s="269"/>
      <c r="AN11" s="269"/>
      <c r="AO11" s="269"/>
      <c r="AP11" s="269"/>
      <c r="AQ11" s="269"/>
      <c r="AR11" s="269"/>
      <c r="AS11" s="269"/>
      <c r="AT11" s="269"/>
      <c r="AU11" s="283"/>
    </row>
    <row r="12" spans="1:47" ht="60" customHeight="1" x14ac:dyDescent="0.35">
      <c r="A12" s="279" t="s">
        <v>6518</v>
      </c>
      <c r="B12" s="257" t="s">
        <v>6519</v>
      </c>
      <c r="C12" s="258" t="s">
        <v>6538</v>
      </c>
      <c r="D12" s="261" t="s">
        <v>6539</v>
      </c>
      <c r="E12" s="262" t="s">
        <v>6522</v>
      </c>
      <c r="F12" s="265" t="s">
        <v>6523</v>
      </c>
      <c r="G12" s="268" t="str">
        <f>IF(COUNTIF(H12:AU12,"&lt;&gt;")=0,"",SUMPRODUCT(((Recommendations[ImplStatus]="Implemented")+(Recommendations[ImplStatus]="Compensated"))*ISNUMBER(MATCH(Recommendations[Id],H12:AU12,0)))/COUNTIF(H12:AU12,"&lt;&gt;"))</f>
        <v/>
      </c>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c r="AK12" s="269"/>
      <c r="AL12" s="269"/>
      <c r="AM12" s="269"/>
      <c r="AN12" s="269"/>
      <c r="AO12" s="269"/>
      <c r="AP12" s="269"/>
      <c r="AQ12" s="269"/>
      <c r="AR12" s="269"/>
      <c r="AS12" s="269"/>
      <c r="AT12" s="269"/>
      <c r="AU12" s="283"/>
    </row>
    <row r="13" spans="1:47" ht="60" customHeight="1" x14ac:dyDescent="0.35">
      <c r="A13" s="279" t="s">
        <v>6518</v>
      </c>
      <c r="B13" s="257" t="s">
        <v>6519</v>
      </c>
      <c r="C13" s="258" t="s">
        <v>6540</v>
      </c>
      <c r="D13" s="261" t="s">
        <v>6541</v>
      </c>
      <c r="E13" s="262" t="s">
        <v>6522</v>
      </c>
      <c r="F13" s="265" t="s">
        <v>6523</v>
      </c>
      <c r="G13" s="268" t="str">
        <f>IF(COUNTIF(H13:AU13,"&lt;&gt;")=0,"",SUMPRODUCT(((Recommendations[ImplStatus]="Implemented")+(Recommendations[ImplStatus]="Compensated"))*ISNUMBER(MATCH(Recommendations[Id],H13:AU13,0)))/COUNTIF(H13:AU13,"&lt;&gt;"))</f>
        <v/>
      </c>
      <c r="H13" s="269"/>
      <c r="I13" s="269"/>
      <c r="J13" s="269"/>
      <c r="K13" s="269"/>
      <c r="L13" s="269"/>
      <c r="M13" s="269"/>
      <c r="N13" s="269"/>
      <c r="O13" s="269"/>
      <c r="P13" s="269"/>
      <c r="Q13" s="269"/>
      <c r="R13" s="269"/>
      <c r="S13" s="269"/>
      <c r="T13" s="269"/>
      <c r="U13" s="269"/>
      <c r="V13" s="269"/>
      <c r="W13" s="269"/>
      <c r="X13" s="269"/>
      <c r="Y13" s="269"/>
      <c r="Z13" s="269"/>
      <c r="AA13" s="269"/>
      <c r="AB13" s="269"/>
      <c r="AC13" s="269"/>
      <c r="AD13" s="269"/>
      <c r="AE13" s="269"/>
      <c r="AF13" s="269"/>
      <c r="AG13" s="269"/>
      <c r="AH13" s="269"/>
      <c r="AI13" s="269"/>
      <c r="AJ13" s="269"/>
      <c r="AK13" s="269"/>
      <c r="AL13" s="269"/>
      <c r="AM13" s="269"/>
      <c r="AN13" s="269"/>
      <c r="AO13" s="269"/>
      <c r="AP13" s="269"/>
      <c r="AQ13" s="269"/>
      <c r="AR13" s="269"/>
      <c r="AS13" s="269"/>
      <c r="AT13" s="269"/>
      <c r="AU13" s="283"/>
    </row>
    <row r="14" spans="1:47" ht="60" customHeight="1" x14ac:dyDescent="0.35">
      <c r="A14" s="279" t="s">
        <v>6518</v>
      </c>
      <c r="B14" s="257" t="s">
        <v>6519</v>
      </c>
      <c r="C14" s="258" t="s">
        <v>6542</v>
      </c>
      <c r="D14" s="261" t="s">
        <v>6543</v>
      </c>
      <c r="E14" s="262" t="s">
        <v>6522</v>
      </c>
      <c r="F14" s="265" t="s">
        <v>6523</v>
      </c>
      <c r="G14" s="268" t="str">
        <f>IF(COUNTIF(H14:AU14,"&lt;&gt;")=0,"",SUMPRODUCT(((Recommendations[ImplStatus]="Implemented")+(Recommendations[ImplStatus]="Compensated"))*ISNUMBER(MATCH(Recommendations[Id],H14:AU14,0)))/COUNTIF(H14:AU14,"&lt;&gt;"))</f>
        <v/>
      </c>
      <c r="H14" s="269"/>
      <c r="I14" s="269"/>
      <c r="J14" s="269"/>
      <c r="K14" s="269"/>
      <c r="L14" s="269"/>
      <c r="M14" s="269"/>
      <c r="N14" s="269"/>
      <c r="O14" s="269"/>
      <c r="P14" s="269"/>
      <c r="Q14" s="269"/>
      <c r="R14" s="269"/>
      <c r="S14" s="269"/>
      <c r="T14" s="269"/>
      <c r="U14" s="269"/>
      <c r="V14" s="269"/>
      <c r="W14" s="269"/>
      <c r="X14" s="269"/>
      <c r="Y14" s="269"/>
      <c r="Z14" s="269"/>
      <c r="AA14" s="269"/>
      <c r="AB14" s="269"/>
      <c r="AC14" s="269"/>
      <c r="AD14" s="269"/>
      <c r="AE14" s="269"/>
      <c r="AF14" s="269"/>
      <c r="AG14" s="269"/>
      <c r="AH14" s="269"/>
      <c r="AI14" s="269"/>
      <c r="AJ14" s="269"/>
      <c r="AK14" s="269"/>
      <c r="AL14" s="269"/>
      <c r="AM14" s="269"/>
      <c r="AN14" s="269"/>
      <c r="AO14" s="269"/>
      <c r="AP14" s="269"/>
      <c r="AQ14" s="269"/>
      <c r="AR14" s="269"/>
      <c r="AS14" s="269"/>
      <c r="AT14" s="269"/>
      <c r="AU14" s="283"/>
    </row>
    <row r="15" spans="1:47" ht="60" customHeight="1" x14ac:dyDescent="0.35">
      <c r="A15" s="279" t="s">
        <v>6518</v>
      </c>
      <c r="B15" s="257" t="s">
        <v>6519</v>
      </c>
      <c r="C15" s="258" t="s">
        <v>6544</v>
      </c>
      <c r="D15" s="261" t="s">
        <v>6545</v>
      </c>
      <c r="E15" s="262" t="s">
        <v>6522</v>
      </c>
      <c r="F15" s="265" t="s">
        <v>6523</v>
      </c>
      <c r="G15" s="268" t="str">
        <f>IF(COUNTIF(H15:AU15,"&lt;&gt;")=0,"",SUMPRODUCT(((Recommendations[ImplStatus]="Implemented")+(Recommendations[ImplStatus]="Compensated"))*ISNUMBER(MATCH(Recommendations[Id],H15:AU15,0)))/COUNTIF(H15:AU15,"&lt;&gt;"))</f>
        <v/>
      </c>
      <c r="H15" s="269"/>
      <c r="I15" s="269"/>
      <c r="J15" s="269"/>
      <c r="K15" s="269"/>
      <c r="L15" s="269"/>
      <c r="M15" s="269"/>
      <c r="N15" s="269"/>
      <c r="O15" s="269"/>
      <c r="P15" s="269"/>
      <c r="Q15" s="269"/>
      <c r="R15" s="269"/>
      <c r="S15" s="269"/>
      <c r="T15" s="269"/>
      <c r="U15" s="269"/>
      <c r="V15" s="269"/>
      <c r="W15" s="269"/>
      <c r="X15" s="269"/>
      <c r="Y15" s="269"/>
      <c r="Z15" s="269"/>
      <c r="AA15" s="269"/>
      <c r="AB15" s="269"/>
      <c r="AC15" s="269"/>
      <c r="AD15" s="269"/>
      <c r="AE15" s="269"/>
      <c r="AF15" s="269"/>
      <c r="AG15" s="269"/>
      <c r="AH15" s="269"/>
      <c r="AI15" s="269"/>
      <c r="AJ15" s="269"/>
      <c r="AK15" s="269"/>
      <c r="AL15" s="269"/>
      <c r="AM15" s="269"/>
      <c r="AN15" s="269"/>
      <c r="AO15" s="269"/>
      <c r="AP15" s="269"/>
      <c r="AQ15" s="269"/>
      <c r="AR15" s="269"/>
      <c r="AS15" s="269"/>
      <c r="AT15" s="269"/>
      <c r="AU15" s="283"/>
    </row>
    <row r="16" spans="1:47" ht="60" customHeight="1" x14ac:dyDescent="0.35">
      <c r="A16" s="279" t="s">
        <v>6518</v>
      </c>
      <c r="B16" s="257" t="s">
        <v>6519</v>
      </c>
      <c r="C16" s="258" t="s">
        <v>6546</v>
      </c>
      <c r="D16" s="261" t="s">
        <v>6547</v>
      </c>
      <c r="E16" s="262" t="s">
        <v>6522</v>
      </c>
      <c r="F16" s="265" t="s">
        <v>6523</v>
      </c>
      <c r="G16" s="268" t="str">
        <f>IF(COUNTIF(H16:AU16,"&lt;&gt;")=0,"",SUMPRODUCT(((Recommendations[ImplStatus]="Implemented")+(Recommendations[ImplStatus]="Compensated"))*ISNUMBER(MATCH(Recommendations[Id],H16:AU16,0)))/COUNTIF(H16:AU16,"&lt;&gt;"))</f>
        <v/>
      </c>
      <c r="H16" s="269"/>
      <c r="I16" s="269"/>
      <c r="J16" s="269"/>
      <c r="K16" s="269"/>
      <c r="L16" s="269"/>
      <c r="M16" s="269"/>
      <c r="N16" s="269"/>
      <c r="O16" s="269"/>
      <c r="P16" s="269"/>
      <c r="Q16" s="269"/>
      <c r="R16" s="269"/>
      <c r="S16" s="269"/>
      <c r="T16" s="269"/>
      <c r="U16" s="269"/>
      <c r="V16" s="269"/>
      <c r="W16" s="269"/>
      <c r="X16" s="269"/>
      <c r="Y16" s="269"/>
      <c r="Z16" s="269"/>
      <c r="AA16" s="269"/>
      <c r="AB16" s="269"/>
      <c r="AC16" s="269"/>
      <c r="AD16" s="269"/>
      <c r="AE16" s="269"/>
      <c r="AF16" s="269"/>
      <c r="AG16" s="269"/>
      <c r="AH16" s="269"/>
      <c r="AI16" s="269"/>
      <c r="AJ16" s="269"/>
      <c r="AK16" s="269"/>
      <c r="AL16" s="269"/>
      <c r="AM16" s="269"/>
      <c r="AN16" s="269"/>
      <c r="AO16" s="269"/>
      <c r="AP16" s="269"/>
      <c r="AQ16" s="269"/>
      <c r="AR16" s="269"/>
      <c r="AS16" s="269"/>
      <c r="AT16" s="269"/>
      <c r="AU16" s="283"/>
    </row>
    <row r="17" spans="1:47" ht="60" customHeight="1" outlineLevel="2" x14ac:dyDescent="0.35">
      <c r="A17" s="278" t="s">
        <v>6518</v>
      </c>
      <c r="B17" s="256" t="s">
        <v>6548</v>
      </c>
      <c r="C17" s="256"/>
      <c r="D17" s="260"/>
      <c r="E17" s="256"/>
      <c r="F17" s="264"/>
      <c r="G17" s="267" t="str">
        <f>IF(COUNTIF(H17:AU17,"&lt;&gt;")=0,"",SUMPRODUCT(((Recommendations[ImplStatus]="Implemented")+(Recommendations[ImplStatus]="Compensated"))*ISNUMBER(MATCH(Recommendations[Id],H17:AU17,0)))/COUNTIF(H17:AU17,"&lt;&gt;"))</f>
        <v/>
      </c>
      <c r="H17" s="264"/>
      <c r="I17" s="264"/>
      <c r="J17" s="264"/>
      <c r="K17" s="264"/>
      <c r="L17" s="264"/>
      <c r="M17" s="264"/>
      <c r="N17" s="264"/>
      <c r="O17" s="264"/>
      <c r="P17" s="264"/>
      <c r="Q17" s="264"/>
      <c r="R17" s="264"/>
      <c r="S17" s="264"/>
      <c r="T17" s="264"/>
      <c r="U17" s="264"/>
      <c r="V17" s="264"/>
      <c r="W17" s="264"/>
      <c r="X17" s="264"/>
      <c r="Y17" s="264"/>
      <c r="Z17" s="264"/>
      <c r="AA17" s="264"/>
      <c r="AB17" s="264"/>
      <c r="AC17" s="264"/>
      <c r="AD17" s="264"/>
      <c r="AE17" s="264"/>
      <c r="AF17" s="264"/>
      <c r="AG17" s="264"/>
      <c r="AH17" s="264"/>
      <c r="AI17" s="264"/>
      <c r="AJ17" s="264"/>
      <c r="AK17" s="264"/>
      <c r="AL17" s="264"/>
      <c r="AM17" s="264"/>
      <c r="AN17" s="264"/>
      <c r="AO17" s="264"/>
      <c r="AP17" s="264"/>
      <c r="AQ17" s="264"/>
      <c r="AR17" s="264"/>
      <c r="AS17" s="264"/>
      <c r="AT17" s="264"/>
      <c r="AU17" s="282"/>
    </row>
    <row r="18" spans="1:47" ht="60" customHeight="1" x14ac:dyDescent="0.35">
      <c r="A18" s="279" t="s">
        <v>6518</v>
      </c>
      <c r="B18" s="257" t="s">
        <v>6548</v>
      </c>
      <c r="C18" s="258" t="s">
        <v>6549</v>
      </c>
      <c r="D18" s="261" t="s">
        <v>6550</v>
      </c>
      <c r="E18" s="262" t="s">
        <v>6551</v>
      </c>
      <c r="F18" s="265" t="s">
        <v>6552</v>
      </c>
      <c r="G18" s="268" t="str">
        <f>IF(COUNTIF(H18:AU18,"&lt;&gt;")=0,"",SUMPRODUCT(((Recommendations[ImplStatus]="Implemented")+(Recommendations[ImplStatus]="Compensated"))*ISNUMBER(MATCH(Recommendations[Id],H18:AU18,0)))/COUNTIF(H18:AU18,"&lt;&gt;"))</f>
        <v/>
      </c>
      <c r="H18" s="269"/>
      <c r="I18" s="269"/>
      <c r="J18" s="269"/>
      <c r="K18" s="269"/>
      <c r="L18" s="269"/>
      <c r="M18" s="269"/>
      <c r="N18" s="269"/>
      <c r="O18" s="269"/>
      <c r="P18" s="269"/>
      <c r="Q18" s="269"/>
      <c r="R18" s="269"/>
      <c r="S18" s="269"/>
      <c r="T18" s="269"/>
      <c r="U18" s="269"/>
      <c r="V18" s="269"/>
      <c r="W18" s="269"/>
      <c r="X18" s="269"/>
      <c r="Y18" s="269"/>
      <c r="Z18" s="269"/>
      <c r="AA18" s="269"/>
      <c r="AB18" s="269"/>
      <c r="AC18" s="269"/>
      <c r="AD18" s="269"/>
      <c r="AE18" s="269"/>
      <c r="AF18" s="269"/>
      <c r="AG18" s="269"/>
      <c r="AH18" s="269"/>
      <c r="AI18" s="269"/>
      <c r="AJ18" s="269"/>
      <c r="AK18" s="269"/>
      <c r="AL18" s="269"/>
      <c r="AM18" s="269"/>
      <c r="AN18" s="269"/>
      <c r="AO18" s="269"/>
      <c r="AP18" s="269"/>
      <c r="AQ18" s="269"/>
      <c r="AR18" s="269"/>
      <c r="AS18" s="269"/>
      <c r="AT18" s="269"/>
      <c r="AU18" s="283"/>
    </row>
    <row r="19" spans="1:47" ht="60" customHeight="1" x14ac:dyDescent="0.35">
      <c r="A19" s="279" t="s">
        <v>6518</v>
      </c>
      <c r="B19" s="257" t="s">
        <v>6548</v>
      </c>
      <c r="C19" s="258" t="s">
        <v>6553</v>
      </c>
      <c r="D19" s="261" t="s">
        <v>6554</v>
      </c>
      <c r="E19" s="262" t="s">
        <v>6551</v>
      </c>
      <c r="F19" s="265" t="s">
        <v>6552</v>
      </c>
      <c r="G19" s="268" t="str">
        <f>IF(COUNTIF(H19:AU19,"&lt;&gt;")=0,"",SUMPRODUCT(((Recommendations[ImplStatus]="Implemented")+(Recommendations[ImplStatus]="Compensated"))*ISNUMBER(MATCH(Recommendations[Id],H19:AU19,0)))/COUNTIF(H19:AU19,"&lt;&gt;"))</f>
        <v/>
      </c>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83"/>
    </row>
    <row r="20" spans="1:47" ht="60" customHeight="1" x14ac:dyDescent="0.35">
      <c r="A20" s="279" t="s">
        <v>6518</v>
      </c>
      <c r="B20" s="257" t="s">
        <v>6548</v>
      </c>
      <c r="C20" s="258" t="s">
        <v>6555</v>
      </c>
      <c r="D20" s="261" t="s">
        <v>6556</v>
      </c>
      <c r="E20" s="262" t="s">
        <v>6551</v>
      </c>
      <c r="F20" s="265" t="s">
        <v>6552</v>
      </c>
      <c r="G20" s="268" t="str">
        <f>IF(COUNTIF(H20:AU20,"&lt;&gt;")=0,"",SUMPRODUCT(((Recommendations[ImplStatus]="Implemented")+(Recommendations[ImplStatus]="Compensated"))*ISNUMBER(MATCH(Recommendations[Id],H20:AU20,0)))/COUNTIF(H20:AU20,"&lt;&gt;"))</f>
        <v/>
      </c>
      <c r="H20" s="269"/>
      <c r="I20" s="269"/>
      <c r="J20" s="269"/>
      <c r="K20" s="269"/>
      <c r="L20" s="269"/>
      <c r="M20" s="269"/>
      <c r="N20" s="269"/>
      <c r="O20" s="269"/>
      <c r="P20" s="269"/>
      <c r="Q20" s="269"/>
      <c r="R20" s="269"/>
      <c r="S20" s="269"/>
      <c r="T20" s="269"/>
      <c r="U20" s="269"/>
      <c r="V20" s="269"/>
      <c r="W20" s="269"/>
      <c r="X20" s="269"/>
      <c r="Y20" s="269"/>
      <c r="Z20" s="269"/>
      <c r="AA20" s="269"/>
      <c r="AB20" s="269"/>
      <c r="AC20" s="269"/>
      <c r="AD20" s="269"/>
      <c r="AE20" s="269"/>
      <c r="AF20" s="269"/>
      <c r="AG20" s="269"/>
      <c r="AH20" s="269"/>
      <c r="AI20" s="269"/>
      <c r="AJ20" s="269"/>
      <c r="AK20" s="269"/>
      <c r="AL20" s="269"/>
      <c r="AM20" s="269"/>
      <c r="AN20" s="269"/>
      <c r="AO20" s="269"/>
      <c r="AP20" s="269"/>
      <c r="AQ20" s="269"/>
      <c r="AR20" s="269"/>
      <c r="AS20" s="269"/>
      <c r="AT20" s="269"/>
      <c r="AU20" s="283"/>
    </row>
    <row r="21" spans="1:47" ht="60" customHeight="1" x14ac:dyDescent="0.35">
      <c r="A21" s="279" t="s">
        <v>6518</v>
      </c>
      <c r="B21" s="257" t="s">
        <v>6548</v>
      </c>
      <c r="C21" s="258" t="s">
        <v>6557</v>
      </c>
      <c r="D21" s="261" t="s">
        <v>6558</v>
      </c>
      <c r="E21" s="262" t="s">
        <v>6551</v>
      </c>
      <c r="F21" s="265" t="s">
        <v>6552</v>
      </c>
      <c r="G21" s="268" t="str">
        <f>IF(COUNTIF(H21:AU21,"&lt;&gt;")=0,"",SUMPRODUCT(((Recommendations[ImplStatus]="Implemented")+(Recommendations[ImplStatus]="Compensated"))*ISNUMBER(MATCH(Recommendations[Id],H21:AU21,0)))/COUNTIF(H21:AU21,"&lt;&gt;"))</f>
        <v/>
      </c>
      <c r="H21" s="269"/>
      <c r="I21" s="269"/>
      <c r="J21" s="269"/>
      <c r="K21" s="269"/>
      <c r="L21" s="269"/>
      <c r="M21" s="269"/>
      <c r="N21" s="269"/>
      <c r="O21" s="269"/>
      <c r="P21" s="269"/>
      <c r="Q21" s="269"/>
      <c r="R21" s="269"/>
      <c r="S21" s="269"/>
      <c r="T21" s="269"/>
      <c r="U21" s="269"/>
      <c r="V21" s="269"/>
      <c r="W21" s="269"/>
      <c r="X21" s="269"/>
      <c r="Y21" s="269"/>
      <c r="Z21" s="269"/>
      <c r="AA21" s="269"/>
      <c r="AB21" s="269"/>
      <c r="AC21" s="269"/>
      <c r="AD21" s="269"/>
      <c r="AE21" s="269"/>
      <c r="AF21" s="269"/>
      <c r="AG21" s="269"/>
      <c r="AH21" s="269"/>
      <c r="AI21" s="269"/>
      <c r="AJ21" s="269"/>
      <c r="AK21" s="269"/>
      <c r="AL21" s="269"/>
      <c r="AM21" s="269"/>
      <c r="AN21" s="269"/>
      <c r="AO21" s="269"/>
      <c r="AP21" s="269"/>
      <c r="AQ21" s="269"/>
      <c r="AR21" s="269"/>
      <c r="AS21" s="269"/>
      <c r="AT21" s="269"/>
      <c r="AU21" s="283"/>
    </row>
    <row r="22" spans="1:47" ht="60" customHeight="1" x14ac:dyDescent="0.35">
      <c r="A22" s="279" t="s">
        <v>6518</v>
      </c>
      <c r="B22" s="257" t="s">
        <v>6548</v>
      </c>
      <c r="C22" s="258" t="s">
        <v>6559</v>
      </c>
      <c r="D22" s="261" t="s">
        <v>6560</v>
      </c>
      <c r="E22" s="262" t="s">
        <v>6551</v>
      </c>
      <c r="F22" s="265" t="s">
        <v>6552</v>
      </c>
      <c r="G22" s="268" t="str">
        <f>IF(COUNTIF(H22:AU22,"&lt;&gt;")=0,"",SUMPRODUCT(((Recommendations[ImplStatus]="Implemented")+(Recommendations[ImplStatus]="Compensated"))*ISNUMBER(MATCH(Recommendations[Id],H22:AU22,0)))/COUNTIF(H22:AU22,"&lt;&gt;"))</f>
        <v/>
      </c>
      <c r="H22" s="269"/>
      <c r="I22" s="269"/>
      <c r="J22" s="269"/>
      <c r="K22" s="269"/>
      <c r="L22" s="269"/>
      <c r="M22" s="269"/>
      <c r="N22" s="269"/>
      <c r="O22" s="269"/>
      <c r="P22" s="269"/>
      <c r="Q22" s="269"/>
      <c r="R22" s="269"/>
      <c r="S22" s="269"/>
      <c r="T22" s="269"/>
      <c r="U22" s="269"/>
      <c r="V22" s="269"/>
      <c r="W22" s="269"/>
      <c r="X22" s="269"/>
      <c r="Y22" s="269"/>
      <c r="Z22" s="269"/>
      <c r="AA22" s="269"/>
      <c r="AB22" s="269"/>
      <c r="AC22" s="269"/>
      <c r="AD22" s="269"/>
      <c r="AE22" s="269"/>
      <c r="AF22" s="269"/>
      <c r="AG22" s="269"/>
      <c r="AH22" s="269"/>
      <c r="AI22" s="269"/>
      <c r="AJ22" s="269"/>
      <c r="AK22" s="269"/>
      <c r="AL22" s="269"/>
      <c r="AM22" s="269"/>
      <c r="AN22" s="269"/>
      <c r="AO22" s="269"/>
      <c r="AP22" s="269"/>
      <c r="AQ22" s="269"/>
      <c r="AR22" s="269"/>
      <c r="AS22" s="269"/>
      <c r="AT22" s="269"/>
      <c r="AU22" s="283"/>
    </row>
    <row r="23" spans="1:47" ht="60" customHeight="1" x14ac:dyDescent="0.35">
      <c r="A23" s="279" t="s">
        <v>6518</v>
      </c>
      <c r="B23" s="257" t="s">
        <v>6548</v>
      </c>
      <c r="C23" s="258" t="s">
        <v>6561</v>
      </c>
      <c r="D23" s="261" t="s">
        <v>6562</v>
      </c>
      <c r="E23" s="262" t="s">
        <v>6522</v>
      </c>
      <c r="F23" s="265" t="s">
        <v>6523</v>
      </c>
      <c r="G23" s="268" t="str">
        <f>IF(COUNTIF(H23:AU23,"&lt;&gt;")=0,"",SUMPRODUCT(((Recommendations[ImplStatus]="Implemented")+(Recommendations[ImplStatus]="Compensated"))*ISNUMBER(MATCH(Recommendations[Id],H23:AU23,0)))/COUNTIF(H23:AU23,"&lt;&gt;"))</f>
        <v/>
      </c>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c r="AK23" s="269"/>
      <c r="AL23" s="269"/>
      <c r="AM23" s="269"/>
      <c r="AN23" s="269"/>
      <c r="AO23" s="269"/>
      <c r="AP23" s="269"/>
      <c r="AQ23" s="269"/>
      <c r="AR23" s="269"/>
      <c r="AS23" s="269"/>
      <c r="AT23" s="269"/>
      <c r="AU23" s="283"/>
    </row>
    <row r="24" spans="1:47" ht="60" customHeight="1" x14ac:dyDescent="0.35">
      <c r="A24" s="279" t="s">
        <v>6518</v>
      </c>
      <c r="B24" s="257" t="s">
        <v>6548</v>
      </c>
      <c r="C24" s="258" t="s">
        <v>6563</v>
      </c>
      <c r="D24" s="261" t="s">
        <v>6564</v>
      </c>
      <c r="E24" s="262" t="s">
        <v>6522</v>
      </c>
      <c r="F24" s="265" t="s">
        <v>6523</v>
      </c>
      <c r="G24" s="268" t="str">
        <f>IF(COUNTIF(H24:AU24,"&lt;&gt;")=0,"",SUMPRODUCT(((Recommendations[ImplStatus]="Implemented")+(Recommendations[ImplStatus]="Compensated"))*ISNUMBER(MATCH(Recommendations[Id],H24:AU24,0)))/COUNTIF(H24:AU24,"&lt;&gt;"))</f>
        <v/>
      </c>
      <c r="H24" s="269"/>
      <c r="I24" s="269"/>
      <c r="J24" s="269"/>
      <c r="K24" s="269"/>
      <c r="L24" s="269"/>
      <c r="M24" s="269"/>
      <c r="N24" s="269"/>
      <c r="O24" s="269"/>
      <c r="P24" s="269"/>
      <c r="Q24" s="269"/>
      <c r="R24" s="269"/>
      <c r="S24" s="269"/>
      <c r="T24" s="269"/>
      <c r="U24" s="269"/>
      <c r="V24" s="269"/>
      <c r="W24" s="269"/>
      <c r="X24" s="269"/>
      <c r="Y24" s="269"/>
      <c r="Z24" s="269"/>
      <c r="AA24" s="269"/>
      <c r="AB24" s="269"/>
      <c r="AC24" s="269"/>
      <c r="AD24" s="269"/>
      <c r="AE24" s="269"/>
      <c r="AF24" s="269"/>
      <c r="AG24" s="269"/>
      <c r="AH24" s="269"/>
      <c r="AI24" s="269"/>
      <c r="AJ24" s="269"/>
      <c r="AK24" s="269"/>
      <c r="AL24" s="269"/>
      <c r="AM24" s="269"/>
      <c r="AN24" s="269"/>
      <c r="AO24" s="269"/>
      <c r="AP24" s="269"/>
      <c r="AQ24" s="269"/>
      <c r="AR24" s="269"/>
      <c r="AS24" s="269"/>
      <c r="AT24" s="269"/>
      <c r="AU24" s="283"/>
    </row>
    <row r="25" spans="1:47" ht="60" customHeight="1" x14ac:dyDescent="0.35">
      <c r="A25" s="279" t="s">
        <v>6518</v>
      </c>
      <c r="B25" s="257" t="s">
        <v>6548</v>
      </c>
      <c r="C25" s="258" t="s">
        <v>6565</v>
      </c>
      <c r="D25" s="261" t="s">
        <v>6566</v>
      </c>
      <c r="E25" s="262" t="s">
        <v>6522</v>
      </c>
      <c r="F25" s="265" t="s">
        <v>6567</v>
      </c>
      <c r="G25" s="268" t="str">
        <f>IF(COUNTIF(H25:AU25,"&lt;&gt;")=0,"",SUMPRODUCT(((Recommendations[ImplStatus]="Implemented")+(Recommendations[ImplStatus]="Compensated"))*ISNUMBER(MATCH(Recommendations[Id],H25:AU25,0)))/COUNTIF(H25:AU25,"&lt;&gt;"))</f>
        <v/>
      </c>
      <c r="H25" s="269"/>
      <c r="I25" s="269"/>
      <c r="J25" s="269"/>
      <c r="K25" s="269"/>
      <c r="L25" s="269"/>
      <c r="M25" s="269"/>
      <c r="N25" s="269"/>
      <c r="O25" s="269"/>
      <c r="P25" s="269"/>
      <c r="Q25" s="269"/>
      <c r="R25" s="269"/>
      <c r="S25" s="269"/>
      <c r="T25" s="269"/>
      <c r="U25" s="269"/>
      <c r="V25" s="269"/>
      <c r="W25" s="269"/>
      <c r="X25" s="269"/>
      <c r="Y25" s="269"/>
      <c r="Z25" s="269"/>
      <c r="AA25" s="269"/>
      <c r="AB25" s="269"/>
      <c r="AC25" s="269"/>
      <c r="AD25" s="269"/>
      <c r="AE25" s="269"/>
      <c r="AF25" s="269"/>
      <c r="AG25" s="269"/>
      <c r="AH25" s="269"/>
      <c r="AI25" s="269"/>
      <c r="AJ25" s="269"/>
      <c r="AK25" s="269"/>
      <c r="AL25" s="269"/>
      <c r="AM25" s="269"/>
      <c r="AN25" s="269"/>
      <c r="AO25" s="269"/>
      <c r="AP25" s="269"/>
      <c r="AQ25" s="269"/>
      <c r="AR25" s="269"/>
      <c r="AS25" s="269"/>
      <c r="AT25" s="269"/>
      <c r="AU25" s="283"/>
    </row>
    <row r="26" spans="1:47" ht="60" customHeight="1" x14ac:dyDescent="0.35">
      <c r="A26" s="279" t="s">
        <v>6518</v>
      </c>
      <c r="B26" s="257" t="s">
        <v>6548</v>
      </c>
      <c r="C26" s="258" t="s">
        <v>6568</v>
      </c>
      <c r="D26" s="261" t="s">
        <v>6569</v>
      </c>
      <c r="E26" s="262" t="s">
        <v>6522</v>
      </c>
      <c r="F26" s="265" t="s">
        <v>6567</v>
      </c>
      <c r="G26" s="268" t="str">
        <f>IF(COUNTIF(H26:AU26,"&lt;&gt;")=0,"",SUMPRODUCT(((Recommendations[ImplStatus]="Implemented")+(Recommendations[ImplStatus]="Compensated"))*ISNUMBER(MATCH(Recommendations[Id],H26:AU26,0)))/COUNTIF(H26:AU26,"&lt;&gt;"))</f>
        <v/>
      </c>
      <c r="H26" s="269"/>
      <c r="I26" s="269"/>
      <c r="J26" s="269"/>
      <c r="K26" s="269"/>
      <c r="L26" s="269"/>
      <c r="M26" s="269"/>
      <c r="N26" s="269"/>
      <c r="O26" s="269"/>
      <c r="P26" s="269"/>
      <c r="Q26" s="269"/>
      <c r="R26" s="269"/>
      <c r="S26" s="269"/>
      <c r="T26" s="269"/>
      <c r="U26" s="269"/>
      <c r="V26" s="269"/>
      <c r="W26" s="269"/>
      <c r="X26" s="269"/>
      <c r="Y26" s="269"/>
      <c r="Z26" s="269"/>
      <c r="AA26" s="269"/>
      <c r="AB26" s="269"/>
      <c r="AC26" s="269"/>
      <c r="AD26" s="269"/>
      <c r="AE26" s="269"/>
      <c r="AF26" s="269"/>
      <c r="AG26" s="269"/>
      <c r="AH26" s="269"/>
      <c r="AI26" s="269"/>
      <c r="AJ26" s="269"/>
      <c r="AK26" s="269"/>
      <c r="AL26" s="269"/>
      <c r="AM26" s="269"/>
      <c r="AN26" s="269"/>
      <c r="AO26" s="269"/>
      <c r="AP26" s="269"/>
      <c r="AQ26" s="269"/>
      <c r="AR26" s="269"/>
      <c r="AS26" s="269"/>
      <c r="AT26" s="269"/>
      <c r="AU26" s="283"/>
    </row>
    <row r="27" spans="1:47" ht="60" customHeight="1" x14ac:dyDescent="0.35">
      <c r="A27" s="279" t="s">
        <v>6518</v>
      </c>
      <c r="B27" s="257" t="s">
        <v>6548</v>
      </c>
      <c r="C27" s="258" t="s">
        <v>6570</v>
      </c>
      <c r="D27" s="261" t="s">
        <v>6571</v>
      </c>
      <c r="E27" s="262" t="s">
        <v>6522</v>
      </c>
      <c r="F27" s="265" t="s">
        <v>6567</v>
      </c>
      <c r="G27" s="268" t="str">
        <f>IF(COUNTIF(H27:AU27,"&lt;&gt;")=0,"",SUMPRODUCT(((Recommendations[ImplStatus]="Implemented")+(Recommendations[ImplStatus]="Compensated"))*ISNUMBER(MATCH(Recommendations[Id],H27:AU27,0)))/COUNTIF(H27:AU27,"&lt;&gt;"))</f>
        <v/>
      </c>
      <c r="H27" s="269"/>
      <c r="I27" s="269"/>
      <c r="J27" s="269"/>
      <c r="K27" s="269"/>
      <c r="L27" s="269"/>
      <c r="M27" s="269"/>
      <c r="N27" s="269"/>
      <c r="O27" s="269"/>
      <c r="P27" s="269"/>
      <c r="Q27" s="269"/>
      <c r="R27" s="269"/>
      <c r="S27" s="269"/>
      <c r="T27" s="269"/>
      <c r="U27" s="269"/>
      <c r="V27" s="269"/>
      <c r="W27" s="269"/>
      <c r="X27" s="269"/>
      <c r="Y27" s="269"/>
      <c r="Z27" s="269"/>
      <c r="AA27" s="269"/>
      <c r="AB27" s="269"/>
      <c r="AC27" s="269"/>
      <c r="AD27" s="269"/>
      <c r="AE27" s="269"/>
      <c r="AF27" s="269"/>
      <c r="AG27" s="269"/>
      <c r="AH27" s="269"/>
      <c r="AI27" s="269"/>
      <c r="AJ27" s="269"/>
      <c r="AK27" s="269"/>
      <c r="AL27" s="269"/>
      <c r="AM27" s="269"/>
      <c r="AN27" s="269"/>
      <c r="AO27" s="269"/>
      <c r="AP27" s="269"/>
      <c r="AQ27" s="269"/>
      <c r="AR27" s="269"/>
      <c r="AS27" s="269"/>
      <c r="AT27" s="269"/>
      <c r="AU27" s="283"/>
    </row>
    <row r="28" spans="1:47" ht="60" customHeight="1" x14ac:dyDescent="0.35">
      <c r="A28" s="279" t="s">
        <v>6518</v>
      </c>
      <c r="B28" s="257" t="s">
        <v>6548</v>
      </c>
      <c r="C28" s="258" t="s">
        <v>6572</v>
      </c>
      <c r="D28" s="261" t="s">
        <v>6573</v>
      </c>
      <c r="E28" s="262" t="s">
        <v>6522</v>
      </c>
      <c r="F28" s="265" t="s">
        <v>6567</v>
      </c>
      <c r="G28" s="268" t="str">
        <f>IF(COUNTIF(H28:AU28,"&lt;&gt;")=0,"",SUMPRODUCT(((Recommendations[ImplStatus]="Implemented")+(Recommendations[ImplStatus]="Compensated"))*ISNUMBER(MATCH(Recommendations[Id],H28:AU28,0)))/COUNTIF(H28:AU28,"&lt;&gt;"))</f>
        <v/>
      </c>
      <c r="H28" s="269"/>
      <c r="I28" s="269"/>
      <c r="J28" s="269"/>
      <c r="K28" s="269"/>
      <c r="L28" s="269"/>
      <c r="M28" s="269"/>
      <c r="N28" s="269"/>
      <c r="O28" s="269"/>
      <c r="P28" s="269"/>
      <c r="Q28" s="269"/>
      <c r="R28" s="269"/>
      <c r="S28" s="269"/>
      <c r="T28" s="269"/>
      <c r="U28" s="269"/>
      <c r="V28" s="269"/>
      <c r="W28" s="269"/>
      <c r="X28" s="269"/>
      <c r="Y28" s="269"/>
      <c r="Z28" s="269"/>
      <c r="AA28" s="269"/>
      <c r="AB28" s="269"/>
      <c r="AC28" s="269"/>
      <c r="AD28" s="269"/>
      <c r="AE28" s="269"/>
      <c r="AF28" s="269"/>
      <c r="AG28" s="269"/>
      <c r="AH28" s="269"/>
      <c r="AI28" s="269"/>
      <c r="AJ28" s="269"/>
      <c r="AK28" s="269"/>
      <c r="AL28" s="269"/>
      <c r="AM28" s="269"/>
      <c r="AN28" s="269"/>
      <c r="AO28" s="269"/>
      <c r="AP28" s="269"/>
      <c r="AQ28" s="269"/>
      <c r="AR28" s="269"/>
      <c r="AS28" s="269"/>
      <c r="AT28" s="269"/>
      <c r="AU28" s="283"/>
    </row>
    <row r="29" spans="1:47" ht="60" customHeight="1" x14ac:dyDescent="0.35">
      <c r="A29" s="279" t="s">
        <v>6518</v>
      </c>
      <c r="B29" s="257" t="s">
        <v>6548</v>
      </c>
      <c r="C29" s="258" t="s">
        <v>6574</v>
      </c>
      <c r="D29" s="261" t="s">
        <v>6575</v>
      </c>
      <c r="E29" s="262" t="s">
        <v>6522</v>
      </c>
      <c r="F29" s="265" t="s">
        <v>6567</v>
      </c>
      <c r="G29" s="268" t="str">
        <f>IF(COUNTIF(H29:AU29,"&lt;&gt;")=0,"",SUMPRODUCT(((Recommendations[ImplStatus]="Implemented")+(Recommendations[ImplStatus]="Compensated"))*ISNUMBER(MATCH(Recommendations[Id],H29:AU29,0)))/COUNTIF(H29:AU29,"&lt;&gt;"))</f>
        <v/>
      </c>
      <c r="H29" s="269"/>
      <c r="I29" s="269"/>
      <c r="J29" s="269"/>
      <c r="K29" s="269"/>
      <c r="L29" s="269"/>
      <c r="M29" s="269"/>
      <c r="N29" s="269"/>
      <c r="O29" s="269"/>
      <c r="P29" s="269"/>
      <c r="Q29" s="269"/>
      <c r="R29" s="269"/>
      <c r="S29" s="269"/>
      <c r="T29" s="269"/>
      <c r="U29" s="269"/>
      <c r="V29" s="269"/>
      <c r="W29" s="269"/>
      <c r="X29" s="269"/>
      <c r="Y29" s="269"/>
      <c r="Z29" s="269"/>
      <c r="AA29" s="269"/>
      <c r="AB29" s="269"/>
      <c r="AC29" s="269"/>
      <c r="AD29" s="269"/>
      <c r="AE29" s="269"/>
      <c r="AF29" s="269"/>
      <c r="AG29" s="269"/>
      <c r="AH29" s="269"/>
      <c r="AI29" s="269"/>
      <c r="AJ29" s="269"/>
      <c r="AK29" s="269"/>
      <c r="AL29" s="269"/>
      <c r="AM29" s="269"/>
      <c r="AN29" s="269"/>
      <c r="AO29" s="269"/>
      <c r="AP29" s="269"/>
      <c r="AQ29" s="269"/>
      <c r="AR29" s="269"/>
      <c r="AS29" s="269"/>
      <c r="AT29" s="269"/>
      <c r="AU29" s="283"/>
    </row>
    <row r="30" spans="1:47" ht="60" customHeight="1" x14ac:dyDescent="0.35">
      <c r="A30" s="279" t="s">
        <v>6518</v>
      </c>
      <c r="B30" s="257" t="s">
        <v>6548</v>
      </c>
      <c r="C30" s="258" t="s">
        <v>6576</v>
      </c>
      <c r="D30" s="261" t="s">
        <v>6577</v>
      </c>
      <c r="E30" s="262" t="s">
        <v>6522</v>
      </c>
      <c r="F30" s="265" t="s">
        <v>6567</v>
      </c>
      <c r="G30" s="268" t="str">
        <f>IF(COUNTIF(H30:AU30,"&lt;&gt;")=0,"",SUMPRODUCT(((Recommendations[ImplStatus]="Implemented")+(Recommendations[ImplStatus]="Compensated"))*ISNUMBER(MATCH(Recommendations[Id],H30:AU30,0)))/COUNTIF(H30:AU30,"&lt;&gt;"))</f>
        <v/>
      </c>
      <c r="H30" s="269"/>
      <c r="I30" s="269"/>
      <c r="J30" s="269"/>
      <c r="K30" s="269"/>
      <c r="L30" s="269"/>
      <c r="M30" s="269"/>
      <c r="N30" s="269"/>
      <c r="O30" s="269"/>
      <c r="P30" s="269"/>
      <c r="Q30" s="269"/>
      <c r="R30" s="269"/>
      <c r="S30" s="269"/>
      <c r="T30" s="269"/>
      <c r="U30" s="269"/>
      <c r="V30" s="269"/>
      <c r="W30" s="269"/>
      <c r="X30" s="269"/>
      <c r="Y30" s="269"/>
      <c r="Z30" s="269"/>
      <c r="AA30" s="269"/>
      <c r="AB30" s="269"/>
      <c r="AC30" s="269"/>
      <c r="AD30" s="269"/>
      <c r="AE30" s="269"/>
      <c r="AF30" s="269"/>
      <c r="AG30" s="269"/>
      <c r="AH30" s="269"/>
      <c r="AI30" s="269"/>
      <c r="AJ30" s="269"/>
      <c r="AK30" s="269"/>
      <c r="AL30" s="269"/>
      <c r="AM30" s="269"/>
      <c r="AN30" s="269"/>
      <c r="AO30" s="269"/>
      <c r="AP30" s="269"/>
      <c r="AQ30" s="269"/>
      <c r="AR30" s="269"/>
      <c r="AS30" s="269"/>
      <c r="AT30" s="269"/>
      <c r="AU30" s="283"/>
    </row>
    <row r="31" spans="1:47" ht="60" customHeight="1" x14ac:dyDescent="0.35">
      <c r="A31" s="279" t="s">
        <v>6518</v>
      </c>
      <c r="B31" s="257" t="s">
        <v>6548</v>
      </c>
      <c r="C31" s="258" t="s">
        <v>6578</v>
      </c>
      <c r="D31" s="261" t="s">
        <v>6579</v>
      </c>
      <c r="E31" s="262" t="s">
        <v>6522</v>
      </c>
      <c r="F31" s="265" t="s">
        <v>6567</v>
      </c>
      <c r="G31" s="268" t="str">
        <f>IF(COUNTIF(H31:AU31,"&lt;&gt;")=0,"",SUMPRODUCT(((Recommendations[ImplStatus]="Implemented")+(Recommendations[ImplStatus]="Compensated"))*ISNUMBER(MATCH(Recommendations[Id],H31:AU31,0)))/COUNTIF(H31:AU31,"&lt;&gt;"))</f>
        <v/>
      </c>
      <c r="H31" s="269"/>
      <c r="I31" s="269"/>
      <c r="J31" s="269"/>
      <c r="K31" s="269"/>
      <c r="L31" s="269"/>
      <c r="M31" s="269"/>
      <c r="N31" s="269"/>
      <c r="O31" s="269"/>
      <c r="P31" s="269"/>
      <c r="Q31" s="269"/>
      <c r="R31" s="269"/>
      <c r="S31" s="269"/>
      <c r="T31" s="269"/>
      <c r="U31" s="269"/>
      <c r="V31" s="269"/>
      <c r="W31" s="269"/>
      <c r="X31" s="269"/>
      <c r="Y31" s="269"/>
      <c r="Z31" s="269"/>
      <c r="AA31" s="269"/>
      <c r="AB31" s="269"/>
      <c r="AC31" s="269"/>
      <c r="AD31" s="269"/>
      <c r="AE31" s="269"/>
      <c r="AF31" s="269"/>
      <c r="AG31" s="269"/>
      <c r="AH31" s="269"/>
      <c r="AI31" s="269"/>
      <c r="AJ31" s="269"/>
      <c r="AK31" s="269"/>
      <c r="AL31" s="269"/>
      <c r="AM31" s="269"/>
      <c r="AN31" s="269"/>
      <c r="AO31" s="269"/>
      <c r="AP31" s="269"/>
      <c r="AQ31" s="269"/>
      <c r="AR31" s="269"/>
      <c r="AS31" s="269"/>
      <c r="AT31" s="269"/>
      <c r="AU31" s="283"/>
    </row>
    <row r="32" spans="1:47" ht="60" customHeight="1" x14ac:dyDescent="0.35">
      <c r="A32" s="279" t="s">
        <v>6518</v>
      </c>
      <c r="B32" s="257" t="s">
        <v>6548</v>
      </c>
      <c r="C32" s="258" t="s">
        <v>6580</v>
      </c>
      <c r="D32" s="261" t="s">
        <v>6581</v>
      </c>
      <c r="E32" s="262" t="s">
        <v>6522</v>
      </c>
      <c r="F32" s="265" t="s">
        <v>6567</v>
      </c>
      <c r="G32" s="268" t="str">
        <f>IF(COUNTIF(H32:AU32,"&lt;&gt;")=0,"",SUMPRODUCT(((Recommendations[ImplStatus]="Implemented")+(Recommendations[ImplStatus]="Compensated"))*ISNUMBER(MATCH(Recommendations[Id],H32:AU32,0)))/COUNTIF(H32:AU32,"&lt;&gt;"))</f>
        <v/>
      </c>
      <c r="H32" s="269"/>
      <c r="I32" s="269"/>
      <c r="J32" s="269"/>
      <c r="K32" s="269"/>
      <c r="L32" s="269"/>
      <c r="M32" s="269"/>
      <c r="N32" s="269"/>
      <c r="O32" s="269"/>
      <c r="P32" s="269"/>
      <c r="Q32" s="269"/>
      <c r="R32" s="269"/>
      <c r="S32" s="269"/>
      <c r="T32" s="269"/>
      <c r="U32" s="269"/>
      <c r="V32" s="269"/>
      <c r="W32" s="269"/>
      <c r="X32" s="269"/>
      <c r="Y32" s="269"/>
      <c r="Z32" s="269"/>
      <c r="AA32" s="269"/>
      <c r="AB32" s="269"/>
      <c r="AC32" s="269"/>
      <c r="AD32" s="269"/>
      <c r="AE32" s="269"/>
      <c r="AF32" s="269"/>
      <c r="AG32" s="269"/>
      <c r="AH32" s="269"/>
      <c r="AI32" s="269"/>
      <c r="AJ32" s="269"/>
      <c r="AK32" s="269"/>
      <c r="AL32" s="269"/>
      <c r="AM32" s="269"/>
      <c r="AN32" s="269"/>
      <c r="AO32" s="269"/>
      <c r="AP32" s="269"/>
      <c r="AQ32" s="269"/>
      <c r="AR32" s="269"/>
      <c r="AS32" s="269"/>
      <c r="AT32" s="269"/>
      <c r="AU32" s="283"/>
    </row>
    <row r="33" spans="1:47" ht="60" customHeight="1" x14ac:dyDescent="0.35">
      <c r="A33" s="279" t="s">
        <v>6518</v>
      </c>
      <c r="B33" s="257" t="s">
        <v>6548</v>
      </c>
      <c r="C33" s="258" t="s">
        <v>6582</v>
      </c>
      <c r="D33" s="261" t="s">
        <v>6583</v>
      </c>
      <c r="E33" s="262" t="s">
        <v>6551</v>
      </c>
      <c r="F33" s="265" t="s">
        <v>6552</v>
      </c>
      <c r="G33" s="268" t="str">
        <f>IF(COUNTIF(H33:AU33,"&lt;&gt;")=0,"",SUMPRODUCT(((Recommendations[ImplStatus]="Implemented")+(Recommendations[ImplStatus]="Compensated"))*ISNUMBER(MATCH(Recommendations[Id],H33:AU33,0)))/COUNTIF(H33:AU33,"&lt;&gt;"))</f>
        <v/>
      </c>
      <c r="H33" s="269"/>
      <c r="I33" s="269"/>
      <c r="J33" s="269"/>
      <c r="K33" s="269"/>
      <c r="L33" s="269"/>
      <c r="M33" s="269"/>
      <c r="N33" s="269"/>
      <c r="O33" s="269"/>
      <c r="P33" s="269"/>
      <c r="Q33" s="269"/>
      <c r="R33" s="269"/>
      <c r="S33" s="269"/>
      <c r="T33" s="269"/>
      <c r="U33" s="269"/>
      <c r="V33" s="269"/>
      <c r="W33" s="269"/>
      <c r="X33" s="269"/>
      <c r="Y33" s="269"/>
      <c r="Z33" s="269"/>
      <c r="AA33" s="269"/>
      <c r="AB33" s="269"/>
      <c r="AC33" s="269"/>
      <c r="AD33" s="269"/>
      <c r="AE33" s="269"/>
      <c r="AF33" s="269"/>
      <c r="AG33" s="269"/>
      <c r="AH33" s="269"/>
      <c r="AI33" s="269"/>
      <c r="AJ33" s="269"/>
      <c r="AK33" s="269"/>
      <c r="AL33" s="269"/>
      <c r="AM33" s="269"/>
      <c r="AN33" s="269"/>
      <c r="AO33" s="269"/>
      <c r="AP33" s="269"/>
      <c r="AQ33" s="269"/>
      <c r="AR33" s="269"/>
      <c r="AS33" s="269"/>
      <c r="AT33" s="269"/>
      <c r="AU33" s="283"/>
    </row>
    <row r="34" spans="1:47" ht="60" customHeight="1" x14ac:dyDescent="0.35">
      <c r="A34" s="279" t="s">
        <v>6518</v>
      </c>
      <c r="B34" s="257" t="s">
        <v>6548</v>
      </c>
      <c r="C34" s="258" t="s">
        <v>6584</v>
      </c>
      <c r="D34" s="261" t="s">
        <v>6585</v>
      </c>
      <c r="E34" s="262" t="s">
        <v>6522</v>
      </c>
      <c r="F34" s="265" t="s">
        <v>6567</v>
      </c>
      <c r="G34" s="268" t="str">
        <f>IF(COUNTIF(H34:AU34,"&lt;&gt;")=0,"",SUMPRODUCT(((Recommendations[ImplStatus]="Implemented")+(Recommendations[ImplStatus]="Compensated"))*ISNUMBER(MATCH(Recommendations[Id],H34:AU34,0)))/COUNTIF(H34:AU34,"&lt;&gt;"))</f>
        <v/>
      </c>
      <c r="H34" s="269"/>
      <c r="I34" s="269"/>
      <c r="J34" s="269"/>
      <c r="K34" s="269"/>
      <c r="L34" s="269"/>
      <c r="M34" s="269"/>
      <c r="N34" s="269"/>
      <c r="O34" s="269"/>
      <c r="P34" s="269"/>
      <c r="Q34" s="269"/>
      <c r="R34" s="269"/>
      <c r="S34" s="269"/>
      <c r="T34" s="269"/>
      <c r="U34" s="269"/>
      <c r="V34" s="269"/>
      <c r="W34" s="269"/>
      <c r="X34" s="269"/>
      <c r="Y34" s="269"/>
      <c r="Z34" s="269"/>
      <c r="AA34" s="269"/>
      <c r="AB34" s="269"/>
      <c r="AC34" s="269"/>
      <c r="AD34" s="269"/>
      <c r="AE34" s="269"/>
      <c r="AF34" s="269"/>
      <c r="AG34" s="269"/>
      <c r="AH34" s="269"/>
      <c r="AI34" s="269"/>
      <c r="AJ34" s="269"/>
      <c r="AK34" s="269"/>
      <c r="AL34" s="269"/>
      <c r="AM34" s="269"/>
      <c r="AN34" s="269"/>
      <c r="AO34" s="269"/>
      <c r="AP34" s="269"/>
      <c r="AQ34" s="269"/>
      <c r="AR34" s="269"/>
      <c r="AS34" s="269"/>
      <c r="AT34" s="269"/>
      <c r="AU34" s="283"/>
    </row>
    <row r="35" spans="1:47" ht="60" customHeight="1" outlineLevel="2" x14ac:dyDescent="0.35">
      <c r="A35" s="278" t="s">
        <v>6518</v>
      </c>
      <c r="B35" s="256" t="s">
        <v>6586</v>
      </c>
      <c r="C35" s="256"/>
      <c r="D35" s="260"/>
      <c r="E35" s="256"/>
      <c r="F35" s="264"/>
      <c r="G35" s="267" t="str">
        <f>IF(COUNTIF(H35:AU35,"&lt;&gt;")=0,"",SUMPRODUCT(((Recommendations[ImplStatus]="Implemented")+(Recommendations[ImplStatus]="Compensated"))*ISNUMBER(MATCH(Recommendations[Id],H35:AU35,0)))/COUNTIF(H35:AU35,"&lt;&gt;"))</f>
        <v/>
      </c>
      <c r="H35" s="264"/>
      <c r="I35" s="264"/>
      <c r="J35" s="264"/>
      <c r="K35" s="264"/>
      <c r="L35" s="264"/>
      <c r="M35" s="264"/>
      <c r="N35" s="264"/>
      <c r="O35" s="264"/>
      <c r="P35" s="264"/>
      <c r="Q35" s="264"/>
      <c r="R35" s="264"/>
      <c r="S35" s="264"/>
      <c r="T35" s="264"/>
      <c r="U35" s="264"/>
      <c r="V35" s="264"/>
      <c r="W35" s="264"/>
      <c r="X35" s="264"/>
      <c r="Y35" s="264"/>
      <c r="Z35" s="264"/>
      <c r="AA35" s="264"/>
      <c r="AB35" s="264"/>
      <c r="AC35" s="264"/>
      <c r="AD35" s="264"/>
      <c r="AE35" s="264"/>
      <c r="AF35" s="264"/>
      <c r="AG35" s="264"/>
      <c r="AH35" s="264"/>
      <c r="AI35" s="264"/>
      <c r="AJ35" s="264"/>
      <c r="AK35" s="264"/>
      <c r="AL35" s="264"/>
      <c r="AM35" s="264"/>
      <c r="AN35" s="264"/>
      <c r="AO35" s="264"/>
      <c r="AP35" s="264"/>
      <c r="AQ35" s="264"/>
      <c r="AR35" s="264"/>
      <c r="AS35" s="264"/>
      <c r="AT35" s="264"/>
      <c r="AU35" s="282"/>
    </row>
    <row r="36" spans="1:47" ht="60" customHeight="1" x14ac:dyDescent="0.35">
      <c r="A36" s="279" t="s">
        <v>6518</v>
      </c>
      <c r="B36" s="257" t="s">
        <v>6586</v>
      </c>
      <c r="C36" s="258" t="s">
        <v>6587</v>
      </c>
      <c r="D36" s="261" t="s">
        <v>6588</v>
      </c>
      <c r="E36" s="262" t="s">
        <v>6522</v>
      </c>
      <c r="F36" s="265" t="s">
        <v>6567</v>
      </c>
      <c r="G36" s="268" t="str">
        <f>IF(COUNTIF(H36:AU36,"&lt;&gt;")=0,"",SUMPRODUCT(((Recommendations[ImplStatus]="Implemented")+(Recommendations[ImplStatus]="Compensated"))*ISNUMBER(MATCH(Recommendations[Id],H36:AU36,0)))/COUNTIF(H36:AU36,"&lt;&gt;"))</f>
        <v/>
      </c>
      <c r="H36" s="269"/>
      <c r="I36" s="269"/>
      <c r="J36" s="269"/>
      <c r="K36" s="269"/>
      <c r="L36" s="269"/>
      <c r="M36" s="269"/>
      <c r="N36" s="269"/>
      <c r="O36" s="269"/>
      <c r="P36" s="269"/>
      <c r="Q36" s="269"/>
      <c r="R36" s="269"/>
      <c r="S36" s="269"/>
      <c r="T36" s="269"/>
      <c r="U36" s="269"/>
      <c r="V36" s="269"/>
      <c r="W36" s="269"/>
      <c r="X36" s="269"/>
      <c r="Y36" s="269"/>
      <c r="Z36" s="269"/>
      <c r="AA36" s="269"/>
      <c r="AB36" s="269"/>
      <c r="AC36" s="269"/>
      <c r="AD36" s="269"/>
      <c r="AE36" s="269"/>
      <c r="AF36" s="269"/>
      <c r="AG36" s="269"/>
      <c r="AH36" s="269"/>
      <c r="AI36" s="269"/>
      <c r="AJ36" s="269"/>
      <c r="AK36" s="269"/>
      <c r="AL36" s="269"/>
      <c r="AM36" s="269"/>
      <c r="AN36" s="269"/>
      <c r="AO36" s="269"/>
      <c r="AP36" s="269"/>
      <c r="AQ36" s="269"/>
      <c r="AR36" s="269"/>
      <c r="AS36" s="269"/>
      <c r="AT36" s="269"/>
      <c r="AU36" s="283"/>
    </row>
    <row r="37" spans="1:47" ht="60" customHeight="1" x14ac:dyDescent="0.35">
      <c r="A37" s="279" t="s">
        <v>6518</v>
      </c>
      <c r="B37" s="257" t="s">
        <v>6586</v>
      </c>
      <c r="C37" s="258" t="s">
        <v>6589</v>
      </c>
      <c r="D37" s="261" t="s">
        <v>6590</v>
      </c>
      <c r="E37" s="262" t="s">
        <v>6522</v>
      </c>
      <c r="F37" s="265" t="s">
        <v>6591</v>
      </c>
      <c r="G37" s="268" t="str">
        <f>IF(COUNTIF(H37:AU37,"&lt;&gt;")=0,"",SUMPRODUCT(((Recommendations[ImplStatus]="Implemented")+(Recommendations[ImplStatus]="Compensated"))*ISNUMBER(MATCH(Recommendations[Id],H37:AU37,0)))/COUNTIF(H37:AU37,"&lt;&gt;"))</f>
        <v/>
      </c>
      <c r="H37" s="269"/>
      <c r="I37" s="269"/>
      <c r="J37" s="269"/>
      <c r="K37" s="269"/>
      <c r="L37" s="269"/>
      <c r="M37" s="269"/>
      <c r="N37" s="269"/>
      <c r="O37" s="269"/>
      <c r="P37" s="269"/>
      <c r="Q37" s="269"/>
      <c r="R37" s="269"/>
      <c r="S37" s="269"/>
      <c r="T37" s="269"/>
      <c r="U37" s="269"/>
      <c r="V37" s="269"/>
      <c r="W37" s="269"/>
      <c r="X37" s="269"/>
      <c r="Y37" s="269"/>
      <c r="Z37" s="269"/>
      <c r="AA37" s="269"/>
      <c r="AB37" s="269"/>
      <c r="AC37" s="269"/>
      <c r="AD37" s="269"/>
      <c r="AE37" s="269"/>
      <c r="AF37" s="269"/>
      <c r="AG37" s="269"/>
      <c r="AH37" s="269"/>
      <c r="AI37" s="269"/>
      <c r="AJ37" s="269"/>
      <c r="AK37" s="269"/>
      <c r="AL37" s="269"/>
      <c r="AM37" s="269"/>
      <c r="AN37" s="269"/>
      <c r="AO37" s="269"/>
      <c r="AP37" s="269"/>
      <c r="AQ37" s="269"/>
      <c r="AR37" s="269"/>
      <c r="AS37" s="269"/>
      <c r="AT37" s="269"/>
      <c r="AU37" s="283"/>
    </row>
    <row r="38" spans="1:47" ht="60" customHeight="1" x14ac:dyDescent="0.35">
      <c r="A38" s="279" t="s">
        <v>6518</v>
      </c>
      <c r="B38" s="257" t="s">
        <v>6586</v>
      </c>
      <c r="C38" s="258" t="s">
        <v>6592</v>
      </c>
      <c r="D38" s="261" t="s">
        <v>6593</v>
      </c>
      <c r="E38" s="262" t="s">
        <v>6522</v>
      </c>
      <c r="F38" s="265" t="s">
        <v>6591</v>
      </c>
      <c r="G38" s="268" t="str">
        <f>IF(COUNTIF(H38:AU38,"&lt;&gt;")=0,"",SUMPRODUCT(((Recommendations[ImplStatus]="Implemented")+(Recommendations[ImplStatus]="Compensated"))*ISNUMBER(MATCH(Recommendations[Id],H38:AU38,0)))/COUNTIF(H38:AU38,"&lt;&gt;"))</f>
        <v/>
      </c>
      <c r="H38" s="269"/>
      <c r="I38" s="269"/>
      <c r="J38" s="269"/>
      <c r="K38" s="269"/>
      <c r="L38" s="269"/>
      <c r="M38" s="269"/>
      <c r="N38" s="269"/>
      <c r="O38" s="269"/>
      <c r="P38" s="269"/>
      <c r="Q38" s="269"/>
      <c r="R38" s="269"/>
      <c r="S38" s="269"/>
      <c r="T38" s="269"/>
      <c r="U38" s="269"/>
      <c r="V38" s="269"/>
      <c r="W38" s="269"/>
      <c r="X38" s="269"/>
      <c r="Y38" s="269"/>
      <c r="Z38" s="269"/>
      <c r="AA38" s="269"/>
      <c r="AB38" s="269"/>
      <c r="AC38" s="269"/>
      <c r="AD38" s="269"/>
      <c r="AE38" s="269"/>
      <c r="AF38" s="269"/>
      <c r="AG38" s="269"/>
      <c r="AH38" s="269"/>
      <c r="AI38" s="269"/>
      <c r="AJ38" s="269"/>
      <c r="AK38" s="269"/>
      <c r="AL38" s="269"/>
      <c r="AM38" s="269"/>
      <c r="AN38" s="269"/>
      <c r="AO38" s="269"/>
      <c r="AP38" s="269"/>
      <c r="AQ38" s="269"/>
      <c r="AR38" s="269"/>
      <c r="AS38" s="269"/>
      <c r="AT38" s="269"/>
      <c r="AU38" s="283"/>
    </row>
    <row r="39" spans="1:47" ht="60" customHeight="1" x14ac:dyDescent="0.35">
      <c r="A39" s="279" t="s">
        <v>6518</v>
      </c>
      <c r="B39" s="257" t="s">
        <v>6586</v>
      </c>
      <c r="C39" s="258" t="s">
        <v>6594</v>
      </c>
      <c r="D39" s="261" t="s">
        <v>6595</v>
      </c>
      <c r="E39" s="262" t="s">
        <v>6522</v>
      </c>
      <c r="F39" s="265" t="s">
        <v>6591</v>
      </c>
      <c r="G39" s="268" t="str">
        <f>IF(COUNTIF(H39:AU39,"&lt;&gt;")=0,"",SUMPRODUCT(((Recommendations[ImplStatus]="Implemented")+(Recommendations[ImplStatus]="Compensated"))*ISNUMBER(MATCH(Recommendations[Id],H39:AU39,0)))/COUNTIF(H39:AU39,"&lt;&gt;"))</f>
        <v/>
      </c>
      <c r="H39" s="269"/>
      <c r="I39" s="269"/>
      <c r="J39" s="269"/>
      <c r="K39" s="269"/>
      <c r="L39" s="269"/>
      <c r="M39" s="269"/>
      <c r="N39" s="269"/>
      <c r="O39" s="269"/>
      <c r="P39" s="269"/>
      <c r="Q39" s="269"/>
      <c r="R39" s="269"/>
      <c r="S39" s="269"/>
      <c r="T39" s="269"/>
      <c r="U39" s="269"/>
      <c r="V39" s="269"/>
      <c r="W39" s="269"/>
      <c r="X39" s="269"/>
      <c r="Y39" s="269"/>
      <c r="Z39" s="269"/>
      <c r="AA39" s="269"/>
      <c r="AB39" s="269"/>
      <c r="AC39" s="269"/>
      <c r="AD39" s="269"/>
      <c r="AE39" s="269"/>
      <c r="AF39" s="269"/>
      <c r="AG39" s="269"/>
      <c r="AH39" s="269"/>
      <c r="AI39" s="269"/>
      <c r="AJ39" s="269"/>
      <c r="AK39" s="269"/>
      <c r="AL39" s="269"/>
      <c r="AM39" s="269"/>
      <c r="AN39" s="269"/>
      <c r="AO39" s="269"/>
      <c r="AP39" s="269"/>
      <c r="AQ39" s="269"/>
      <c r="AR39" s="269"/>
      <c r="AS39" s="269"/>
      <c r="AT39" s="269"/>
      <c r="AU39" s="283"/>
    </row>
    <row r="40" spans="1:47" ht="60" customHeight="1" x14ac:dyDescent="0.35">
      <c r="A40" s="279" t="s">
        <v>6518</v>
      </c>
      <c r="B40" s="257" t="s">
        <v>6586</v>
      </c>
      <c r="C40" s="258" t="s">
        <v>6596</v>
      </c>
      <c r="D40" s="261" t="s">
        <v>6597</v>
      </c>
      <c r="E40" s="262" t="s">
        <v>6522</v>
      </c>
      <c r="F40" s="265" t="s">
        <v>6591</v>
      </c>
      <c r="G40" s="268" t="str">
        <f>IF(COUNTIF(H40:AU40,"&lt;&gt;")=0,"",SUMPRODUCT(((Recommendations[ImplStatus]="Implemented")+(Recommendations[ImplStatus]="Compensated"))*ISNUMBER(MATCH(Recommendations[Id],H40:AU40,0)))/COUNTIF(H40:AU40,"&lt;&gt;"))</f>
        <v/>
      </c>
      <c r="H40" s="269"/>
      <c r="I40" s="269"/>
      <c r="J40" s="269"/>
      <c r="K40" s="269"/>
      <c r="L40" s="269"/>
      <c r="M40" s="269"/>
      <c r="N40" s="269"/>
      <c r="O40" s="269"/>
      <c r="P40" s="269"/>
      <c r="Q40" s="269"/>
      <c r="R40" s="269"/>
      <c r="S40" s="269"/>
      <c r="T40" s="269"/>
      <c r="U40" s="269"/>
      <c r="V40" s="269"/>
      <c r="W40" s="269"/>
      <c r="X40" s="269"/>
      <c r="Y40" s="269"/>
      <c r="Z40" s="269"/>
      <c r="AA40" s="269"/>
      <c r="AB40" s="269"/>
      <c r="AC40" s="269"/>
      <c r="AD40" s="269"/>
      <c r="AE40" s="269"/>
      <c r="AF40" s="269"/>
      <c r="AG40" s="269"/>
      <c r="AH40" s="269"/>
      <c r="AI40" s="269"/>
      <c r="AJ40" s="269"/>
      <c r="AK40" s="269"/>
      <c r="AL40" s="269"/>
      <c r="AM40" s="269"/>
      <c r="AN40" s="269"/>
      <c r="AO40" s="269"/>
      <c r="AP40" s="269"/>
      <c r="AQ40" s="269"/>
      <c r="AR40" s="269"/>
      <c r="AS40" s="269"/>
      <c r="AT40" s="269"/>
      <c r="AU40" s="283"/>
    </row>
    <row r="41" spans="1:47" ht="60" customHeight="1" x14ac:dyDescent="0.35">
      <c r="A41" s="279" t="s">
        <v>6518</v>
      </c>
      <c r="B41" s="257" t="s">
        <v>6586</v>
      </c>
      <c r="C41" s="258" t="s">
        <v>6598</v>
      </c>
      <c r="D41" s="261" t="s">
        <v>6599</v>
      </c>
      <c r="E41" s="262" t="s">
        <v>6522</v>
      </c>
      <c r="F41" s="265" t="s">
        <v>6591</v>
      </c>
      <c r="G41" s="268" t="str">
        <f>IF(COUNTIF(H41:AU41,"&lt;&gt;")=0,"",SUMPRODUCT(((Recommendations[ImplStatus]="Implemented")+(Recommendations[ImplStatus]="Compensated"))*ISNUMBER(MATCH(Recommendations[Id],H41:AU41,0)))/COUNTIF(H41:AU41,"&lt;&gt;"))</f>
        <v/>
      </c>
      <c r="H41" s="269"/>
      <c r="I41" s="269"/>
      <c r="J41" s="269"/>
      <c r="K41" s="269"/>
      <c r="L41" s="269"/>
      <c r="M41" s="269"/>
      <c r="N41" s="269"/>
      <c r="O41" s="269"/>
      <c r="P41" s="269"/>
      <c r="Q41" s="269"/>
      <c r="R41" s="269"/>
      <c r="S41" s="269"/>
      <c r="T41" s="269"/>
      <c r="U41" s="269"/>
      <c r="V41" s="269"/>
      <c r="W41" s="269"/>
      <c r="X41" s="269"/>
      <c r="Y41" s="269"/>
      <c r="Z41" s="269"/>
      <c r="AA41" s="269"/>
      <c r="AB41" s="269"/>
      <c r="AC41" s="269"/>
      <c r="AD41" s="269"/>
      <c r="AE41" s="269"/>
      <c r="AF41" s="269"/>
      <c r="AG41" s="269"/>
      <c r="AH41" s="269"/>
      <c r="AI41" s="269"/>
      <c r="AJ41" s="269"/>
      <c r="AK41" s="269"/>
      <c r="AL41" s="269"/>
      <c r="AM41" s="269"/>
      <c r="AN41" s="269"/>
      <c r="AO41" s="269"/>
      <c r="AP41" s="269"/>
      <c r="AQ41" s="269"/>
      <c r="AR41" s="269"/>
      <c r="AS41" s="269"/>
      <c r="AT41" s="269"/>
      <c r="AU41" s="283"/>
    </row>
    <row r="42" spans="1:47" ht="60" customHeight="1" x14ac:dyDescent="0.35">
      <c r="A42" s="279" t="s">
        <v>6518</v>
      </c>
      <c r="B42" s="257" t="s">
        <v>6586</v>
      </c>
      <c r="C42" s="258" t="s">
        <v>6600</v>
      </c>
      <c r="D42" s="261" t="s">
        <v>6601</v>
      </c>
      <c r="E42" s="262" t="s">
        <v>6522</v>
      </c>
      <c r="F42" s="265" t="s">
        <v>6591</v>
      </c>
      <c r="G42" s="268" t="str">
        <f>IF(COUNTIF(H42:AU42,"&lt;&gt;")=0,"",SUMPRODUCT(((Recommendations[ImplStatus]="Implemented")+(Recommendations[ImplStatus]="Compensated"))*ISNUMBER(MATCH(Recommendations[Id],H42:AU42,0)))/COUNTIF(H42:AU42,"&lt;&gt;"))</f>
        <v/>
      </c>
      <c r="H42" s="269"/>
      <c r="I42" s="269"/>
      <c r="J42" s="269"/>
      <c r="K42" s="269"/>
      <c r="L42" s="269"/>
      <c r="M42" s="269"/>
      <c r="N42" s="269"/>
      <c r="O42" s="269"/>
      <c r="P42" s="269"/>
      <c r="Q42" s="269"/>
      <c r="R42" s="269"/>
      <c r="S42" s="269"/>
      <c r="T42" s="269"/>
      <c r="U42" s="269"/>
      <c r="V42" s="269"/>
      <c r="W42" s="269"/>
      <c r="X42" s="269"/>
      <c r="Y42" s="269"/>
      <c r="Z42" s="269"/>
      <c r="AA42" s="269"/>
      <c r="AB42" s="269"/>
      <c r="AC42" s="269"/>
      <c r="AD42" s="269"/>
      <c r="AE42" s="269"/>
      <c r="AF42" s="269"/>
      <c r="AG42" s="269"/>
      <c r="AH42" s="269"/>
      <c r="AI42" s="269"/>
      <c r="AJ42" s="269"/>
      <c r="AK42" s="269"/>
      <c r="AL42" s="269"/>
      <c r="AM42" s="269"/>
      <c r="AN42" s="269"/>
      <c r="AO42" s="269"/>
      <c r="AP42" s="269"/>
      <c r="AQ42" s="269"/>
      <c r="AR42" s="269"/>
      <c r="AS42" s="269"/>
      <c r="AT42" s="269"/>
      <c r="AU42" s="283"/>
    </row>
    <row r="43" spans="1:47" ht="60" customHeight="1" x14ac:dyDescent="0.35">
      <c r="A43" s="279" t="s">
        <v>6518</v>
      </c>
      <c r="B43" s="257" t="s">
        <v>6586</v>
      </c>
      <c r="C43" s="258" t="s">
        <v>6602</v>
      </c>
      <c r="D43" s="261" t="s">
        <v>6603</v>
      </c>
      <c r="E43" s="262" t="s">
        <v>6522</v>
      </c>
      <c r="F43" s="265" t="s">
        <v>6591</v>
      </c>
      <c r="G43" s="268" t="str">
        <f>IF(COUNTIF(H43:AU43,"&lt;&gt;")=0,"",SUMPRODUCT(((Recommendations[ImplStatus]="Implemented")+(Recommendations[ImplStatus]="Compensated"))*ISNUMBER(MATCH(Recommendations[Id],H43:AU43,0)))/COUNTIF(H43:AU43,"&lt;&gt;"))</f>
        <v/>
      </c>
      <c r="H43" s="269"/>
      <c r="I43" s="269"/>
      <c r="J43" s="269"/>
      <c r="K43" s="269"/>
      <c r="L43" s="269"/>
      <c r="M43" s="269"/>
      <c r="N43" s="269"/>
      <c r="O43" s="269"/>
      <c r="P43" s="269"/>
      <c r="Q43" s="269"/>
      <c r="R43" s="269"/>
      <c r="S43" s="269"/>
      <c r="T43" s="269"/>
      <c r="U43" s="269"/>
      <c r="V43" s="269"/>
      <c r="W43" s="269"/>
      <c r="X43" s="269"/>
      <c r="Y43" s="269"/>
      <c r="Z43" s="269"/>
      <c r="AA43" s="269"/>
      <c r="AB43" s="269"/>
      <c r="AC43" s="269"/>
      <c r="AD43" s="269"/>
      <c r="AE43" s="269"/>
      <c r="AF43" s="269"/>
      <c r="AG43" s="269"/>
      <c r="AH43" s="269"/>
      <c r="AI43" s="269"/>
      <c r="AJ43" s="269"/>
      <c r="AK43" s="269"/>
      <c r="AL43" s="269"/>
      <c r="AM43" s="269"/>
      <c r="AN43" s="269"/>
      <c r="AO43" s="269"/>
      <c r="AP43" s="269"/>
      <c r="AQ43" s="269"/>
      <c r="AR43" s="269"/>
      <c r="AS43" s="269"/>
      <c r="AT43" s="269"/>
      <c r="AU43" s="283"/>
    </row>
    <row r="44" spans="1:47" ht="60" customHeight="1" x14ac:dyDescent="0.35">
      <c r="A44" s="279" t="s">
        <v>6518</v>
      </c>
      <c r="B44" s="257" t="s">
        <v>6586</v>
      </c>
      <c r="C44" s="258" t="s">
        <v>6604</v>
      </c>
      <c r="D44" s="261" t="s">
        <v>6605</v>
      </c>
      <c r="E44" s="262" t="s">
        <v>6522</v>
      </c>
      <c r="F44" s="265" t="s">
        <v>6591</v>
      </c>
      <c r="G44" s="268" t="str">
        <f>IF(COUNTIF(H44:AU44,"&lt;&gt;")=0,"",SUMPRODUCT(((Recommendations[ImplStatus]="Implemented")+(Recommendations[ImplStatus]="Compensated"))*ISNUMBER(MATCH(Recommendations[Id],H44:AU44,0)))/COUNTIF(H44:AU44,"&lt;&gt;"))</f>
        <v/>
      </c>
      <c r="H44" s="269"/>
      <c r="I44" s="269"/>
      <c r="J44" s="269"/>
      <c r="K44" s="269"/>
      <c r="L44" s="269"/>
      <c r="M44" s="269"/>
      <c r="N44" s="269"/>
      <c r="O44" s="269"/>
      <c r="P44" s="269"/>
      <c r="Q44" s="269"/>
      <c r="R44" s="269"/>
      <c r="S44" s="269"/>
      <c r="T44" s="269"/>
      <c r="U44" s="269"/>
      <c r="V44" s="269"/>
      <c r="W44" s="269"/>
      <c r="X44" s="269"/>
      <c r="Y44" s="269"/>
      <c r="Z44" s="269"/>
      <c r="AA44" s="269"/>
      <c r="AB44" s="269"/>
      <c r="AC44" s="269"/>
      <c r="AD44" s="269"/>
      <c r="AE44" s="269"/>
      <c r="AF44" s="269"/>
      <c r="AG44" s="269"/>
      <c r="AH44" s="269"/>
      <c r="AI44" s="269"/>
      <c r="AJ44" s="269"/>
      <c r="AK44" s="269"/>
      <c r="AL44" s="269"/>
      <c r="AM44" s="269"/>
      <c r="AN44" s="269"/>
      <c r="AO44" s="269"/>
      <c r="AP44" s="269"/>
      <c r="AQ44" s="269"/>
      <c r="AR44" s="269"/>
      <c r="AS44" s="269"/>
      <c r="AT44" s="269"/>
      <c r="AU44" s="283"/>
    </row>
    <row r="45" spans="1:47" ht="60" customHeight="1" x14ac:dyDescent="0.35">
      <c r="A45" s="279" t="s">
        <v>6518</v>
      </c>
      <c r="B45" s="257" t="s">
        <v>6586</v>
      </c>
      <c r="C45" s="258" t="s">
        <v>6606</v>
      </c>
      <c r="D45" s="261" t="s">
        <v>6607</v>
      </c>
      <c r="E45" s="262" t="s">
        <v>6522</v>
      </c>
      <c r="F45" s="265" t="s">
        <v>6591</v>
      </c>
      <c r="G45" s="268" t="str">
        <f>IF(COUNTIF(H45:AU45,"&lt;&gt;")=0,"",SUMPRODUCT(((Recommendations[ImplStatus]="Implemented")+(Recommendations[ImplStatus]="Compensated"))*ISNUMBER(MATCH(Recommendations[Id],H45:AU45,0)))/COUNTIF(H45:AU45,"&lt;&gt;"))</f>
        <v/>
      </c>
      <c r="H45" s="269"/>
      <c r="I45" s="269"/>
      <c r="J45" s="269"/>
      <c r="K45" s="269"/>
      <c r="L45" s="269"/>
      <c r="M45" s="269"/>
      <c r="N45" s="269"/>
      <c r="O45" s="269"/>
      <c r="P45" s="269"/>
      <c r="Q45" s="269"/>
      <c r="R45" s="269"/>
      <c r="S45" s="269"/>
      <c r="T45" s="269"/>
      <c r="U45" s="269"/>
      <c r="V45" s="269"/>
      <c r="W45" s="269"/>
      <c r="X45" s="269"/>
      <c r="Y45" s="269"/>
      <c r="Z45" s="269"/>
      <c r="AA45" s="269"/>
      <c r="AB45" s="269"/>
      <c r="AC45" s="269"/>
      <c r="AD45" s="269"/>
      <c r="AE45" s="269"/>
      <c r="AF45" s="269"/>
      <c r="AG45" s="269"/>
      <c r="AH45" s="269"/>
      <c r="AI45" s="269"/>
      <c r="AJ45" s="269"/>
      <c r="AK45" s="269"/>
      <c r="AL45" s="269"/>
      <c r="AM45" s="269"/>
      <c r="AN45" s="269"/>
      <c r="AO45" s="269"/>
      <c r="AP45" s="269"/>
      <c r="AQ45" s="269"/>
      <c r="AR45" s="269"/>
      <c r="AS45" s="269"/>
      <c r="AT45" s="269"/>
      <c r="AU45" s="283"/>
    </row>
    <row r="46" spans="1:47" ht="60" customHeight="1" x14ac:dyDescent="0.35">
      <c r="A46" s="279" t="s">
        <v>6518</v>
      </c>
      <c r="B46" s="257" t="s">
        <v>6586</v>
      </c>
      <c r="C46" s="258" t="s">
        <v>6608</v>
      </c>
      <c r="D46" s="261" t="s">
        <v>6609</v>
      </c>
      <c r="E46" s="262" t="s">
        <v>6522</v>
      </c>
      <c r="F46" s="265" t="s">
        <v>6591</v>
      </c>
      <c r="G46" s="268" t="str">
        <f>IF(COUNTIF(H46:AU46,"&lt;&gt;")=0,"",SUMPRODUCT(((Recommendations[ImplStatus]="Implemented")+(Recommendations[ImplStatus]="Compensated"))*ISNUMBER(MATCH(Recommendations[Id],H46:AU46,0)))/COUNTIF(H46:AU46,"&lt;&gt;"))</f>
        <v/>
      </c>
      <c r="H46" s="269"/>
      <c r="I46" s="269"/>
      <c r="J46" s="269"/>
      <c r="K46" s="269"/>
      <c r="L46" s="269"/>
      <c r="M46" s="269"/>
      <c r="N46" s="269"/>
      <c r="O46" s="269"/>
      <c r="P46" s="269"/>
      <c r="Q46" s="269"/>
      <c r="R46" s="269"/>
      <c r="S46" s="269"/>
      <c r="T46" s="269"/>
      <c r="U46" s="269"/>
      <c r="V46" s="269"/>
      <c r="W46" s="269"/>
      <c r="X46" s="269"/>
      <c r="Y46" s="269"/>
      <c r="Z46" s="269"/>
      <c r="AA46" s="269"/>
      <c r="AB46" s="269"/>
      <c r="AC46" s="269"/>
      <c r="AD46" s="269"/>
      <c r="AE46" s="269"/>
      <c r="AF46" s="269"/>
      <c r="AG46" s="269"/>
      <c r="AH46" s="269"/>
      <c r="AI46" s="269"/>
      <c r="AJ46" s="269"/>
      <c r="AK46" s="269"/>
      <c r="AL46" s="269"/>
      <c r="AM46" s="269"/>
      <c r="AN46" s="269"/>
      <c r="AO46" s="269"/>
      <c r="AP46" s="269"/>
      <c r="AQ46" s="269"/>
      <c r="AR46" s="269"/>
      <c r="AS46" s="269"/>
      <c r="AT46" s="269"/>
      <c r="AU46" s="283"/>
    </row>
    <row r="47" spans="1:47" ht="60" customHeight="1" x14ac:dyDescent="0.35">
      <c r="A47" s="279" t="s">
        <v>6518</v>
      </c>
      <c r="B47" s="257" t="s">
        <v>6586</v>
      </c>
      <c r="C47" s="258" t="s">
        <v>6610</v>
      </c>
      <c r="D47" s="261" t="s">
        <v>6611</v>
      </c>
      <c r="E47" s="262" t="s">
        <v>6522</v>
      </c>
      <c r="F47" s="265" t="s">
        <v>6591</v>
      </c>
      <c r="G47" s="268" t="str">
        <f>IF(COUNTIF(H47:AU47,"&lt;&gt;")=0,"",SUMPRODUCT(((Recommendations[ImplStatus]="Implemented")+(Recommendations[ImplStatus]="Compensated"))*ISNUMBER(MATCH(Recommendations[Id],H47:AU47,0)))/COUNTIF(H47:AU47,"&lt;&gt;"))</f>
        <v/>
      </c>
      <c r="H47" s="269"/>
      <c r="I47" s="269"/>
      <c r="J47" s="269"/>
      <c r="K47" s="269"/>
      <c r="L47" s="269"/>
      <c r="M47" s="269"/>
      <c r="N47" s="269"/>
      <c r="O47" s="269"/>
      <c r="P47" s="269"/>
      <c r="Q47" s="269"/>
      <c r="R47" s="269"/>
      <c r="S47" s="269"/>
      <c r="T47" s="269"/>
      <c r="U47" s="269"/>
      <c r="V47" s="269"/>
      <c r="W47" s="269"/>
      <c r="X47" s="269"/>
      <c r="Y47" s="269"/>
      <c r="Z47" s="269"/>
      <c r="AA47" s="269"/>
      <c r="AB47" s="269"/>
      <c r="AC47" s="269"/>
      <c r="AD47" s="269"/>
      <c r="AE47" s="269"/>
      <c r="AF47" s="269"/>
      <c r="AG47" s="269"/>
      <c r="AH47" s="269"/>
      <c r="AI47" s="269"/>
      <c r="AJ47" s="269"/>
      <c r="AK47" s="269"/>
      <c r="AL47" s="269"/>
      <c r="AM47" s="269"/>
      <c r="AN47" s="269"/>
      <c r="AO47" s="269"/>
      <c r="AP47" s="269"/>
      <c r="AQ47" s="269"/>
      <c r="AR47" s="269"/>
      <c r="AS47" s="269"/>
      <c r="AT47" s="269"/>
      <c r="AU47" s="283"/>
    </row>
    <row r="48" spans="1:47" ht="60" customHeight="1" x14ac:dyDescent="0.35">
      <c r="A48" s="279" t="s">
        <v>6518</v>
      </c>
      <c r="B48" s="257" t="s">
        <v>6586</v>
      </c>
      <c r="C48" s="258" t="s">
        <v>6612</v>
      </c>
      <c r="D48" s="261" t="s">
        <v>6613</v>
      </c>
      <c r="E48" s="262" t="s">
        <v>6522</v>
      </c>
      <c r="F48" s="265" t="s">
        <v>6591</v>
      </c>
      <c r="G48" s="268" t="str">
        <f>IF(COUNTIF(H48:AU48,"&lt;&gt;")=0,"",SUMPRODUCT(((Recommendations[ImplStatus]="Implemented")+(Recommendations[ImplStatus]="Compensated"))*ISNUMBER(MATCH(Recommendations[Id],H48:AU48,0)))/COUNTIF(H48:AU48,"&lt;&gt;"))</f>
        <v/>
      </c>
      <c r="H48" s="269"/>
      <c r="I48" s="269"/>
      <c r="J48" s="269"/>
      <c r="K48" s="269"/>
      <c r="L48" s="269"/>
      <c r="M48" s="269"/>
      <c r="N48" s="269"/>
      <c r="O48" s="269"/>
      <c r="P48" s="269"/>
      <c r="Q48" s="269"/>
      <c r="R48" s="269"/>
      <c r="S48" s="269"/>
      <c r="T48" s="269"/>
      <c r="U48" s="269"/>
      <c r="V48" s="269"/>
      <c r="W48" s="269"/>
      <c r="X48" s="269"/>
      <c r="Y48" s="269"/>
      <c r="Z48" s="269"/>
      <c r="AA48" s="269"/>
      <c r="AB48" s="269"/>
      <c r="AC48" s="269"/>
      <c r="AD48" s="269"/>
      <c r="AE48" s="269"/>
      <c r="AF48" s="269"/>
      <c r="AG48" s="269"/>
      <c r="AH48" s="269"/>
      <c r="AI48" s="269"/>
      <c r="AJ48" s="269"/>
      <c r="AK48" s="269"/>
      <c r="AL48" s="269"/>
      <c r="AM48" s="269"/>
      <c r="AN48" s="269"/>
      <c r="AO48" s="269"/>
      <c r="AP48" s="269"/>
      <c r="AQ48" s="269"/>
      <c r="AR48" s="269"/>
      <c r="AS48" s="269"/>
      <c r="AT48" s="269"/>
      <c r="AU48" s="283"/>
    </row>
    <row r="49" spans="1:47" ht="60" customHeight="1" x14ac:dyDescent="0.35">
      <c r="A49" s="279" t="s">
        <v>6518</v>
      </c>
      <c r="B49" s="257" t="s">
        <v>6586</v>
      </c>
      <c r="C49" s="258" t="s">
        <v>6614</v>
      </c>
      <c r="D49" s="261" t="s">
        <v>6615</v>
      </c>
      <c r="E49" s="262" t="s">
        <v>6522</v>
      </c>
      <c r="F49" s="265" t="s">
        <v>6591</v>
      </c>
      <c r="G49" s="268" t="str">
        <f>IF(COUNTIF(H49:AU49,"&lt;&gt;")=0,"",SUMPRODUCT(((Recommendations[ImplStatus]="Implemented")+(Recommendations[ImplStatus]="Compensated"))*ISNUMBER(MATCH(Recommendations[Id],H49:AU49,0)))/COUNTIF(H49:AU49,"&lt;&gt;"))</f>
        <v/>
      </c>
      <c r="H49" s="269"/>
      <c r="I49" s="269"/>
      <c r="J49" s="269"/>
      <c r="K49" s="269"/>
      <c r="L49" s="269"/>
      <c r="M49" s="269"/>
      <c r="N49" s="269"/>
      <c r="O49" s="269"/>
      <c r="P49" s="269"/>
      <c r="Q49" s="269"/>
      <c r="R49" s="269"/>
      <c r="S49" s="269"/>
      <c r="T49" s="269"/>
      <c r="U49" s="269"/>
      <c r="V49" s="269"/>
      <c r="W49" s="269"/>
      <c r="X49" s="269"/>
      <c r="Y49" s="269"/>
      <c r="Z49" s="269"/>
      <c r="AA49" s="269"/>
      <c r="AB49" s="269"/>
      <c r="AC49" s="269"/>
      <c r="AD49" s="269"/>
      <c r="AE49" s="269"/>
      <c r="AF49" s="269"/>
      <c r="AG49" s="269"/>
      <c r="AH49" s="269"/>
      <c r="AI49" s="269"/>
      <c r="AJ49" s="269"/>
      <c r="AK49" s="269"/>
      <c r="AL49" s="269"/>
      <c r="AM49" s="269"/>
      <c r="AN49" s="269"/>
      <c r="AO49" s="269"/>
      <c r="AP49" s="269"/>
      <c r="AQ49" s="269"/>
      <c r="AR49" s="269"/>
      <c r="AS49" s="269"/>
      <c r="AT49" s="269"/>
      <c r="AU49" s="283"/>
    </row>
    <row r="50" spans="1:47" ht="60" customHeight="1" outlineLevel="2" x14ac:dyDescent="0.35">
      <c r="A50" s="278" t="s">
        <v>6518</v>
      </c>
      <c r="B50" s="256" t="s">
        <v>3788</v>
      </c>
      <c r="C50" s="256"/>
      <c r="D50" s="260"/>
      <c r="E50" s="256"/>
      <c r="F50" s="264"/>
      <c r="G50" s="267" t="str">
        <f>IF(COUNTIF(H50:AU50,"&lt;&gt;")=0,"",SUMPRODUCT(((Recommendations[ImplStatus]="Implemented")+(Recommendations[ImplStatus]="Compensated"))*ISNUMBER(MATCH(Recommendations[Id],H50:AU50,0)))/COUNTIF(H50:AU50,"&lt;&gt;"))</f>
        <v/>
      </c>
      <c r="H50" s="264"/>
      <c r="I50" s="264"/>
      <c r="J50" s="264"/>
      <c r="K50" s="264"/>
      <c r="L50" s="264"/>
      <c r="M50" s="264"/>
      <c r="N50" s="264"/>
      <c r="O50" s="264"/>
      <c r="P50" s="264"/>
      <c r="Q50" s="264"/>
      <c r="R50" s="264"/>
      <c r="S50" s="264"/>
      <c r="T50" s="264"/>
      <c r="U50" s="264"/>
      <c r="V50" s="264"/>
      <c r="W50" s="264"/>
      <c r="X50" s="264"/>
      <c r="Y50" s="264"/>
      <c r="Z50" s="264"/>
      <c r="AA50" s="264"/>
      <c r="AB50" s="264"/>
      <c r="AC50" s="264"/>
      <c r="AD50" s="264"/>
      <c r="AE50" s="264"/>
      <c r="AF50" s="264"/>
      <c r="AG50" s="264"/>
      <c r="AH50" s="264"/>
      <c r="AI50" s="264"/>
      <c r="AJ50" s="264"/>
      <c r="AK50" s="264"/>
      <c r="AL50" s="264"/>
      <c r="AM50" s="264"/>
      <c r="AN50" s="264"/>
      <c r="AO50" s="264"/>
      <c r="AP50" s="264"/>
      <c r="AQ50" s="264"/>
      <c r="AR50" s="264"/>
      <c r="AS50" s="264"/>
      <c r="AT50" s="264"/>
      <c r="AU50" s="282"/>
    </row>
    <row r="51" spans="1:47" ht="60" customHeight="1" x14ac:dyDescent="0.35">
      <c r="A51" s="279" t="s">
        <v>6518</v>
      </c>
      <c r="B51" s="257" t="s">
        <v>3788</v>
      </c>
      <c r="C51" s="258" t="s">
        <v>6616</v>
      </c>
      <c r="D51" s="261" t="s">
        <v>6617</v>
      </c>
      <c r="E51" s="262" t="s">
        <v>6618</v>
      </c>
      <c r="F51" s="265" t="s">
        <v>6619</v>
      </c>
      <c r="G51" s="268" t="str">
        <f>IF(COUNTIF(H51:AU51,"&lt;&gt;")=0,"",SUMPRODUCT(((Recommendations[ImplStatus]="Implemented")+(Recommendations[ImplStatus]="Compensated"))*ISNUMBER(MATCH(Recommendations[Id],H51:AU51,0)))/COUNTIF(H51:AU51,"&lt;&gt;"))</f>
        <v/>
      </c>
      <c r="H51" s="269"/>
      <c r="I51" s="269"/>
      <c r="J51" s="269"/>
      <c r="K51" s="269"/>
      <c r="L51" s="269"/>
      <c r="M51" s="269"/>
      <c r="N51" s="269"/>
      <c r="O51" s="269"/>
      <c r="P51" s="269"/>
      <c r="Q51" s="269"/>
      <c r="R51" s="269"/>
      <c r="S51" s="269"/>
      <c r="T51" s="269"/>
      <c r="U51" s="269"/>
      <c r="V51" s="269"/>
      <c r="W51" s="269"/>
      <c r="X51" s="269"/>
      <c r="Y51" s="269"/>
      <c r="Z51" s="269"/>
      <c r="AA51" s="269"/>
      <c r="AB51" s="269"/>
      <c r="AC51" s="269"/>
      <c r="AD51" s="269"/>
      <c r="AE51" s="269"/>
      <c r="AF51" s="269"/>
      <c r="AG51" s="269"/>
      <c r="AH51" s="269"/>
      <c r="AI51" s="269"/>
      <c r="AJ51" s="269"/>
      <c r="AK51" s="269"/>
      <c r="AL51" s="269"/>
      <c r="AM51" s="269"/>
      <c r="AN51" s="269"/>
      <c r="AO51" s="269"/>
      <c r="AP51" s="269"/>
      <c r="AQ51" s="269"/>
      <c r="AR51" s="269"/>
      <c r="AS51" s="269"/>
      <c r="AT51" s="269"/>
      <c r="AU51" s="283"/>
    </row>
    <row r="52" spans="1:47" ht="60" customHeight="1" x14ac:dyDescent="0.35">
      <c r="A52" s="279" t="s">
        <v>6518</v>
      </c>
      <c r="B52" s="257" t="s">
        <v>3788</v>
      </c>
      <c r="C52" s="258" t="s">
        <v>6620</v>
      </c>
      <c r="D52" s="261" t="s">
        <v>6621</v>
      </c>
      <c r="E52" s="262" t="s">
        <v>6618</v>
      </c>
      <c r="F52" s="265" t="s">
        <v>6619</v>
      </c>
      <c r="G52" s="268" t="str">
        <f>IF(COUNTIF(H52:AU52,"&lt;&gt;")=0,"",SUMPRODUCT(((Recommendations[ImplStatus]="Implemented")+(Recommendations[ImplStatus]="Compensated"))*ISNUMBER(MATCH(Recommendations[Id],H52:AU52,0)))/COUNTIF(H52:AU52,"&lt;&gt;"))</f>
        <v/>
      </c>
      <c r="H52" s="269"/>
      <c r="I52" s="269"/>
      <c r="J52" s="269"/>
      <c r="K52" s="269"/>
      <c r="L52" s="269"/>
      <c r="M52" s="269"/>
      <c r="N52" s="269"/>
      <c r="O52" s="269"/>
      <c r="P52" s="269"/>
      <c r="Q52" s="269"/>
      <c r="R52" s="269"/>
      <c r="S52" s="269"/>
      <c r="T52" s="269"/>
      <c r="U52" s="269"/>
      <c r="V52" s="269"/>
      <c r="W52" s="269"/>
      <c r="X52" s="269"/>
      <c r="Y52" s="269"/>
      <c r="Z52" s="269"/>
      <c r="AA52" s="269"/>
      <c r="AB52" s="269"/>
      <c r="AC52" s="269"/>
      <c r="AD52" s="269"/>
      <c r="AE52" s="269"/>
      <c r="AF52" s="269"/>
      <c r="AG52" s="269"/>
      <c r="AH52" s="269"/>
      <c r="AI52" s="269"/>
      <c r="AJ52" s="269"/>
      <c r="AK52" s="269"/>
      <c r="AL52" s="269"/>
      <c r="AM52" s="269"/>
      <c r="AN52" s="269"/>
      <c r="AO52" s="269"/>
      <c r="AP52" s="269"/>
      <c r="AQ52" s="269"/>
      <c r="AR52" s="269"/>
      <c r="AS52" s="269"/>
      <c r="AT52" s="269"/>
      <c r="AU52" s="283"/>
    </row>
    <row r="53" spans="1:47" ht="60" customHeight="1" x14ac:dyDescent="0.35">
      <c r="A53" s="279" t="s">
        <v>6518</v>
      </c>
      <c r="B53" s="257" t="s">
        <v>3788</v>
      </c>
      <c r="C53" s="258" t="s">
        <v>6622</v>
      </c>
      <c r="D53" s="261" t="s">
        <v>6623</v>
      </c>
      <c r="E53" s="262" t="s">
        <v>6618</v>
      </c>
      <c r="F53" s="265" t="s">
        <v>6619</v>
      </c>
      <c r="G53" s="268" t="str">
        <f>IF(COUNTIF(H53:AU53,"&lt;&gt;")=0,"",SUMPRODUCT(((Recommendations[ImplStatus]="Implemented")+(Recommendations[ImplStatus]="Compensated"))*ISNUMBER(MATCH(Recommendations[Id],H53:AU53,0)))/COUNTIF(H53:AU53,"&lt;&gt;"))</f>
        <v/>
      </c>
      <c r="H53" s="269"/>
      <c r="I53" s="269"/>
      <c r="J53" s="269"/>
      <c r="K53" s="269"/>
      <c r="L53" s="269"/>
      <c r="M53" s="269"/>
      <c r="N53" s="269"/>
      <c r="O53" s="269"/>
      <c r="P53" s="269"/>
      <c r="Q53" s="269"/>
      <c r="R53" s="269"/>
      <c r="S53" s="269"/>
      <c r="T53" s="269"/>
      <c r="U53" s="269"/>
      <c r="V53" s="269"/>
      <c r="W53" s="269"/>
      <c r="X53" s="269"/>
      <c r="Y53" s="269"/>
      <c r="Z53" s="269"/>
      <c r="AA53" s="269"/>
      <c r="AB53" s="269"/>
      <c r="AC53" s="269"/>
      <c r="AD53" s="269"/>
      <c r="AE53" s="269"/>
      <c r="AF53" s="269"/>
      <c r="AG53" s="269"/>
      <c r="AH53" s="269"/>
      <c r="AI53" s="269"/>
      <c r="AJ53" s="269"/>
      <c r="AK53" s="269"/>
      <c r="AL53" s="269"/>
      <c r="AM53" s="269"/>
      <c r="AN53" s="269"/>
      <c r="AO53" s="269"/>
      <c r="AP53" s="269"/>
      <c r="AQ53" s="269"/>
      <c r="AR53" s="269"/>
      <c r="AS53" s="269"/>
      <c r="AT53" s="269"/>
      <c r="AU53" s="283"/>
    </row>
    <row r="54" spans="1:47" ht="60" customHeight="1" x14ac:dyDescent="0.35">
      <c r="A54" s="279" t="s">
        <v>6518</v>
      </c>
      <c r="B54" s="257" t="s">
        <v>3788</v>
      </c>
      <c r="C54" s="258" t="s">
        <v>6624</v>
      </c>
      <c r="D54" s="261" t="s">
        <v>6625</v>
      </c>
      <c r="E54" s="262" t="s">
        <v>6618</v>
      </c>
      <c r="F54" s="265" t="s">
        <v>6619</v>
      </c>
      <c r="G54" s="268" t="str">
        <f>IF(COUNTIF(H54:AU54,"&lt;&gt;")=0,"",SUMPRODUCT(((Recommendations[ImplStatus]="Implemented")+(Recommendations[ImplStatus]="Compensated"))*ISNUMBER(MATCH(Recommendations[Id],H54:AU54,0)))/COUNTIF(H54:AU54,"&lt;&gt;"))</f>
        <v/>
      </c>
      <c r="H54" s="269"/>
      <c r="I54" s="269"/>
      <c r="J54" s="269"/>
      <c r="K54" s="269"/>
      <c r="L54" s="269"/>
      <c r="M54" s="269"/>
      <c r="N54" s="269"/>
      <c r="O54" s="269"/>
      <c r="P54" s="269"/>
      <c r="Q54" s="269"/>
      <c r="R54" s="269"/>
      <c r="S54" s="269"/>
      <c r="T54" s="269"/>
      <c r="U54" s="269"/>
      <c r="V54" s="269"/>
      <c r="W54" s="269"/>
      <c r="X54" s="269"/>
      <c r="Y54" s="269"/>
      <c r="Z54" s="269"/>
      <c r="AA54" s="269"/>
      <c r="AB54" s="269"/>
      <c r="AC54" s="269"/>
      <c r="AD54" s="269"/>
      <c r="AE54" s="269"/>
      <c r="AF54" s="269"/>
      <c r="AG54" s="269"/>
      <c r="AH54" s="269"/>
      <c r="AI54" s="269"/>
      <c r="AJ54" s="269"/>
      <c r="AK54" s="269"/>
      <c r="AL54" s="269"/>
      <c r="AM54" s="269"/>
      <c r="AN54" s="269"/>
      <c r="AO54" s="269"/>
      <c r="AP54" s="269"/>
      <c r="AQ54" s="269"/>
      <c r="AR54" s="269"/>
      <c r="AS54" s="269"/>
      <c r="AT54" s="269"/>
      <c r="AU54" s="283"/>
    </row>
    <row r="55" spans="1:47" ht="60" customHeight="1" x14ac:dyDescent="0.35">
      <c r="A55" s="279" t="s">
        <v>6518</v>
      </c>
      <c r="B55" s="257" t="s">
        <v>3788</v>
      </c>
      <c r="C55" s="258" t="s">
        <v>6626</v>
      </c>
      <c r="D55" s="261" t="s">
        <v>6627</v>
      </c>
      <c r="E55" s="262" t="s">
        <v>6618</v>
      </c>
      <c r="F55" s="265" t="s">
        <v>6619</v>
      </c>
      <c r="G55" s="268" t="str">
        <f>IF(COUNTIF(H55:AU55,"&lt;&gt;")=0,"",SUMPRODUCT(((Recommendations[ImplStatus]="Implemented")+(Recommendations[ImplStatus]="Compensated"))*ISNUMBER(MATCH(Recommendations[Id],H55:AU55,0)))/COUNTIF(H55:AU55,"&lt;&gt;"))</f>
        <v/>
      </c>
      <c r="H55" s="269"/>
      <c r="I55" s="269"/>
      <c r="J55" s="269"/>
      <c r="K55" s="269"/>
      <c r="L55" s="269"/>
      <c r="M55" s="269"/>
      <c r="N55" s="269"/>
      <c r="O55" s="269"/>
      <c r="P55" s="269"/>
      <c r="Q55" s="269"/>
      <c r="R55" s="269"/>
      <c r="S55" s="269"/>
      <c r="T55" s="269"/>
      <c r="U55" s="269"/>
      <c r="V55" s="269"/>
      <c r="W55" s="269"/>
      <c r="X55" s="269"/>
      <c r="Y55" s="269"/>
      <c r="Z55" s="269"/>
      <c r="AA55" s="269"/>
      <c r="AB55" s="269"/>
      <c r="AC55" s="269"/>
      <c r="AD55" s="269"/>
      <c r="AE55" s="269"/>
      <c r="AF55" s="269"/>
      <c r="AG55" s="269"/>
      <c r="AH55" s="269"/>
      <c r="AI55" s="269"/>
      <c r="AJ55" s="269"/>
      <c r="AK55" s="269"/>
      <c r="AL55" s="269"/>
      <c r="AM55" s="269"/>
      <c r="AN55" s="269"/>
      <c r="AO55" s="269"/>
      <c r="AP55" s="269"/>
      <c r="AQ55" s="269"/>
      <c r="AR55" s="269"/>
      <c r="AS55" s="269"/>
      <c r="AT55" s="269"/>
      <c r="AU55" s="283"/>
    </row>
    <row r="56" spans="1:47" ht="60" customHeight="1" x14ac:dyDescent="0.35">
      <c r="A56" s="279" t="s">
        <v>6518</v>
      </c>
      <c r="B56" s="257" t="s">
        <v>3788</v>
      </c>
      <c r="C56" s="258" t="s">
        <v>6628</v>
      </c>
      <c r="D56" s="261" t="s">
        <v>6629</v>
      </c>
      <c r="E56" s="262" t="s">
        <v>6618</v>
      </c>
      <c r="F56" s="265" t="s">
        <v>6619</v>
      </c>
      <c r="G56" s="268" t="str">
        <f>IF(COUNTIF(H56:AU56,"&lt;&gt;")=0,"",SUMPRODUCT(((Recommendations[ImplStatus]="Implemented")+(Recommendations[ImplStatus]="Compensated"))*ISNUMBER(MATCH(Recommendations[Id],H56:AU56,0)))/COUNTIF(H56:AU56,"&lt;&gt;"))</f>
        <v/>
      </c>
      <c r="H56" s="269"/>
      <c r="I56" s="269"/>
      <c r="J56" s="269"/>
      <c r="K56" s="269"/>
      <c r="L56" s="269"/>
      <c r="M56" s="269"/>
      <c r="N56" s="269"/>
      <c r="O56" s="269"/>
      <c r="P56" s="269"/>
      <c r="Q56" s="269"/>
      <c r="R56" s="269"/>
      <c r="S56" s="269"/>
      <c r="T56" s="269"/>
      <c r="U56" s="269"/>
      <c r="V56" s="269"/>
      <c r="W56" s="269"/>
      <c r="X56" s="269"/>
      <c r="Y56" s="269"/>
      <c r="Z56" s="269"/>
      <c r="AA56" s="269"/>
      <c r="AB56" s="269"/>
      <c r="AC56" s="269"/>
      <c r="AD56" s="269"/>
      <c r="AE56" s="269"/>
      <c r="AF56" s="269"/>
      <c r="AG56" s="269"/>
      <c r="AH56" s="269"/>
      <c r="AI56" s="269"/>
      <c r="AJ56" s="269"/>
      <c r="AK56" s="269"/>
      <c r="AL56" s="269"/>
      <c r="AM56" s="269"/>
      <c r="AN56" s="269"/>
      <c r="AO56" s="269"/>
      <c r="AP56" s="269"/>
      <c r="AQ56" s="269"/>
      <c r="AR56" s="269"/>
      <c r="AS56" s="269"/>
      <c r="AT56" s="269"/>
      <c r="AU56" s="283"/>
    </row>
    <row r="57" spans="1:47" ht="60" customHeight="1" x14ac:dyDescent="0.35">
      <c r="A57" s="279" t="s">
        <v>6518</v>
      </c>
      <c r="B57" s="257" t="s">
        <v>3788</v>
      </c>
      <c r="C57" s="258" t="s">
        <v>6630</v>
      </c>
      <c r="D57" s="261" t="s">
        <v>6631</v>
      </c>
      <c r="E57" s="262" t="s">
        <v>6618</v>
      </c>
      <c r="F57" s="265" t="s">
        <v>6619</v>
      </c>
      <c r="G57" s="268" t="str">
        <f>IF(COUNTIF(H57:AU57,"&lt;&gt;")=0,"",SUMPRODUCT(((Recommendations[ImplStatus]="Implemented")+(Recommendations[ImplStatus]="Compensated"))*ISNUMBER(MATCH(Recommendations[Id],H57:AU57,0)))/COUNTIF(H57:AU57,"&lt;&gt;"))</f>
        <v/>
      </c>
      <c r="H57" s="269"/>
      <c r="I57" s="269"/>
      <c r="J57" s="269"/>
      <c r="K57" s="269"/>
      <c r="L57" s="269"/>
      <c r="M57" s="269"/>
      <c r="N57" s="269"/>
      <c r="O57" s="269"/>
      <c r="P57" s="269"/>
      <c r="Q57" s="269"/>
      <c r="R57" s="269"/>
      <c r="S57" s="269"/>
      <c r="T57" s="269"/>
      <c r="U57" s="269"/>
      <c r="V57" s="269"/>
      <c r="W57" s="269"/>
      <c r="X57" s="269"/>
      <c r="Y57" s="269"/>
      <c r="Z57" s="269"/>
      <c r="AA57" s="269"/>
      <c r="AB57" s="269"/>
      <c r="AC57" s="269"/>
      <c r="AD57" s="269"/>
      <c r="AE57" s="269"/>
      <c r="AF57" s="269"/>
      <c r="AG57" s="269"/>
      <c r="AH57" s="269"/>
      <c r="AI57" s="269"/>
      <c r="AJ57" s="269"/>
      <c r="AK57" s="269"/>
      <c r="AL57" s="269"/>
      <c r="AM57" s="269"/>
      <c r="AN57" s="269"/>
      <c r="AO57" s="269"/>
      <c r="AP57" s="269"/>
      <c r="AQ57" s="269"/>
      <c r="AR57" s="269"/>
      <c r="AS57" s="269"/>
      <c r="AT57" s="269"/>
      <c r="AU57" s="283"/>
    </row>
    <row r="58" spans="1:47" ht="60" customHeight="1" x14ac:dyDescent="0.35">
      <c r="A58" s="279" t="s">
        <v>6518</v>
      </c>
      <c r="B58" s="257" t="s">
        <v>3788</v>
      </c>
      <c r="C58" s="258" t="s">
        <v>6632</v>
      </c>
      <c r="D58" s="261" t="s">
        <v>6633</v>
      </c>
      <c r="E58" s="262" t="s">
        <v>6522</v>
      </c>
      <c r="F58" s="265" t="s">
        <v>6619</v>
      </c>
      <c r="G58" s="268" t="str">
        <f>IF(COUNTIF(H58:AU58,"&lt;&gt;")=0,"",SUMPRODUCT(((Recommendations[ImplStatus]="Implemented")+(Recommendations[ImplStatus]="Compensated"))*ISNUMBER(MATCH(Recommendations[Id],H58:AU58,0)))/COUNTIF(H58:AU58,"&lt;&gt;"))</f>
        <v/>
      </c>
      <c r="H58" s="269"/>
      <c r="I58" s="269"/>
      <c r="J58" s="269"/>
      <c r="K58" s="269"/>
      <c r="L58" s="269"/>
      <c r="M58" s="269"/>
      <c r="N58" s="269"/>
      <c r="O58" s="269"/>
      <c r="P58" s="269"/>
      <c r="Q58" s="269"/>
      <c r="R58" s="269"/>
      <c r="S58" s="269"/>
      <c r="T58" s="269"/>
      <c r="U58" s="269"/>
      <c r="V58" s="269"/>
      <c r="W58" s="269"/>
      <c r="X58" s="269"/>
      <c r="Y58" s="269"/>
      <c r="Z58" s="269"/>
      <c r="AA58" s="269"/>
      <c r="AB58" s="269"/>
      <c r="AC58" s="269"/>
      <c r="AD58" s="269"/>
      <c r="AE58" s="269"/>
      <c r="AF58" s="269"/>
      <c r="AG58" s="269"/>
      <c r="AH58" s="269"/>
      <c r="AI58" s="269"/>
      <c r="AJ58" s="269"/>
      <c r="AK58" s="269"/>
      <c r="AL58" s="269"/>
      <c r="AM58" s="269"/>
      <c r="AN58" s="269"/>
      <c r="AO58" s="269"/>
      <c r="AP58" s="269"/>
      <c r="AQ58" s="269"/>
      <c r="AR58" s="269"/>
      <c r="AS58" s="269"/>
      <c r="AT58" s="269"/>
      <c r="AU58" s="283"/>
    </row>
    <row r="59" spans="1:47" ht="60" customHeight="1" x14ac:dyDescent="0.35">
      <c r="A59" s="279" t="s">
        <v>6518</v>
      </c>
      <c r="B59" s="257" t="s">
        <v>3788</v>
      </c>
      <c r="C59" s="258" t="s">
        <v>6634</v>
      </c>
      <c r="D59" s="261" t="s">
        <v>6635</v>
      </c>
      <c r="E59" s="262" t="s">
        <v>6522</v>
      </c>
      <c r="F59" s="265" t="s">
        <v>6619</v>
      </c>
      <c r="G59" s="268" t="str">
        <f>IF(COUNTIF(H59:AU59,"&lt;&gt;")=0,"",SUMPRODUCT(((Recommendations[ImplStatus]="Implemented")+(Recommendations[ImplStatus]="Compensated"))*ISNUMBER(MATCH(Recommendations[Id],H59:AU59,0)))/COUNTIF(H59:AU59,"&lt;&gt;"))</f>
        <v/>
      </c>
      <c r="H59" s="269"/>
      <c r="I59" s="269"/>
      <c r="J59" s="269"/>
      <c r="K59" s="269"/>
      <c r="L59" s="269"/>
      <c r="M59" s="269"/>
      <c r="N59" s="269"/>
      <c r="O59" s="269"/>
      <c r="P59" s="269"/>
      <c r="Q59" s="269"/>
      <c r="R59" s="269"/>
      <c r="S59" s="269"/>
      <c r="T59" s="269"/>
      <c r="U59" s="269"/>
      <c r="V59" s="269"/>
      <c r="W59" s="269"/>
      <c r="X59" s="269"/>
      <c r="Y59" s="269"/>
      <c r="Z59" s="269"/>
      <c r="AA59" s="269"/>
      <c r="AB59" s="269"/>
      <c r="AC59" s="269"/>
      <c r="AD59" s="269"/>
      <c r="AE59" s="269"/>
      <c r="AF59" s="269"/>
      <c r="AG59" s="269"/>
      <c r="AH59" s="269"/>
      <c r="AI59" s="269"/>
      <c r="AJ59" s="269"/>
      <c r="AK59" s="269"/>
      <c r="AL59" s="269"/>
      <c r="AM59" s="269"/>
      <c r="AN59" s="269"/>
      <c r="AO59" s="269"/>
      <c r="AP59" s="269"/>
      <c r="AQ59" s="269"/>
      <c r="AR59" s="269"/>
      <c r="AS59" s="269"/>
      <c r="AT59" s="269"/>
      <c r="AU59" s="283"/>
    </row>
    <row r="60" spans="1:47" ht="60" customHeight="1" outlineLevel="2" x14ac:dyDescent="0.35">
      <c r="A60" s="278" t="s">
        <v>6518</v>
      </c>
      <c r="B60" s="256" t="s">
        <v>6636</v>
      </c>
      <c r="C60" s="256"/>
      <c r="D60" s="260"/>
      <c r="E60" s="256"/>
      <c r="F60" s="264"/>
      <c r="G60" s="267" t="str">
        <f>IF(COUNTIF(H60:AU60,"&lt;&gt;")=0,"",SUMPRODUCT(((Recommendations[ImplStatus]="Implemented")+(Recommendations[ImplStatus]="Compensated"))*ISNUMBER(MATCH(Recommendations[Id],H60:AU60,0)))/COUNTIF(H60:AU60,"&lt;&gt;"))</f>
        <v/>
      </c>
      <c r="H60" s="264"/>
      <c r="I60" s="264"/>
      <c r="J60" s="264"/>
      <c r="K60" s="264"/>
      <c r="L60" s="264"/>
      <c r="M60" s="264"/>
      <c r="N60" s="264"/>
      <c r="O60" s="264"/>
      <c r="P60" s="264"/>
      <c r="Q60" s="264"/>
      <c r="R60" s="264"/>
      <c r="S60" s="264"/>
      <c r="T60" s="264"/>
      <c r="U60" s="264"/>
      <c r="V60" s="264"/>
      <c r="W60" s="264"/>
      <c r="X60" s="264"/>
      <c r="Y60" s="264"/>
      <c r="Z60" s="264"/>
      <c r="AA60" s="264"/>
      <c r="AB60" s="264"/>
      <c r="AC60" s="264"/>
      <c r="AD60" s="264"/>
      <c r="AE60" s="264"/>
      <c r="AF60" s="264"/>
      <c r="AG60" s="264"/>
      <c r="AH60" s="264"/>
      <c r="AI60" s="264"/>
      <c r="AJ60" s="264"/>
      <c r="AK60" s="264"/>
      <c r="AL60" s="264"/>
      <c r="AM60" s="264"/>
      <c r="AN60" s="264"/>
      <c r="AO60" s="264"/>
      <c r="AP60" s="264"/>
      <c r="AQ60" s="264"/>
      <c r="AR60" s="264"/>
      <c r="AS60" s="264"/>
      <c r="AT60" s="264"/>
      <c r="AU60" s="282"/>
    </row>
    <row r="61" spans="1:47" ht="60" customHeight="1" x14ac:dyDescent="0.35">
      <c r="A61" s="279" t="s">
        <v>6518</v>
      </c>
      <c r="B61" s="257" t="s">
        <v>6636</v>
      </c>
      <c r="C61" s="258" t="s">
        <v>6637</v>
      </c>
      <c r="D61" s="261" t="s">
        <v>6638</v>
      </c>
      <c r="E61" s="262" t="s">
        <v>6522</v>
      </c>
      <c r="F61" s="265" t="s">
        <v>6639</v>
      </c>
      <c r="G61" s="268" t="str">
        <f>IF(COUNTIF(H61:AU61,"&lt;&gt;")=0,"",SUMPRODUCT(((Recommendations[ImplStatus]="Implemented")+(Recommendations[ImplStatus]="Compensated"))*ISNUMBER(MATCH(Recommendations[Id],H61:AU61,0)))/COUNTIF(H61:AU61,"&lt;&gt;"))</f>
        <v/>
      </c>
      <c r="H61" s="269"/>
      <c r="I61" s="269"/>
      <c r="J61" s="269"/>
      <c r="K61" s="269"/>
      <c r="L61" s="269"/>
      <c r="M61" s="269"/>
      <c r="N61" s="269"/>
      <c r="O61" s="269"/>
      <c r="P61" s="269"/>
      <c r="Q61" s="269"/>
      <c r="R61" s="269"/>
      <c r="S61" s="269"/>
      <c r="T61" s="269"/>
      <c r="U61" s="269"/>
      <c r="V61" s="269"/>
      <c r="W61" s="269"/>
      <c r="X61" s="269"/>
      <c r="Y61" s="269"/>
      <c r="Z61" s="269"/>
      <c r="AA61" s="269"/>
      <c r="AB61" s="269"/>
      <c r="AC61" s="269"/>
      <c r="AD61" s="269"/>
      <c r="AE61" s="269"/>
      <c r="AF61" s="269"/>
      <c r="AG61" s="269"/>
      <c r="AH61" s="269"/>
      <c r="AI61" s="269"/>
      <c r="AJ61" s="269"/>
      <c r="AK61" s="269"/>
      <c r="AL61" s="269"/>
      <c r="AM61" s="269"/>
      <c r="AN61" s="269"/>
      <c r="AO61" s="269"/>
      <c r="AP61" s="269"/>
      <c r="AQ61" s="269"/>
      <c r="AR61" s="269"/>
      <c r="AS61" s="269"/>
      <c r="AT61" s="269"/>
      <c r="AU61" s="283"/>
    </row>
    <row r="62" spans="1:47" ht="60" customHeight="1" x14ac:dyDescent="0.35">
      <c r="A62" s="279" t="s">
        <v>6518</v>
      </c>
      <c r="B62" s="257" t="s">
        <v>6636</v>
      </c>
      <c r="C62" s="258" t="s">
        <v>6640</v>
      </c>
      <c r="D62" s="261" t="s">
        <v>6641</v>
      </c>
      <c r="E62" s="262" t="s">
        <v>6522</v>
      </c>
      <c r="F62" s="265" t="s">
        <v>6639</v>
      </c>
      <c r="G62" s="268" t="str">
        <f>IF(COUNTIF(H62:AU62,"&lt;&gt;")=0,"",SUMPRODUCT(((Recommendations[ImplStatus]="Implemented")+(Recommendations[ImplStatus]="Compensated"))*ISNUMBER(MATCH(Recommendations[Id],H62:AU62,0)))/COUNTIF(H62:AU62,"&lt;&gt;"))</f>
        <v/>
      </c>
      <c r="H62" s="269"/>
      <c r="I62" s="269"/>
      <c r="J62" s="269"/>
      <c r="K62" s="269"/>
      <c r="L62" s="269"/>
      <c r="M62" s="269"/>
      <c r="N62" s="269"/>
      <c r="O62" s="269"/>
      <c r="P62" s="269"/>
      <c r="Q62" s="269"/>
      <c r="R62" s="269"/>
      <c r="S62" s="269"/>
      <c r="T62" s="269"/>
      <c r="U62" s="269"/>
      <c r="V62" s="269"/>
      <c r="W62" s="269"/>
      <c r="X62" s="269"/>
      <c r="Y62" s="269"/>
      <c r="Z62" s="269"/>
      <c r="AA62" s="269"/>
      <c r="AB62" s="269"/>
      <c r="AC62" s="269"/>
      <c r="AD62" s="269"/>
      <c r="AE62" s="269"/>
      <c r="AF62" s="269"/>
      <c r="AG62" s="269"/>
      <c r="AH62" s="269"/>
      <c r="AI62" s="269"/>
      <c r="AJ62" s="269"/>
      <c r="AK62" s="269"/>
      <c r="AL62" s="269"/>
      <c r="AM62" s="269"/>
      <c r="AN62" s="269"/>
      <c r="AO62" s="269"/>
      <c r="AP62" s="269"/>
      <c r="AQ62" s="269"/>
      <c r="AR62" s="269"/>
      <c r="AS62" s="269"/>
      <c r="AT62" s="269"/>
      <c r="AU62" s="283"/>
    </row>
    <row r="63" spans="1:47" ht="60" customHeight="1" x14ac:dyDescent="0.35">
      <c r="A63" s="279" t="s">
        <v>6518</v>
      </c>
      <c r="B63" s="257" t="s">
        <v>6636</v>
      </c>
      <c r="C63" s="258" t="s">
        <v>6642</v>
      </c>
      <c r="D63" s="261" t="s">
        <v>6643</v>
      </c>
      <c r="E63" s="262" t="s">
        <v>6522</v>
      </c>
      <c r="F63" s="265" t="s">
        <v>6639</v>
      </c>
      <c r="G63" s="268" t="str">
        <f>IF(COUNTIF(H63:AU63,"&lt;&gt;")=0,"",SUMPRODUCT(((Recommendations[ImplStatus]="Implemented")+(Recommendations[ImplStatus]="Compensated"))*ISNUMBER(MATCH(Recommendations[Id],H63:AU63,0)))/COUNTIF(H63:AU63,"&lt;&gt;"))</f>
        <v/>
      </c>
      <c r="H63" s="269"/>
      <c r="I63" s="269"/>
      <c r="J63" s="269"/>
      <c r="K63" s="269"/>
      <c r="L63" s="269"/>
      <c r="M63" s="269"/>
      <c r="N63" s="269"/>
      <c r="O63" s="269"/>
      <c r="P63" s="269"/>
      <c r="Q63" s="269"/>
      <c r="R63" s="269"/>
      <c r="S63" s="269"/>
      <c r="T63" s="269"/>
      <c r="U63" s="269"/>
      <c r="V63" s="269"/>
      <c r="W63" s="269"/>
      <c r="X63" s="269"/>
      <c r="Y63" s="269"/>
      <c r="Z63" s="269"/>
      <c r="AA63" s="269"/>
      <c r="AB63" s="269"/>
      <c r="AC63" s="269"/>
      <c r="AD63" s="269"/>
      <c r="AE63" s="269"/>
      <c r="AF63" s="269"/>
      <c r="AG63" s="269"/>
      <c r="AH63" s="269"/>
      <c r="AI63" s="269"/>
      <c r="AJ63" s="269"/>
      <c r="AK63" s="269"/>
      <c r="AL63" s="269"/>
      <c r="AM63" s="269"/>
      <c r="AN63" s="269"/>
      <c r="AO63" s="269"/>
      <c r="AP63" s="269"/>
      <c r="AQ63" s="269"/>
      <c r="AR63" s="269"/>
      <c r="AS63" s="269"/>
      <c r="AT63" s="269"/>
      <c r="AU63" s="283"/>
    </row>
    <row r="64" spans="1:47" ht="60" customHeight="1" x14ac:dyDescent="0.35">
      <c r="A64" s="279" t="s">
        <v>6518</v>
      </c>
      <c r="B64" s="257" t="s">
        <v>6636</v>
      </c>
      <c r="C64" s="258" t="s">
        <v>6644</v>
      </c>
      <c r="D64" s="261" t="s">
        <v>6645</v>
      </c>
      <c r="E64" s="262" t="s">
        <v>6522</v>
      </c>
      <c r="F64" s="265" t="s">
        <v>6639</v>
      </c>
      <c r="G64" s="268" t="str">
        <f>IF(COUNTIF(H64:AU64,"&lt;&gt;")=0,"",SUMPRODUCT(((Recommendations[ImplStatus]="Implemented")+(Recommendations[ImplStatus]="Compensated"))*ISNUMBER(MATCH(Recommendations[Id],H64:AU64,0)))/COUNTIF(H64:AU64,"&lt;&gt;"))</f>
        <v/>
      </c>
      <c r="H64" s="269"/>
      <c r="I64" s="269"/>
      <c r="J64" s="269"/>
      <c r="K64" s="269"/>
      <c r="L64" s="269"/>
      <c r="M64" s="269"/>
      <c r="N64" s="269"/>
      <c r="O64" s="269"/>
      <c r="P64" s="269"/>
      <c r="Q64" s="269"/>
      <c r="R64" s="269"/>
      <c r="S64" s="269"/>
      <c r="T64" s="269"/>
      <c r="U64" s="269"/>
      <c r="V64" s="269"/>
      <c r="W64" s="269"/>
      <c r="X64" s="269"/>
      <c r="Y64" s="269"/>
      <c r="Z64" s="269"/>
      <c r="AA64" s="269"/>
      <c r="AB64" s="269"/>
      <c r="AC64" s="269"/>
      <c r="AD64" s="269"/>
      <c r="AE64" s="269"/>
      <c r="AF64" s="269"/>
      <c r="AG64" s="269"/>
      <c r="AH64" s="269"/>
      <c r="AI64" s="269"/>
      <c r="AJ64" s="269"/>
      <c r="AK64" s="269"/>
      <c r="AL64" s="269"/>
      <c r="AM64" s="269"/>
      <c r="AN64" s="269"/>
      <c r="AO64" s="269"/>
      <c r="AP64" s="269"/>
      <c r="AQ64" s="269"/>
      <c r="AR64" s="269"/>
      <c r="AS64" s="269"/>
      <c r="AT64" s="269"/>
      <c r="AU64" s="283"/>
    </row>
    <row r="65" spans="1:47" ht="60" customHeight="1" x14ac:dyDescent="0.35">
      <c r="A65" s="279" t="s">
        <v>6518</v>
      </c>
      <c r="B65" s="257" t="s">
        <v>6636</v>
      </c>
      <c r="C65" s="258" t="s">
        <v>6646</v>
      </c>
      <c r="D65" s="261" t="s">
        <v>6647</v>
      </c>
      <c r="E65" s="262" t="s">
        <v>6522</v>
      </c>
      <c r="F65" s="265" t="s">
        <v>6639</v>
      </c>
      <c r="G65" s="268" t="str">
        <f>IF(COUNTIF(H65:AU65,"&lt;&gt;")=0,"",SUMPRODUCT(((Recommendations[ImplStatus]="Implemented")+(Recommendations[ImplStatus]="Compensated"))*ISNUMBER(MATCH(Recommendations[Id],H65:AU65,0)))/COUNTIF(H65:AU65,"&lt;&gt;"))</f>
        <v/>
      </c>
      <c r="H65" s="269"/>
      <c r="I65" s="269"/>
      <c r="J65" s="269"/>
      <c r="K65" s="269"/>
      <c r="L65" s="269"/>
      <c r="M65" s="269"/>
      <c r="N65" s="269"/>
      <c r="O65" s="269"/>
      <c r="P65" s="269"/>
      <c r="Q65" s="269"/>
      <c r="R65" s="269"/>
      <c r="S65" s="269"/>
      <c r="T65" s="269"/>
      <c r="U65" s="269"/>
      <c r="V65" s="269"/>
      <c r="W65" s="269"/>
      <c r="X65" s="269"/>
      <c r="Y65" s="269"/>
      <c r="Z65" s="269"/>
      <c r="AA65" s="269"/>
      <c r="AB65" s="269"/>
      <c r="AC65" s="269"/>
      <c r="AD65" s="269"/>
      <c r="AE65" s="269"/>
      <c r="AF65" s="269"/>
      <c r="AG65" s="269"/>
      <c r="AH65" s="269"/>
      <c r="AI65" s="269"/>
      <c r="AJ65" s="269"/>
      <c r="AK65" s="269"/>
      <c r="AL65" s="269"/>
      <c r="AM65" s="269"/>
      <c r="AN65" s="269"/>
      <c r="AO65" s="269"/>
      <c r="AP65" s="269"/>
      <c r="AQ65" s="269"/>
      <c r="AR65" s="269"/>
      <c r="AS65" s="269"/>
      <c r="AT65" s="269"/>
      <c r="AU65" s="283"/>
    </row>
    <row r="66" spans="1:47" ht="60" customHeight="1" x14ac:dyDescent="0.35">
      <c r="A66" s="279" t="s">
        <v>6518</v>
      </c>
      <c r="B66" s="257" t="s">
        <v>6636</v>
      </c>
      <c r="C66" s="258" t="s">
        <v>6648</v>
      </c>
      <c r="D66" s="261" t="s">
        <v>6649</v>
      </c>
      <c r="E66" s="262" t="s">
        <v>6522</v>
      </c>
      <c r="F66" s="265" t="s">
        <v>6639</v>
      </c>
      <c r="G66" s="268" t="str">
        <f>IF(COUNTIF(H66:AU66,"&lt;&gt;")=0,"",SUMPRODUCT(((Recommendations[ImplStatus]="Implemented")+(Recommendations[ImplStatus]="Compensated"))*ISNUMBER(MATCH(Recommendations[Id],H66:AU66,0)))/COUNTIF(H66:AU66,"&lt;&gt;"))</f>
        <v/>
      </c>
      <c r="H66" s="269"/>
      <c r="I66" s="269"/>
      <c r="J66" s="269"/>
      <c r="K66" s="269"/>
      <c r="L66" s="269"/>
      <c r="M66" s="269"/>
      <c r="N66" s="269"/>
      <c r="O66" s="269"/>
      <c r="P66" s="269"/>
      <c r="Q66" s="269"/>
      <c r="R66" s="269"/>
      <c r="S66" s="269"/>
      <c r="T66" s="269"/>
      <c r="U66" s="269"/>
      <c r="V66" s="269"/>
      <c r="W66" s="269"/>
      <c r="X66" s="269"/>
      <c r="Y66" s="269"/>
      <c r="Z66" s="269"/>
      <c r="AA66" s="269"/>
      <c r="AB66" s="269"/>
      <c r="AC66" s="269"/>
      <c r="AD66" s="269"/>
      <c r="AE66" s="269"/>
      <c r="AF66" s="269"/>
      <c r="AG66" s="269"/>
      <c r="AH66" s="269"/>
      <c r="AI66" s="269"/>
      <c r="AJ66" s="269"/>
      <c r="AK66" s="269"/>
      <c r="AL66" s="269"/>
      <c r="AM66" s="269"/>
      <c r="AN66" s="269"/>
      <c r="AO66" s="269"/>
      <c r="AP66" s="269"/>
      <c r="AQ66" s="269"/>
      <c r="AR66" s="269"/>
      <c r="AS66" s="269"/>
      <c r="AT66" s="269"/>
      <c r="AU66" s="283"/>
    </row>
    <row r="67" spans="1:47" ht="60" customHeight="1" x14ac:dyDescent="0.35">
      <c r="A67" s="279" t="s">
        <v>6518</v>
      </c>
      <c r="B67" s="257" t="s">
        <v>6636</v>
      </c>
      <c r="C67" s="258" t="s">
        <v>6650</v>
      </c>
      <c r="D67" s="261" t="s">
        <v>6651</v>
      </c>
      <c r="E67" s="262" t="s">
        <v>6522</v>
      </c>
      <c r="F67" s="265" t="s">
        <v>6639</v>
      </c>
      <c r="G67" s="268" t="str">
        <f>IF(COUNTIF(H67:AU67,"&lt;&gt;")=0,"",SUMPRODUCT(((Recommendations[ImplStatus]="Implemented")+(Recommendations[ImplStatus]="Compensated"))*ISNUMBER(MATCH(Recommendations[Id],H67:AU67,0)))/COUNTIF(H67:AU67,"&lt;&gt;"))</f>
        <v/>
      </c>
      <c r="H67" s="269"/>
      <c r="I67" s="269"/>
      <c r="J67" s="269"/>
      <c r="K67" s="269"/>
      <c r="L67" s="269"/>
      <c r="M67" s="269"/>
      <c r="N67" s="269"/>
      <c r="O67" s="269"/>
      <c r="P67" s="269"/>
      <c r="Q67" s="269"/>
      <c r="R67" s="269"/>
      <c r="S67" s="269"/>
      <c r="T67" s="269"/>
      <c r="U67" s="269"/>
      <c r="V67" s="269"/>
      <c r="W67" s="269"/>
      <c r="X67" s="269"/>
      <c r="Y67" s="269"/>
      <c r="Z67" s="269"/>
      <c r="AA67" s="269"/>
      <c r="AB67" s="269"/>
      <c r="AC67" s="269"/>
      <c r="AD67" s="269"/>
      <c r="AE67" s="269"/>
      <c r="AF67" s="269"/>
      <c r="AG67" s="269"/>
      <c r="AH67" s="269"/>
      <c r="AI67" s="269"/>
      <c r="AJ67" s="269"/>
      <c r="AK67" s="269"/>
      <c r="AL67" s="269"/>
      <c r="AM67" s="269"/>
      <c r="AN67" s="269"/>
      <c r="AO67" s="269"/>
      <c r="AP67" s="269"/>
      <c r="AQ67" s="269"/>
      <c r="AR67" s="269"/>
      <c r="AS67" s="269"/>
      <c r="AT67" s="269"/>
      <c r="AU67" s="283"/>
    </row>
    <row r="68" spans="1:47" ht="60" customHeight="1" x14ac:dyDescent="0.35">
      <c r="A68" s="279" t="s">
        <v>6518</v>
      </c>
      <c r="B68" s="257" t="s">
        <v>6636</v>
      </c>
      <c r="C68" s="258" t="s">
        <v>6652</v>
      </c>
      <c r="D68" s="261" t="s">
        <v>6653</v>
      </c>
      <c r="E68" s="262" t="s">
        <v>6522</v>
      </c>
      <c r="F68" s="265" t="s">
        <v>6654</v>
      </c>
      <c r="G68" s="268" t="str">
        <f>IF(COUNTIF(H68:AU68,"&lt;&gt;")=0,"",SUMPRODUCT(((Recommendations[ImplStatus]="Implemented")+(Recommendations[ImplStatus]="Compensated"))*ISNUMBER(MATCH(Recommendations[Id],H68:AU68,0)))/COUNTIF(H68:AU68,"&lt;&gt;"))</f>
        <v/>
      </c>
      <c r="H68" s="269"/>
      <c r="I68" s="269"/>
      <c r="J68" s="269"/>
      <c r="K68" s="269"/>
      <c r="L68" s="269"/>
      <c r="M68" s="269"/>
      <c r="N68" s="269"/>
      <c r="O68" s="269"/>
      <c r="P68" s="269"/>
      <c r="Q68" s="269"/>
      <c r="R68" s="269"/>
      <c r="S68" s="269"/>
      <c r="T68" s="269"/>
      <c r="U68" s="269"/>
      <c r="V68" s="269"/>
      <c r="W68" s="269"/>
      <c r="X68" s="269"/>
      <c r="Y68" s="269"/>
      <c r="Z68" s="269"/>
      <c r="AA68" s="269"/>
      <c r="AB68" s="269"/>
      <c r="AC68" s="269"/>
      <c r="AD68" s="269"/>
      <c r="AE68" s="269"/>
      <c r="AF68" s="269"/>
      <c r="AG68" s="269"/>
      <c r="AH68" s="269"/>
      <c r="AI68" s="269"/>
      <c r="AJ68" s="269"/>
      <c r="AK68" s="269"/>
      <c r="AL68" s="269"/>
      <c r="AM68" s="269"/>
      <c r="AN68" s="269"/>
      <c r="AO68" s="269"/>
      <c r="AP68" s="269"/>
      <c r="AQ68" s="269"/>
      <c r="AR68" s="269"/>
      <c r="AS68" s="269"/>
      <c r="AT68" s="269"/>
      <c r="AU68" s="283"/>
    </row>
    <row r="69" spans="1:47" ht="60" customHeight="1" x14ac:dyDescent="0.35">
      <c r="A69" s="279" t="s">
        <v>6518</v>
      </c>
      <c r="B69" s="257" t="s">
        <v>6636</v>
      </c>
      <c r="C69" s="258" t="s">
        <v>6655</v>
      </c>
      <c r="D69" s="261" t="s">
        <v>6656</v>
      </c>
      <c r="E69" s="262" t="s">
        <v>6522</v>
      </c>
      <c r="F69" s="265" t="s">
        <v>6654</v>
      </c>
      <c r="G69" s="268" t="str">
        <f>IF(COUNTIF(H69:AU69,"&lt;&gt;")=0,"",SUMPRODUCT(((Recommendations[ImplStatus]="Implemented")+(Recommendations[ImplStatus]="Compensated"))*ISNUMBER(MATCH(Recommendations[Id],H69:AU69,0)))/COUNTIF(H69:AU69,"&lt;&gt;"))</f>
        <v/>
      </c>
      <c r="H69" s="269"/>
      <c r="I69" s="269"/>
      <c r="J69" s="269"/>
      <c r="K69" s="269"/>
      <c r="L69" s="269"/>
      <c r="M69" s="269"/>
      <c r="N69" s="269"/>
      <c r="O69" s="269"/>
      <c r="P69" s="269"/>
      <c r="Q69" s="269"/>
      <c r="R69" s="269"/>
      <c r="S69" s="269"/>
      <c r="T69" s="269"/>
      <c r="U69" s="269"/>
      <c r="V69" s="269"/>
      <c r="W69" s="269"/>
      <c r="X69" s="269"/>
      <c r="Y69" s="269"/>
      <c r="Z69" s="269"/>
      <c r="AA69" s="269"/>
      <c r="AB69" s="269"/>
      <c r="AC69" s="269"/>
      <c r="AD69" s="269"/>
      <c r="AE69" s="269"/>
      <c r="AF69" s="269"/>
      <c r="AG69" s="269"/>
      <c r="AH69" s="269"/>
      <c r="AI69" s="269"/>
      <c r="AJ69" s="269"/>
      <c r="AK69" s="269"/>
      <c r="AL69" s="269"/>
      <c r="AM69" s="269"/>
      <c r="AN69" s="269"/>
      <c r="AO69" s="269"/>
      <c r="AP69" s="269"/>
      <c r="AQ69" s="269"/>
      <c r="AR69" s="269"/>
      <c r="AS69" s="269"/>
      <c r="AT69" s="269"/>
      <c r="AU69" s="283"/>
    </row>
    <row r="70" spans="1:47" ht="60" customHeight="1" x14ac:dyDescent="0.35">
      <c r="A70" s="279" t="s">
        <v>6518</v>
      </c>
      <c r="B70" s="257" t="s">
        <v>6636</v>
      </c>
      <c r="C70" s="258" t="s">
        <v>6657</v>
      </c>
      <c r="D70" s="261" t="s">
        <v>6658</v>
      </c>
      <c r="E70" s="262" t="s">
        <v>6522</v>
      </c>
      <c r="F70" s="265" t="s">
        <v>6654</v>
      </c>
      <c r="G70" s="268" t="str">
        <f>IF(COUNTIF(H70:AU70,"&lt;&gt;")=0,"",SUMPRODUCT(((Recommendations[ImplStatus]="Implemented")+(Recommendations[ImplStatus]="Compensated"))*ISNUMBER(MATCH(Recommendations[Id],H70:AU70,0)))/COUNTIF(H70:AU70,"&lt;&gt;"))</f>
        <v/>
      </c>
      <c r="H70" s="269"/>
      <c r="I70" s="269"/>
      <c r="J70" s="269"/>
      <c r="K70" s="269"/>
      <c r="L70" s="269"/>
      <c r="M70" s="269"/>
      <c r="N70" s="269"/>
      <c r="O70" s="269"/>
      <c r="P70" s="269"/>
      <c r="Q70" s="269"/>
      <c r="R70" s="269"/>
      <c r="S70" s="269"/>
      <c r="T70" s="269"/>
      <c r="U70" s="269"/>
      <c r="V70" s="269"/>
      <c r="W70" s="269"/>
      <c r="X70" s="269"/>
      <c r="Y70" s="269"/>
      <c r="Z70" s="269"/>
      <c r="AA70" s="269"/>
      <c r="AB70" s="269"/>
      <c r="AC70" s="269"/>
      <c r="AD70" s="269"/>
      <c r="AE70" s="269"/>
      <c r="AF70" s="269"/>
      <c r="AG70" s="269"/>
      <c r="AH70" s="269"/>
      <c r="AI70" s="269"/>
      <c r="AJ70" s="269"/>
      <c r="AK70" s="269"/>
      <c r="AL70" s="269"/>
      <c r="AM70" s="269"/>
      <c r="AN70" s="269"/>
      <c r="AO70" s="269"/>
      <c r="AP70" s="269"/>
      <c r="AQ70" s="269"/>
      <c r="AR70" s="269"/>
      <c r="AS70" s="269"/>
      <c r="AT70" s="269"/>
      <c r="AU70" s="283"/>
    </row>
    <row r="71" spans="1:47" ht="60" customHeight="1" x14ac:dyDescent="0.35">
      <c r="A71" s="279" t="s">
        <v>6518</v>
      </c>
      <c r="B71" s="257" t="s">
        <v>6636</v>
      </c>
      <c r="C71" s="258" t="s">
        <v>6659</v>
      </c>
      <c r="D71" s="261" t="s">
        <v>6660</v>
      </c>
      <c r="E71" s="262" t="s">
        <v>6522</v>
      </c>
      <c r="F71" s="265" t="s">
        <v>6661</v>
      </c>
      <c r="G71" s="268" t="str">
        <f>IF(COUNTIF(H71:AU71,"&lt;&gt;")=0,"",SUMPRODUCT(((Recommendations[ImplStatus]="Implemented")+(Recommendations[ImplStatus]="Compensated"))*ISNUMBER(MATCH(Recommendations[Id],H71:AU71,0)))/COUNTIF(H71:AU71,"&lt;&gt;"))</f>
        <v/>
      </c>
      <c r="H71" s="269"/>
      <c r="I71" s="269"/>
      <c r="J71" s="269"/>
      <c r="K71" s="269"/>
      <c r="L71" s="269"/>
      <c r="M71" s="269"/>
      <c r="N71" s="269"/>
      <c r="O71" s="269"/>
      <c r="P71" s="269"/>
      <c r="Q71" s="269"/>
      <c r="R71" s="269"/>
      <c r="S71" s="269"/>
      <c r="T71" s="269"/>
      <c r="U71" s="269"/>
      <c r="V71" s="269"/>
      <c r="W71" s="269"/>
      <c r="X71" s="269"/>
      <c r="Y71" s="269"/>
      <c r="Z71" s="269"/>
      <c r="AA71" s="269"/>
      <c r="AB71" s="269"/>
      <c r="AC71" s="269"/>
      <c r="AD71" s="269"/>
      <c r="AE71" s="269"/>
      <c r="AF71" s="269"/>
      <c r="AG71" s="269"/>
      <c r="AH71" s="269"/>
      <c r="AI71" s="269"/>
      <c r="AJ71" s="269"/>
      <c r="AK71" s="269"/>
      <c r="AL71" s="269"/>
      <c r="AM71" s="269"/>
      <c r="AN71" s="269"/>
      <c r="AO71" s="269"/>
      <c r="AP71" s="269"/>
      <c r="AQ71" s="269"/>
      <c r="AR71" s="269"/>
      <c r="AS71" s="269"/>
      <c r="AT71" s="269"/>
      <c r="AU71" s="283"/>
    </row>
    <row r="72" spans="1:47" ht="60" customHeight="1" x14ac:dyDescent="0.35">
      <c r="A72" s="279" t="s">
        <v>6518</v>
      </c>
      <c r="B72" s="257" t="s">
        <v>6636</v>
      </c>
      <c r="C72" s="258" t="s">
        <v>6662</v>
      </c>
      <c r="D72" s="261" t="s">
        <v>6663</v>
      </c>
      <c r="E72" s="262" t="s">
        <v>6522</v>
      </c>
      <c r="F72" s="265" t="s">
        <v>6639</v>
      </c>
      <c r="G72" s="268" t="str">
        <f>IF(COUNTIF(H72:AU72,"&lt;&gt;")=0,"",SUMPRODUCT(((Recommendations[ImplStatus]="Implemented")+(Recommendations[ImplStatus]="Compensated"))*ISNUMBER(MATCH(Recommendations[Id],H72:AU72,0)))/COUNTIF(H72:AU72,"&lt;&gt;"))</f>
        <v/>
      </c>
      <c r="H72" s="269"/>
      <c r="I72" s="269"/>
      <c r="J72" s="269"/>
      <c r="K72" s="269"/>
      <c r="L72" s="269"/>
      <c r="M72" s="269"/>
      <c r="N72" s="269"/>
      <c r="O72" s="269"/>
      <c r="P72" s="269"/>
      <c r="Q72" s="269"/>
      <c r="R72" s="269"/>
      <c r="S72" s="269"/>
      <c r="T72" s="269"/>
      <c r="U72" s="269"/>
      <c r="V72" s="269"/>
      <c r="W72" s="269"/>
      <c r="X72" s="269"/>
      <c r="Y72" s="269"/>
      <c r="Z72" s="269"/>
      <c r="AA72" s="269"/>
      <c r="AB72" s="269"/>
      <c r="AC72" s="269"/>
      <c r="AD72" s="269"/>
      <c r="AE72" s="269"/>
      <c r="AF72" s="269"/>
      <c r="AG72" s="269"/>
      <c r="AH72" s="269"/>
      <c r="AI72" s="269"/>
      <c r="AJ72" s="269"/>
      <c r="AK72" s="269"/>
      <c r="AL72" s="269"/>
      <c r="AM72" s="269"/>
      <c r="AN72" s="269"/>
      <c r="AO72" s="269"/>
      <c r="AP72" s="269"/>
      <c r="AQ72" s="269"/>
      <c r="AR72" s="269"/>
      <c r="AS72" s="269"/>
      <c r="AT72" s="269"/>
      <c r="AU72" s="283"/>
    </row>
    <row r="73" spans="1:47" ht="60" customHeight="1" x14ac:dyDescent="0.35">
      <c r="A73" s="279" t="s">
        <v>6518</v>
      </c>
      <c r="B73" s="257" t="s">
        <v>6636</v>
      </c>
      <c r="C73" s="258" t="s">
        <v>6664</v>
      </c>
      <c r="D73" s="261" t="s">
        <v>6665</v>
      </c>
      <c r="E73" s="262" t="s">
        <v>6666</v>
      </c>
      <c r="F73" s="265" t="s">
        <v>6639</v>
      </c>
      <c r="G73" s="268" t="str">
        <f>IF(COUNTIF(H73:AU73,"&lt;&gt;")=0,"",SUMPRODUCT(((Recommendations[ImplStatus]="Implemented")+(Recommendations[ImplStatus]="Compensated"))*ISNUMBER(MATCH(Recommendations[Id],H73:AU73,0)))/COUNTIF(H73:AU73,"&lt;&gt;"))</f>
        <v/>
      </c>
      <c r="H73" s="269"/>
      <c r="I73" s="269"/>
      <c r="J73" s="269"/>
      <c r="K73" s="269"/>
      <c r="L73" s="269"/>
      <c r="M73" s="269"/>
      <c r="N73" s="269"/>
      <c r="O73" s="269"/>
      <c r="P73" s="269"/>
      <c r="Q73" s="269"/>
      <c r="R73" s="269"/>
      <c r="S73" s="269"/>
      <c r="T73" s="269"/>
      <c r="U73" s="269"/>
      <c r="V73" s="269"/>
      <c r="W73" s="269"/>
      <c r="X73" s="269"/>
      <c r="Y73" s="269"/>
      <c r="Z73" s="269"/>
      <c r="AA73" s="269"/>
      <c r="AB73" s="269"/>
      <c r="AC73" s="269"/>
      <c r="AD73" s="269"/>
      <c r="AE73" s="269"/>
      <c r="AF73" s="269"/>
      <c r="AG73" s="269"/>
      <c r="AH73" s="269"/>
      <c r="AI73" s="269"/>
      <c r="AJ73" s="269"/>
      <c r="AK73" s="269"/>
      <c r="AL73" s="269"/>
      <c r="AM73" s="269"/>
      <c r="AN73" s="269"/>
      <c r="AO73" s="269"/>
      <c r="AP73" s="269"/>
      <c r="AQ73" s="269"/>
      <c r="AR73" s="269"/>
      <c r="AS73" s="269"/>
      <c r="AT73" s="269"/>
      <c r="AU73" s="283"/>
    </row>
    <row r="74" spans="1:47" ht="60" customHeight="1" outlineLevel="2" x14ac:dyDescent="0.35">
      <c r="A74" s="278" t="s">
        <v>6518</v>
      </c>
      <c r="B74" s="256" t="s">
        <v>6667</v>
      </c>
      <c r="C74" s="256"/>
      <c r="D74" s="260"/>
      <c r="E74" s="256"/>
      <c r="F74" s="264"/>
      <c r="G74" s="267" t="str">
        <f>IF(COUNTIF(H74:AU74,"&lt;&gt;")=0,"",SUMPRODUCT(((Recommendations[ImplStatus]="Implemented")+(Recommendations[ImplStatus]="Compensated"))*ISNUMBER(MATCH(Recommendations[Id],H74:AU74,0)))/COUNTIF(H74:AU74,"&lt;&gt;"))</f>
        <v/>
      </c>
      <c r="H74" s="264"/>
      <c r="I74" s="264"/>
      <c r="J74" s="264"/>
      <c r="K74" s="264"/>
      <c r="L74" s="264"/>
      <c r="M74" s="264"/>
      <c r="N74" s="264"/>
      <c r="O74" s="264"/>
      <c r="P74" s="264"/>
      <c r="Q74" s="264"/>
      <c r="R74" s="264"/>
      <c r="S74" s="264"/>
      <c r="T74" s="264"/>
      <c r="U74" s="264"/>
      <c r="V74" s="264"/>
      <c r="W74" s="264"/>
      <c r="X74" s="264"/>
      <c r="Y74" s="264"/>
      <c r="Z74" s="264"/>
      <c r="AA74" s="264"/>
      <c r="AB74" s="264"/>
      <c r="AC74" s="264"/>
      <c r="AD74" s="264"/>
      <c r="AE74" s="264"/>
      <c r="AF74" s="264"/>
      <c r="AG74" s="264"/>
      <c r="AH74" s="264"/>
      <c r="AI74" s="264"/>
      <c r="AJ74" s="264"/>
      <c r="AK74" s="264"/>
      <c r="AL74" s="264"/>
      <c r="AM74" s="264"/>
      <c r="AN74" s="264"/>
      <c r="AO74" s="264"/>
      <c r="AP74" s="264"/>
      <c r="AQ74" s="264"/>
      <c r="AR74" s="264"/>
      <c r="AS74" s="264"/>
      <c r="AT74" s="264"/>
      <c r="AU74" s="282"/>
    </row>
    <row r="75" spans="1:47" ht="60" customHeight="1" x14ac:dyDescent="0.35">
      <c r="A75" s="279" t="s">
        <v>6518</v>
      </c>
      <c r="B75" s="257" t="s">
        <v>6667</v>
      </c>
      <c r="C75" s="258" t="s">
        <v>6668</v>
      </c>
      <c r="D75" s="261" t="s">
        <v>6669</v>
      </c>
      <c r="E75" s="262" t="s">
        <v>6666</v>
      </c>
      <c r="F75" s="265" t="s">
        <v>6670</v>
      </c>
      <c r="G75" s="268" t="str">
        <f>IF(COUNTIF(H75:AU75,"&lt;&gt;")=0,"",SUMPRODUCT(((Recommendations[ImplStatus]="Implemented")+(Recommendations[ImplStatus]="Compensated"))*ISNUMBER(MATCH(Recommendations[Id],H75:AU75,0)))/COUNTIF(H75:AU75,"&lt;&gt;"))</f>
        <v/>
      </c>
      <c r="H75" s="269"/>
      <c r="I75" s="269"/>
      <c r="J75" s="269"/>
      <c r="K75" s="269"/>
      <c r="L75" s="269"/>
      <c r="M75" s="269"/>
      <c r="N75" s="269"/>
      <c r="O75" s="269"/>
      <c r="P75" s="269"/>
      <c r="Q75" s="269"/>
      <c r="R75" s="269"/>
      <c r="S75" s="269"/>
      <c r="T75" s="269"/>
      <c r="U75" s="269"/>
      <c r="V75" s="269"/>
      <c r="W75" s="269"/>
      <c r="X75" s="269"/>
      <c r="Y75" s="269"/>
      <c r="Z75" s="269"/>
      <c r="AA75" s="269"/>
      <c r="AB75" s="269"/>
      <c r="AC75" s="269"/>
      <c r="AD75" s="269"/>
      <c r="AE75" s="269"/>
      <c r="AF75" s="269"/>
      <c r="AG75" s="269"/>
      <c r="AH75" s="269"/>
      <c r="AI75" s="269"/>
      <c r="AJ75" s="269"/>
      <c r="AK75" s="269"/>
      <c r="AL75" s="269"/>
      <c r="AM75" s="269"/>
      <c r="AN75" s="269"/>
      <c r="AO75" s="269"/>
      <c r="AP75" s="269"/>
      <c r="AQ75" s="269"/>
      <c r="AR75" s="269"/>
      <c r="AS75" s="269"/>
      <c r="AT75" s="269"/>
      <c r="AU75" s="283"/>
    </row>
    <row r="76" spans="1:47" ht="60" customHeight="1" x14ac:dyDescent="0.35">
      <c r="A76" s="279" t="s">
        <v>6518</v>
      </c>
      <c r="B76" s="257" t="s">
        <v>6667</v>
      </c>
      <c r="C76" s="258" t="s">
        <v>6671</v>
      </c>
      <c r="D76" s="261" t="s">
        <v>6672</v>
      </c>
      <c r="E76" s="262" t="s">
        <v>6666</v>
      </c>
      <c r="F76" s="265" t="s">
        <v>6670</v>
      </c>
      <c r="G76" s="268" t="str">
        <f>IF(COUNTIF(H76:AU76,"&lt;&gt;")=0,"",SUMPRODUCT(((Recommendations[ImplStatus]="Implemented")+(Recommendations[ImplStatus]="Compensated"))*ISNUMBER(MATCH(Recommendations[Id],H76:AU76,0)))/COUNTIF(H76:AU76,"&lt;&gt;"))</f>
        <v/>
      </c>
      <c r="H76" s="269"/>
      <c r="I76" s="269"/>
      <c r="J76" s="269"/>
      <c r="K76" s="269"/>
      <c r="L76" s="269"/>
      <c r="M76" s="269"/>
      <c r="N76" s="269"/>
      <c r="O76" s="269"/>
      <c r="P76" s="269"/>
      <c r="Q76" s="269"/>
      <c r="R76" s="269"/>
      <c r="S76" s="269"/>
      <c r="T76" s="269"/>
      <c r="U76" s="269"/>
      <c r="V76" s="269"/>
      <c r="W76" s="269"/>
      <c r="X76" s="269"/>
      <c r="Y76" s="269"/>
      <c r="Z76" s="269"/>
      <c r="AA76" s="269"/>
      <c r="AB76" s="269"/>
      <c r="AC76" s="269"/>
      <c r="AD76" s="269"/>
      <c r="AE76" s="269"/>
      <c r="AF76" s="269"/>
      <c r="AG76" s="269"/>
      <c r="AH76" s="269"/>
      <c r="AI76" s="269"/>
      <c r="AJ76" s="269"/>
      <c r="AK76" s="269"/>
      <c r="AL76" s="269"/>
      <c r="AM76" s="269"/>
      <c r="AN76" s="269"/>
      <c r="AO76" s="269"/>
      <c r="AP76" s="269"/>
      <c r="AQ76" s="269"/>
      <c r="AR76" s="269"/>
      <c r="AS76" s="269"/>
      <c r="AT76" s="269"/>
      <c r="AU76" s="283"/>
    </row>
    <row r="77" spans="1:47" ht="60" customHeight="1" x14ac:dyDescent="0.35">
      <c r="A77" s="279" t="s">
        <v>6518</v>
      </c>
      <c r="B77" s="257" t="s">
        <v>6667</v>
      </c>
      <c r="C77" s="258" t="s">
        <v>6673</v>
      </c>
      <c r="D77" s="261" t="s">
        <v>6674</v>
      </c>
      <c r="E77" s="262" t="s">
        <v>6666</v>
      </c>
      <c r="F77" s="265" t="s">
        <v>6670</v>
      </c>
      <c r="G77" s="268" t="str">
        <f>IF(COUNTIF(H77:AU77,"&lt;&gt;")=0,"",SUMPRODUCT(((Recommendations[ImplStatus]="Implemented")+(Recommendations[ImplStatus]="Compensated"))*ISNUMBER(MATCH(Recommendations[Id],H77:AU77,0)))/COUNTIF(H77:AU77,"&lt;&gt;"))</f>
        <v/>
      </c>
      <c r="H77" s="269"/>
      <c r="I77" s="269"/>
      <c r="J77" s="269"/>
      <c r="K77" s="269"/>
      <c r="L77" s="269"/>
      <c r="M77" s="269"/>
      <c r="N77" s="269"/>
      <c r="O77" s="269"/>
      <c r="P77" s="269"/>
      <c r="Q77" s="269"/>
      <c r="R77" s="269"/>
      <c r="S77" s="269"/>
      <c r="T77" s="269"/>
      <c r="U77" s="269"/>
      <c r="V77" s="269"/>
      <c r="W77" s="269"/>
      <c r="X77" s="269"/>
      <c r="Y77" s="269"/>
      <c r="Z77" s="269"/>
      <c r="AA77" s="269"/>
      <c r="AB77" s="269"/>
      <c r="AC77" s="269"/>
      <c r="AD77" s="269"/>
      <c r="AE77" s="269"/>
      <c r="AF77" s="269"/>
      <c r="AG77" s="269"/>
      <c r="AH77" s="269"/>
      <c r="AI77" s="269"/>
      <c r="AJ77" s="269"/>
      <c r="AK77" s="269"/>
      <c r="AL77" s="269"/>
      <c r="AM77" s="269"/>
      <c r="AN77" s="269"/>
      <c r="AO77" s="269"/>
      <c r="AP77" s="269"/>
      <c r="AQ77" s="269"/>
      <c r="AR77" s="269"/>
      <c r="AS77" s="269"/>
      <c r="AT77" s="269"/>
      <c r="AU77" s="283"/>
    </row>
    <row r="78" spans="1:47" ht="60" customHeight="1" x14ac:dyDescent="0.35">
      <c r="A78" s="279" t="s">
        <v>6518</v>
      </c>
      <c r="B78" s="257" t="s">
        <v>6667</v>
      </c>
      <c r="C78" s="258" t="s">
        <v>6675</v>
      </c>
      <c r="D78" s="261" t="s">
        <v>6676</v>
      </c>
      <c r="E78" s="262" t="s">
        <v>6666</v>
      </c>
      <c r="F78" s="265" t="s">
        <v>6670</v>
      </c>
      <c r="G78" s="268" t="str">
        <f>IF(COUNTIF(H78:AU78,"&lt;&gt;")=0,"",SUMPRODUCT(((Recommendations[ImplStatus]="Implemented")+(Recommendations[ImplStatus]="Compensated"))*ISNUMBER(MATCH(Recommendations[Id],H78:AU78,0)))/COUNTIF(H78:AU78,"&lt;&gt;"))</f>
        <v/>
      </c>
      <c r="H78" s="269"/>
      <c r="I78" s="269"/>
      <c r="J78" s="269"/>
      <c r="K78" s="269"/>
      <c r="L78" s="269"/>
      <c r="M78" s="269"/>
      <c r="N78" s="269"/>
      <c r="O78" s="269"/>
      <c r="P78" s="269"/>
      <c r="Q78" s="269"/>
      <c r="R78" s="269"/>
      <c r="S78" s="269"/>
      <c r="T78" s="269"/>
      <c r="U78" s="269"/>
      <c r="V78" s="269"/>
      <c r="W78" s="269"/>
      <c r="X78" s="269"/>
      <c r="Y78" s="269"/>
      <c r="Z78" s="269"/>
      <c r="AA78" s="269"/>
      <c r="AB78" s="269"/>
      <c r="AC78" s="269"/>
      <c r="AD78" s="269"/>
      <c r="AE78" s="269"/>
      <c r="AF78" s="269"/>
      <c r="AG78" s="269"/>
      <c r="AH78" s="269"/>
      <c r="AI78" s="269"/>
      <c r="AJ78" s="269"/>
      <c r="AK78" s="269"/>
      <c r="AL78" s="269"/>
      <c r="AM78" s="269"/>
      <c r="AN78" s="269"/>
      <c r="AO78" s="269"/>
      <c r="AP78" s="269"/>
      <c r="AQ78" s="269"/>
      <c r="AR78" s="269"/>
      <c r="AS78" s="269"/>
      <c r="AT78" s="269"/>
      <c r="AU78" s="283"/>
    </row>
    <row r="79" spans="1:47" ht="60" customHeight="1" x14ac:dyDescent="0.35">
      <c r="A79" s="279" t="s">
        <v>6518</v>
      </c>
      <c r="B79" s="257" t="s">
        <v>6667</v>
      </c>
      <c r="C79" s="258" t="s">
        <v>6677</v>
      </c>
      <c r="D79" s="261" t="s">
        <v>6678</v>
      </c>
      <c r="E79" s="262" t="s">
        <v>6666</v>
      </c>
      <c r="F79" s="265" t="s">
        <v>6670</v>
      </c>
      <c r="G79" s="268" t="str">
        <f>IF(COUNTIF(H79:AU79,"&lt;&gt;")=0,"",SUMPRODUCT(((Recommendations[ImplStatus]="Implemented")+(Recommendations[ImplStatus]="Compensated"))*ISNUMBER(MATCH(Recommendations[Id],H79:AU79,0)))/COUNTIF(H79:AU79,"&lt;&gt;"))</f>
        <v/>
      </c>
      <c r="H79" s="269"/>
      <c r="I79" s="269"/>
      <c r="J79" s="269"/>
      <c r="K79" s="269"/>
      <c r="L79" s="269"/>
      <c r="M79" s="269"/>
      <c r="N79" s="269"/>
      <c r="O79" s="269"/>
      <c r="P79" s="269"/>
      <c r="Q79" s="269"/>
      <c r="R79" s="269"/>
      <c r="S79" s="269"/>
      <c r="T79" s="269"/>
      <c r="U79" s="269"/>
      <c r="V79" s="269"/>
      <c r="W79" s="269"/>
      <c r="X79" s="269"/>
      <c r="Y79" s="269"/>
      <c r="Z79" s="269"/>
      <c r="AA79" s="269"/>
      <c r="AB79" s="269"/>
      <c r="AC79" s="269"/>
      <c r="AD79" s="269"/>
      <c r="AE79" s="269"/>
      <c r="AF79" s="269"/>
      <c r="AG79" s="269"/>
      <c r="AH79" s="269"/>
      <c r="AI79" s="269"/>
      <c r="AJ79" s="269"/>
      <c r="AK79" s="269"/>
      <c r="AL79" s="269"/>
      <c r="AM79" s="269"/>
      <c r="AN79" s="269"/>
      <c r="AO79" s="269"/>
      <c r="AP79" s="269"/>
      <c r="AQ79" s="269"/>
      <c r="AR79" s="269"/>
      <c r="AS79" s="269"/>
      <c r="AT79" s="269"/>
      <c r="AU79" s="283"/>
    </row>
    <row r="80" spans="1:47" ht="60" customHeight="1" x14ac:dyDescent="0.35">
      <c r="A80" s="279" t="s">
        <v>6518</v>
      </c>
      <c r="B80" s="257" t="s">
        <v>6667</v>
      </c>
      <c r="C80" s="258" t="s">
        <v>6679</v>
      </c>
      <c r="D80" s="261" t="s">
        <v>6680</v>
      </c>
      <c r="E80" s="262" t="s">
        <v>6666</v>
      </c>
      <c r="F80" s="265" t="s">
        <v>6670</v>
      </c>
      <c r="G80" s="268" t="str">
        <f>IF(COUNTIF(H80:AU80,"&lt;&gt;")=0,"",SUMPRODUCT(((Recommendations[ImplStatus]="Implemented")+(Recommendations[ImplStatus]="Compensated"))*ISNUMBER(MATCH(Recommendations[Id],H80:AU80,0)))/COUNTIF(H80:AU80,"&lt;&gt;"))</f>
        <v/>
      </c>
      <c r="H80" s="269"/>
      <c r="I80" s="269"/>
      <c r="J80" s="269"/>
      <c r="K80" s="269"/>
      <c r="L80" s="269"/>
      <c r="M80" s="269"/>
      <c r="N80" s="269"/>
      <c r="O80" s="269"/>
      <c r="P80" s="269"/>
      <c r="Q80" s="269"/>
      <c r="R80" s="269"/>
      <c r="S80" s="269"/>
      <c r="T80" s="269"/>
      <c r="U80" s="269"/>
      <c r="V80" s="269"/>
      <c r="W80" s="269"/>
      <c r="X80" s="269"/>
      <c r="Y80" s="269"/>
      <c r="Z80" s="269"/>
      <c r="AA80" s="269"/>
      <c r="AB80" s="269"/>
      <c r="AC80" s="269"/>
      <c r="AD80" s="269"/>
      <c r="AE80" s="269"/>
      <c r="AF80" s="269"/>
      <c r="AG80" s="269"/>
      <c r="AH80" s="269"/>
      <c r="AI80" s="269"/>
      <c r="AJ80" s="269"/>
      <c r="AK80" s="269"/>
      <c r="AL80" s="269"/>
      <c r="AM80" s="269"/>
      <c r="AN80" s="269"/>
      <c r="AO80" s="269"/>
      <c r="AP80" s="269"/>
      <c r="AQ80" s="269"/>
      <c r="AR80" s="269"/>
      <c r="AS80" s="269"/>
      <c r="AT80" s="269"/>
      <c r="AU80" s="283"/>
    </row>
    <row r="81" spans="1:47" ht="60" customHeight="1" x14ac:dyDescent="0.35">
      <c r="A81" s="279" t="s">
        <v>6518</v>
      </c>
      <c r="B81" s="257" t="s">
        <v>6667</v>
      </c>
      <c r="C81" s="258" t="s">
        <v>6681</v>
      </c>
      <c r="D81" s="261" t="s">
        <v>6682</v>
      </c>
      <c r="E81" s="262" t="s">
        <v>6666</v>
      </c>
      <c r="F81" s="265" t="s">
        <v>6670</v>
      </c>
      <c r="G81" s="268" t="str">
        <f>IF(COUNTIF(H81:AU81,"&lt;&gt;")=0,"",SUMPRODUCT(((Recommendations[ImplStatus]="Implemented")+(Recommendations[ImplStatus]="Compensated"))*ISNUMBER(MATCH(Recommendations[Id],H81:AU81,0)))/COUNTIF(H81:AU81,"&lt;&gt;"))</f>
        <v/>
      </c>
      <c r="H81" s="269"/>
      <c r="I81" s="269"/>
      <c r="J81" s="269"/>
      <c r="K81" s="269"/>
      <c r="L81" s="269"/>
      <c r="M81" s="269"/>
      <c r="N81" s="269"/>
      <c r="O81" s="269"/>
      <c r="P81" s="269"/>
      <c r="Q81" s="269"/>
      <c r="R81" s="269"/>
      <c r="S81" s="269"/>
      <c r="T81" s="269"/>
      <c r="U81" s="269"/>
      <c r="V81" s="269"/>
      <c r="W81" s="269"/>
      <c r="X81" s="269"/>
      <c r="Y81" s="269"/>
      <c r="Z81" s="269"/>
      <c r="AA81" s="269"/>
      <c r="AB81" s="269"/>
      <c r="AC81" s="269"/>
      <c r="AD81" s="269"/>
      <c r="AE81" s="269"/>
      <c r="AF81" s="269"/>
      <c r="AG81" s="269"/>
      <c r="AH81" s="269"/>
      <c r="AI81" s="269"/>
      <c r="AJ81" s="269"/>
      <c r="AK81" s="269"/>
      <c r="AL81" s="269"/>
      <c r="AM81" s="269"/>
      <c r="AN81" s="269"/>
      <c r="AO81" s="269"/>
      <c r="AP81" s="269"/>
      <c r="AQ81" s="269"/>
      <c r="AR81" s="269"/>
      <c r="AS81" s="269"/>
      <c r="AT81" s="269"/>
      <c r="AU81" s="283"/>
    </row>
    <row r="82" spans="1:47" ht="60" customHeight="1" x14ac:dyDescent="0.35">
      <c r="A82" s="279" t="s">
        <v>6518</v>
      </c>
      <c r="B82" s="257" t="s">
        <v>6667</v>
      </c>
      <c r="C82" s="258" t="s">
        <v>6683</v>
      </c>
      <c r="D82" s="261" t="s">
        <v>6684</v>
      </c>
      <c r="E82" s="262" t="s">
        <v>6666</v>
      </c>
      <c r="F82" s="265" t="s">
        <v>6670</v>
      </c>
      <c r="G82" s="268" t="str">
        <f>IF(COUNTIF(H82:AU82,"&lt;&gt;")=0,"",SUMPRODUCT(((Recommendations[ImplStatus]="Implemented")+(Recommendations[ImplStatus]="Compensated"))*ISNUMBER(MATCH(Recommendations[Id],H82:AU82,0)))/COUNTIF(H82:AU82,"&lt;&gt;"))</f>
        <v/>
      </c>
      <c r="H82" s="269"/>
      <c r="I82" s="269"/>
      <c r="J82" s="269"/>
      <c r="K82" s="269"/>
      <c r="L82" s="269"/>
      <c r="M82" s="269"/>
      <c r="N82" s="269"/>
      <c r="O82" s="269"/>
      <c r="P82" s="269"/>
      <c r="Q82" s="269"/>
      <c r="R82" s="269"/>
      <c r="S82" s="269"/>
      <c r="T82" s="269"/>
      <c r="U82" s="269"/>
      <c r="V82" s="269"/>
      <c r="W82" s="269"/>
      <c r="X82" s="269"/>
      <c r="Y82" s="269"/>
      <c r="Z82" s="269"/>
      <c r="AA82" s="269"/>
      <c r="AB82" s="269"/>
      <c r="AC82" s="269"/>
      <c r="AD82" s="269"/>
      <c r="AE82" s="269"/>
      <c r="AF82" s="269"/>
      <c r="AG82" s="269"/>
      <c r="AH82" s="269"/>
      <c r="AI82" s="269"/>
      <c r="AJ82" s="269"/>
      <c r="AK82" s="269"/>
      <c r="AL82" s="269"/>
      <c r="AM82" s="269"/>
      <c r="AN82" s="269"/>
      <c r="AO82" s="269"/>
      <c r="AP82" s="269"/>
      <c r="AQ82" s="269"/>
      <c r="AR82" s="269"/>
      <c r="AS82" s="269"/>
      <c r="AT82" s="269"/>
      <c r="AU82" s="283"/>
    </row>
    <row r="83" spans="1:47" ht="60" customHeight="1" x14ac:dyDescent="0.35">
      <c r="A83" s="279" t="s">
        <v>6518</v>
      </c>
      <c r="B83" s="257" t="s">
        <v>6667</v>
      </c>
      <c r="C83" s="258" t="s">
        <v>6685</v>
      </c>
      <c r="D83" s="261" t="s">
        <v>6686</v>
      </c>
      <c r="E83" s="262" t="s">
        <v>6666</v>
      </c>
      <c r="F83" s="265" t="s">
        <v>6670</v>
      </c>
      <c r="G83" s="268" t="str">
        <f>IF(COUNTIF(H83:AU83,"&lt;&gt;")=0,"",SUMPRODUCT(((Recommendations[ImplStatus]="Implemented")+(Recommendations[ImplStatus]="Compensated"))*ISNUMBER(MATCH(Recommendations[Id],H83:AU83,0)))/COUNTIF(H83:AU83,"&lt;&gt;"))</f>
        <v/>
      </c>
      <c r="H83" s="269"/>
      <c r="I83" s="269"/>
      <c r="J83" s="269"/>
      <c r="K83" s="269"/>
      <c r="L83" s="269"/>
      <c r="M83" s="269"/>
      <c r="N83" s="269"/>
      <c r="O83" s="269"/>
      <c r="P83" s="269"/>
      <c r="Q83" s="269"/>
      <c r="R83" s="269"/>
      <c r="S83" s="269"/>
      <c r="T83" s="269"/>
      <c r="U83" s="269"/>
      <c r="V83" s="269"/>
      <c r="W83" s="269"/>
      <c r="X83" s="269"/>
      <c r="Y83" s="269"/>
      <c r="Z83" s="269"/>
      <c r="AA83" s="269"/>
      <c r="AB83" s="269"/>
      <c r="AC83" s="269"/>
      <c r="AD83" s="269"/>
      <c r="AE83" s="269"/>
      <c r="AF83" s="269"/>
      <c r="AG83" s="269"/>
      <c r="AH83" s="269"/>
      <c r="AI83" s="269"/>
      <c r="AJ83" s="269"/>
      <c r="AK83" s="269"/>
      <c r="AL83" s="269"/>
      <c r="AM83" s="269"/>
      <c r="AN83" s="269"/>
      <c r="AO83" s="269"/>
      <c r="AP83" s="269"/>
      <c r="AQ83" s="269"/>
      <c r="AR83" s="269"/>
      <c r="AS83" s="269"/>
      <c r="AT83" s="269"/>
      <c r="AU83" s="283"/>
    </row>
    <row r="84" spans="1:47" ht="60" customHeight="1" x14ac:dyDescent="0.35">
      <c r="A84" s="279" t="s">
        <v>6518</v>
      </c>
      <c r="B84" s="257" t="s">
        <v>6667</v>
      </c>
      <c r="C84" s="258" t="s">
        <v>6687</v>
      </c>
      <c r="D84" s="261" t="s">
        <v>6688</v>
      </c>
      <c r="E84" s="262" t="s">
        <v>6666</v>
      </c>
      <c r="F84" s="265" t="s">
        <v>6670</v>
      </c>
      <c r="G84" s="268" t="str">
        <f>IF(COUNTIF(H84:AU84,"&lt;&gt;")=0,"",SUMPRODUCT(((Recommendations[ImplStatus]="Implemented")+(Recommendations[ImplStatus]="Compensated"))*ISNUMBER(MATCH(Recommendations[Id],H84:AU84,0)))/COUNTIF(H84:AU84,"&lt;&gt;"))</f>
        <v/>
      </c>
      <c r="H84" s="269"/>
      <c r="I84" s="269"/>
      <c r="J84" s="269"/>
      <c r="K84" s="269"/>
      <c r="L84" s="269"/>
      <c r="M84" s="269"/>
      <c r="N84" s="269"/>
      <c r="O84" s="269"/>
      <c r="P84" s="269"/>
      <c r="Q84" s="269"/>
      <c r="R84" s="269"/>
      <c r="S84" s="269"/>
      <c r="T84" s="269"/>
      <c r="U84" s="269"/>
      <c r="V84" s="269"/>
      <c r="W84" s="269"/>
      <c r="X84" s="269"/>
      <c r="Y84" s="269"/>
      <c r="Z84" s="269"/>
      <c r="AA84" s="269"/>
      <c r="AB84" s="269"/>
      <c r="AC84" s="269"/>
      <c r="AD84" s="269"/>
      <c r="AE84" s="269"/>
      <c r="AF84" s="269"/>
      <c r="AG84" s="269"/>
      <c r="AH84" s="269"/>
      <c r="AI84" s="269"/>
      <c r="AJ84" s="269"/>
      <c r="AK84" s="269"/>
      <c r="AL84" s="269"/>
      <c r="AM84" s="269"/>
      <c r="AN84" s="269"/>
      <c r="AO84" s="269"/>
      <c r="AP84" s="269"/>
      <c r="AQ84" s="269"/>
      <c r="AR84" s="269"/>
      <c r="AS84" s="269"/>
      <c r="AT84" s="269"/>
      <c r="AU84" s="283"/>
    </row>
    <row r="85" spans="1:47" ht="60" customHeight="1" x14ac:dyDescent="0.35">
      <c r="A85" s="279" t="s">
        <v>6518</v>
      </c>
      <c r="B85" s="257" t="s">
        <v>6667</v>
      </c>
      <c r="C85" s="258" t="s">
        <v>6689</v>
      </c>
      <c r="D85" s="261" t="s">
        <v>6690</v>
      </c>
      <c r="E85" s="262" t="s">
        <v>6666</v>
      </c>
      <c r="F85" s="265" t="s">
        <v>6670</v>
      </c>
      <c r="G85" s="268" t="str">
        <f>IF(COUNTIF(H85:AU85,"&lt;&gt;")=0,"",SUMPRODUCT(((Recommendations[ImplStatus]="Implemented")+(Recommendations[ImplStatus]="Compensated"))*ISNUMBER(MATCH(Recommendations[Id],H85:AU85,0)))/COUNTIF(H85:AU85,"&lt;&gt;"))</f>
        <v/>
      </c>
      <c r="H85" s="269"/>
      <c r="I85" s="269"/>
      <c r="J85" s="269"/>
      <c r="K85" s="269"/>
      <c r="L85" s="269"/>
      <c r="M85" s="269"/>
      <c r="N85" s="269"/>
      <c r="O85" s="269"/>
      <c r="P85" s="269"/>
      <c r="Q85" s="269"/>
      <c r="R85" s="269"/>
      <c r="S85" s="269"/>
      <c r="T85" s="269"/>
      <c r="U85" s="269"/>
      <c r="V85" s="269"/>
      <c r="W85" s="269"/>
      <c r="X85" s="269"/>
      <c r="Y85" s="269"/>
      <c r="Z85" s="269"/>
      <c r="AA85" s="269"/>
      <c r="AB85" s="269"/>
      <c r="AC85" s="269"/>
      <c r="AD85" s="269"/>
      <c r="AE85" s="269"/>
      <c r="AF85" s="269"/>
      <c r="AG85" s="269"/>
      <c r="AH85" s="269"/>
      <c r="AI85" s="269"/>
      <c r="AJ85" s="269"/>
      <c r="AK85" s="269"/>
      <c r="AL85" s="269"/>
      <c r="AM85" s="269"/>
      <c r="AN85" s="269"/>
      <c r="AO85" s="269"/>
      <c r="AP85" s="269"/>
      <c r="AQ85" s="269"/>
      <c r="AR85" s="269"/>
      <c r="AS85" s="269"/>
      <c r="AT85" s="269"/>
      <c r="AU85" s="283"/>
    </row>
    <row r="86" spans="1:47" ht="60" customHeight="1" x14ac:dyDescent="0.35">
      <c r="A86" s="279" t="s">
        <v>6518</v>
      </c>
      <c r="B86" s="257" t="s">
        <v>6667</v>
      </c>
      <c r="C86" s="258" t="s">
        <v>6691</v>
      </c>
      <c r="D86" s="261" t="s">
        <v>6692</v>
      </c>
      <c r="E86" s="262" t="s">
        <v>6666</v>
      </c>
      <c r="F86" s="265" t="s">
        <v>6670</v>
      </c>
      <c r="G86" s="268" t="str">
        <f>IF(COUNTIF(H86:AU86,"&lt;&gt;")=0,"",SUMPRODUCT(((Recommendations[ImplStatus]="Implemented")+(Recommendations[ImplStatus]="Compensated"))*ISNUMBER(MATCH(Recommendations[Id],H86:AU86,0)))/COUNTIF(H86:AU86,"&lt;&gt;"))</f>
        <v/>
      </c>
      <c r="H86" s="269"/>
      <c r="I86" s="269"/>
      <c r="J86" s="269"/>
      <c r="K86" s="269"/>
      <c r="L86" s="269"/>
      <c r="M86" s="269"/>
      <c r="N86" s="269"/>
      <c r="O86" s="269"/>
      <c r="P86" s="269"/>
      <c r="Q86" s="269"/>
      <c r="R86" s="269"/>
      <c r="S86" s="269"/>
      <c r="T86" s="269"/>
      <c r="U86" s="269"/>
      <c r="V86" s="269"/>
      <c r="W86" s="269"/>
      <c r="X86" s="269"/>
      <c r="Y86" s="269"/>
      <c r="Z86" s="269"/>
      <c r="AA86" s="269"/>
      <c r="AB86" s="269"/>
      <c r="AC86" s="269"/>
      <c r="AD86" s="269"/>
      <c r="AE86" s="269"/>
      <c r="AF86" s="269"/>
      <c r="AG86" s="269"/>
      <c r="AH86" s="269"/>
      <c r="AI86" s="269"/>
      <c r="AJ86" s="269"/>
      <c r="AK86" s="269"/>
      <c r="AL86" s="269"/>
      <c r="AM86" s="269"/>
      <c r="AN86" s="269"/>
      <c r="AO86" s="269"/>
      <c r="AP86" s="269"/>
      <c r="AQ86" s="269"/>
      <c r="AR86" s="269"/>
      <c r="AS86" s="269"/>
      <c r="AT86" s="269"/>
      <c r="AU86" s="283"/>
    </row>
    <row r="87" spans="1:47" ht="60" customHeight="1" x14ac:dyDescent="0.35">
      <c r="A87" s="279" t="s">
        <v>6518</v>
      </c>
      <c r="B87" s="257" t="s">
        <v>6667</v>
      </c>
      <c r="C87" s="258" t="s">
        <v>6693</v>
      </c>
      <c r="D87" s="261" t="s">
        <v>6694</v>
      </c>
      <c r="E87" s="262" t="s">
        <v>6666</v>
      </c>
      <c r="F87" s="265" t="s">
        <v>6670</v>
      </c>
      <c r="G87" s="268" t="str">
        <f>IF(COUNTIF(H87:AU87,"&lt;&gt;")=0,"",SUMPRODUCT(((Recommendations[ImplStatus]="Implemented")+(Recommendations[ImplStatus]="Compensated"))*ISNUMBER(MATCH(Recommendations[Id],H87:AU87,0)))/COUNTIF(H87:AU87,"&lt;&gt;"))</f>
        <v/>
      </c>
      <c r="H87" s="269"/>
      <c r="I87" s="269"/>
      <c r="J87" s="269"/>
      <c r="K87" s="269"/>
      <c r="L87" s="269"/>
      <c r="M87" s="269"/>
      <c r="N87" s="269"/>
      <c r="O87" s="269"/>
      <c r="P87" s="269"/>
      <c r="Q87" s="269"/>
      <c r="R87" s="269"/>
      <c r="S87" s="269"/>
      <c r="T87" s="269"/>
      <c r="U87" s="269"/>
      <c r="V87" s="269"/>
      <c r="W87" s="269"/>
      <c r="X87" s="269"/>
      <c r="Y87" s="269"/>
      <c r="Z87" s="269"/>
      <c r="AA87" s="269"/>
      <c r="AB87" s="269"/>
      <c r="AC87" s="269"/>
      <c r="AD87" s="269"/>
      <c r="AE87" s="269"/>
      <c r="AF87" s="269"/>
      <c r="AG87" s="269"/>
      <c r="AH87" s="269"/>
      <c r="AI87" s="269"/>
      <c r="AJ87" s="269"/>
      <c r="AK87" s="269"/>
      <c r="AL87" s="269"/>
      <c r="AM87" s="269"/>
      <c r="AN87" s="269"/>
      <c r="AO87" s="269"/>
      <c r="AP87" s="269"/>
      <c r="AQ87" s="269"/>
      <c r="AR87" s="269"/>
      <c r="AS87" s="269"/>
      <c r="AT87" s="269"/>
      <c r="AU87" s="283"/>
    </row>
    <row r="88" spans="1:47" ht="60" customHeight="1" x14ac:dyDescent="0.35">
      <c r="A88" s="279" t="s">
        <v>6518</v>
      </c>
      <c r="B88" s="257" t="s">
        <v>6667</v>
      </c>
      <c r="C88" s="258" t="s">
        <v>6695</v>
      </c>
      <c r="D88" s="261" t="s">
        <v>6696</v>
      </c>
      <c r="E88" s="262" t="s">
        <v>6666</v>
      </c>
      <c r="F88" s="265" t="s">
        <v>6654</v>
      </c>
      <c r="G88" s="268" t="str">
        <f>IF(COUNTIF(H88:AU88,"&lt;&gt;")=0,"",SUMPRODUCT(((Recommendations[ImplStatus]="Implemented")+(Recommendations[ImplStatus]="Compensated"))*ISNUMBER(MATCH(Recommendations[Id],H88:AU88,0)))/COUNTIF(H88:AU88,"&lt;&gt;"))</f>
        <v/>
      </c>
      <c r="H88" s="269"/>
      <c r="I88" s="269"/>
      <c r="J88" s="269"/>
      <c r="K88" s="269"/>
      <c r="L88" s="269"/>
      <c r="M88" s="269"/>
      <c r="N88" s="269"/>
      <c r="O88" s="269"/>
      <c r="P88" s="269"/>
      <c r="Q88" s="269"/>
      <c r="R88" s="269"/>
      <c r="S88" s="269"/>
      <c r="T88" s="269"/>
      <c r="U88" s="269"/>
      <c r="V88" s="269"/>
      <c r="W88" s="269"/>
      <c r="X88" s="269"/>
      <c r="Y88" s="269"/>
      <c r="Z88" s="269"/>
      <c r="AA88" s="269"/>
      <c r="AB88" s="269"/>
      <c r="AC88" s="269"/>
      <c r="AD88" s="269"/>
      <c r="AE88" s="269"/>
      <c r="AF88" s="269"/>
      <c r="AG88" s="269"/>
      <c r="AH88" s="269"/>
      <c r="AI88" s="269"/>
      <c r="AJ88" s="269"/>
      <c r="AK88" s="269"/>
      <c r="AL88" s="269"/>
      <c r="AM88" s="269"/>
      <c r="AN88" s="269"/>
      <c r="AO88" s="269"/>
      <c r="AP88" s="269"/>
      <c r="AQ88" s="269"/>
      <c r="AR88" s="269"/>
      <c r="AS88" s="269"/>
      <c r="AT88" s="269"/>
      <c r="AU88" s="283"/>
    </row>
    <row r="89" spans="1:47" ht="60" customHeight="1" x14ac:dyDescent="0.35">
      <c r="A89" s="279" t="s">
        <v>6518</v>
      </c>
      <c r="B89" s="257" t="s">
        <v>6667</v>
      </c>
      <c r="C89" s="258" t="s">
        <v>6697</v>
      </c>
      <c r="D89" s="261" t="s">
        <v>6698</v>
      </c>
      <c r="E89" s="262" t="s">
        <v>6666</v>
      </c>
      <c r="F89" s="265" t="s">
        <v>6654</v>
      </c>
      <c r="G89" s="268" t="str">
        <f>IF(COUNTIF(H89:AU89,"&lt;&gt;")=0,"",SUMPRODUCT(((Recommendations[ImplStatus]="Implemented")+(Recommendations[ImplStatus]="Compensated"))*ISNUMBER(MATCH(Recommendations[Id],H89:AU89,0)))/COUNTIF(H89:AU89,"&lt;&gt;"))</f>
        <v/>
      </c>
      <c r="H89" s="269"/>
      <c r="I89" s="269"/>
      <c r="J89" s="269"/>
      <c r="K89" s="269"/>
      <c r="L89" s="269"/>
      <c r="M89" s="269"/>
      <c r="N89" s="269"/>
      <c r="O89" s="269"/>
      <c r="P89" s="269"/>
      <c r="Q89" s="269"/>
      <c r="R89" s="269"/>
      <c r="S89" s="269"/>
      <c r="T89" s="269"/>
      <c r="U89" s="269"/>
      <c r="V89" s="269"/>
      <c r="W89" s="269"/>
      <c r="X89" s="269"/>
      <c r="Y89" s="269"/>
      <c r="Z89" s="269"/>
      <c r="AA89" s="269"/>
      <c r="AB89" s="269"/>
      <c r="AC89" s="269"/>
      <c r="AD89" s="269"/>
      <c r="AE89" s="269"/>
      <c r="AF89" s="269"/>
      <c r="AG89" s="269"/>
      <c r="AH89" s="269"/>
      <c r="AI89" s="269"/>
      <c r="AJ89" s="269"/>
      <c r="AK89" s="269"/>
      <c r="AL89" s="269"/>
      <c r="AM89" s="269"/>
      <c r="AN89" s="269"/>
      <c r="AO89" s="269"/>
      <c r="AP89" s="269"/>
      <c r="AQ89" s="269"/>
      <c r="AR89" s="269"/>
      <c r="AS89" s="269"/>
      <c r="AT89" s="269"/>
      <c r="AU89" s="283"/>
    </row>
    <row r="90" spans="1:47" ht="60" customHeight="1" x14ac:dyDescent="0.35">
      <c r="A90" s="279" t="s">
        <v>6518</v>
      </c>
      <c r="B90" s="257" t="s">
        <v>6667</v>
      </c>
      <c r="C90" s="258" t="s">
        <v>6699</v>
      </c>
      <c r="D90" s="261" t="s">
        <v>6700</v>
      </c>
      <c r="E90" s="262" t="s">
        <v>6666</v>
      </c>
      <c r="F90" s="265" t="s">
        <v>6654</v>
      </c>
      <c r="G90" s="268" t="str">
        <f>IF(COUNTIF(H90:AU90,"&lt;&gt;")=0,"",SUMPRODUCT(((Recommendations[ImplStatus]="Implemented")+(Recommendations[ImplStatus]="Compensated"))*ISNUMBER(MATCH(Recommendations[Id],H90:AU90,0)))/COUNTIF(H90:AU90,"&lt;&gt;"))</f>
        <v/>
      </c>
      <c r="H90" s="269"/>
      <c r="I90" s="269"/>
      <c r="J90" s="269"/>
      <c r="K90" s="269"/>
      <c r="L90" s="269"/>
      <c r="M90" s="269"/>
      <c r="N90" s="269"/>
      <c r="O90" s="269"/>
      <c r="P90" s="269"/>
      <c r="Q90" s="269"/>
      <c r="R90" s="269"/>
      <c r="S90" s="269"/>
      <c r="T90" s="269"/>
      <c r="U90" s="269"/>
      <c r="V90" s="269"/>
      <c r="W90" s="269"/>
      <c r="X90" s="269"/>
      <c r="Y90" s="269"/>
      <c r="Z90" s="269"/>
      <c r="AA90" s="269"/>
      <c r="AB90" s="269"/>
      <c r="AC90" s="269"/>
      <c r="AD90" s="269"/>
      <c r="AE90" s="269"/>
      <c r="AF90" s="269"/>
      <c r="AG90" s="269"/>
      <c r="AH90" s="269"/>
      <c r="AI90" s="269"/>
      <c r="AJ90" s="269"/>
      <c r="AK90" s="269"/>
      <c r="AL90" s="269"/>
      <c r="AM90" s="269"/>
      <c r="AN90" s="269"/>
      <c r="AO90" s="269"/>
      <c r="AP90" s="269"/>
      <c r="AQ90" s="269"/>
      <c r="AR90" s="269"/>
      <c r="AS90" s="269"/>
      <c r="AT90" s="269"/>
      <c r="AU90" s="283"/>
    </row>
    <row r="91" spans="1:47" ht="60" customHeight="1" outlineLevel="2" x14ac:dyDescent="0.35">
      <c r="A91" s="278" t="s">
        <v>6518</v>
      </c>
      <c r="B91" s="256" t="s">
        <v>6701</v>
      </c>
      <c r="C91" s="256"/>
      <c r="D91" s="260"/>
      <c r="E91" s="256"/>
      <c r="F91" s="264"/>
      <c r="G91" s="267" t="str">
        <f>IF(COUNTIF(H91:AU91,"&lt;&gt;")=0,"",SUMPRODUCT(((Recommendations[ImplStatus]="Implemented")+(Recommendations[ImplStatus]="Compensated"))*ISNUMBER(MATCH(Recommendations[Id],H91:AU91,0)))/COUNTIF(H91:AU91,"&lt;&gt;"))</f>
        <v/>
      </c>
      <c r="H91" s="264"/>
      <c r="I91" s="264"/>
      <c r="J91" s="264"/>
      <c r="K91" s="264"/>
      <c r="L91" s="264"/>
      <c r="M91" s="264"/>
      <c r="N91" s="264"/>
      <c r="O91" s="264"/>
      <c r="P91" s="264"/>
      <c r="Q91" s="264"/>
      <c r="R91" s="264"/>
      <c r="S91" s="264"/>
      <c r="T91" s="264"/>
      <c r="U91" s="264"/>
      <c r="V91" s="264"/>
      <c r="W91" s="264"/>
      <c r="X91" s="264"/>
      <c r="Y91" s="264"/>
      <c r="Z91" s="264"/>
      <c r="AA91" s="264"/>
      <c r="AB91" s="264"/>
      <c r="AC91" s="264"/>
      <c r="AD91" s="264"/>
      <c r="AE91" s="264"/>
      <c r="AF91" s="264"/>
      <c r="AG91" s="264"/>
      <c r="AH91" s="264"/>
      <c r="AI91" s="264"/>
      <c r="AJ91" s="264"/>
      <c r="AK91" s="264"/>
      <c r="AL91" s="264"/>
      <c r="AM91" s="264"/>
      <c r="AN91" s="264"/>
      <c r="AO91" s="264"/>
      <c r="AP91" s="264"/>
      <c r="AQ91" s="264"/>
      <c r="AR91" s="264"/>
      <c r="AS91" s="264"/>
      <c r="AT91" s="264"/>
      <c r="AU91" s="282"/>
    </row>
    <row r="92" spans="1:47" ht="60" customHeight="1" x14ac:dyDescent="0.35">
      <c r="A92" s="279" t="s">
        <v>6518</v>
      </c>
      <c r="B92" s="257" t="s">
        <v>6701</v>
      </c>
      <c r="C92" s="258" t="s">
        <v>6702</v>
      </c>
      <c r="D92" s="261" t="s">
        <v>6703</v>
      </c>
      <c r="E92" s="262" t="s">
        <v>6522</v>
      </c>
      <c r="F92" s="265" t="s">
        <v>6654</v>
      </c>
      <c r="G92" s="268" t="str">
        <f>IF(COUNTIF(H92:AU92,"&lt;&gt;")=0,"",SUMPRODUCT(((Recommendations[ImplStatus]="Implemented")+(Recommendations[ImplStatus]="Compensated"))*ISNUMBER(MATCH(Recommendations[Id],H92:AU92,0)))/COUNTIF(H92:AU92,"&lt;&gt;"))</f>
        <v/>
      </c>
      <c r="H92" s="269"/>
      <c r="I92" s="269"/>
      <c r="J92" s="269"/>
      <c r="K92" s="269"/>
      <c r="L92" s="269"/>
      <c r="M92" s="269"/>
      <c r="N92" s="269"/>
      <c r="O92" s="269"/>
      <c r="P92" s="269"/>
      <c r="Q92" s="269"/>
      <c r="R92" s="269"/>
      <c r="S92" s="269"/>
      <c r="T92" s="269"/>
      <c r="U92" s="269"/>
      <c r="V92" s="269"/>
      <c r="W92" s="269"/>
      <c r="X92" s="269"/>
      <c r="Y92" s="269"/>
      <c r="Z92" s="269"/>
      <c r="AA92" s="269"/>
      <c r="AB92" s="269"/>
      <c r="AC92" s="269"/>
      <c r="AD92" s="269"/>
      <c r="AE92" s="269"/>
      <c r="AF92" s="269"/>
      <c r="AG92" s="269"/>
      <c r="AH92" s="269"/>
      <c r="AI92" s="269"/>
      <c r="AJ92" s="269"/>
      <c r="AK92" s="269"/>
      <c r="AL92" s="269"/>
      <c r="AM92" s="269"/>
      <c r="AN92" s="269"/>
      <c r="AO92" s="269"/>
      <c r="AP92" s="269"/>
      <c r="AQ92" s="269"/>
      <c r="AR92" s="269"/>
      <c r="AS92" s="269"/>
      <c r="AT92" s="269"/>
      <c r="AU92" s="283"/>
    </row>
    <row r="93" spans="1:47" ht="60" customHeight="1" x14ac:dyDescent="0.35">
      <c r="A93" s="279" t="s">
        <v>6518</v>
      </c>
      <c r="B93" s="257" t="s">
        <v>6701</v>
      </c>
      <c r="C93" s="258" t="s">
        <v>6704</v>
      </c>
      <c r="D93" s="261" t="s">
        <v>6705</v>
      </c>
      <c r="E93" s="262" t="s">
        <v>6522</v>
      </c>
      <c r="F93" s="265" t="s">
        <v>6654</v>
      </c>
      <c r="G93" s="268" t="str">
        <f>IF(COUNTIF(H93:AU93,"&lt;&gt;")=0,"",SUMPRODUCT(((Recommendations[ImplStatus]="Implemented")+(Recommendations[ImplStatus]="Compensated"))*ISNUMBER(MATCH(Recommendations[Id],H93:AU93,0)))/COUNTIF(H93:AU93,"&lt;&gt;"))</f>
        <v/>
      </c>
      <c r="H93" s="269"/>
      <c r="I93" s="269"/>
      <c r="J93" s="269"/>
      <c r="K93" s="269"/>
      <c r="L93" s="269"/>
      <c r="M93" s="269"/>
      <c r="N93" s="269"/>
      <c r="O93" s="269"/>
      <c r="P93" s="269"/>
      <c r="Q93" s="269"/>
      <c r="R93" s="269"/>
      <c r="S93" s="269"/>
      <c r="T93" s="269"/>
      <c r="U93" s="269"/>
      <c r="V93" s="269"/>
      <c r="W93" s="269"/>
      <c r="X93" s="269"/>
      <c r="Y93" s="269"/>
      <c r="Z93" s="269"/>
      <c r="AA93" s="269"/>
      <c r="AB93" s="269"/>
      <c r="AC93" s="269"/>
      <c r="AD93" s="269"/>
      <c r="AE93" s="269"/>
      <c r="AF93" s="269"/>
      <c r="AG93" s="269"/>
      <c r="AH93" s="269"/>
      <c r="AI93" s="269"/>
      <c r="AJ93" s="269"/>
      <c r="AK93" s="269"/>
      <c r="AL93" s="269"/>
      <c r="AM93" s="269"/>
      <c r="AN93" s="269"/>
      <c r="AO93" s="269"/>
      <c r="AP93" s="269"/>
      <c r="AQ93" s="269"/>
      <c r="AR93" s="269"/>
      <c r="AS93" s="269"/>
      <c r="AT93" s="269"/>
      <c r="AU93" s="283"/>
    </row>
    <row r="94" spans="1:47" ht="60" customHeight="1" x14ac:dyDescent="0.35">
      <c r="A94" s="279" t="s">
        <v>6518</v>
      </c>
      <c r="B94" s="257" t="s">
        <v>6701</v>
      </c>
      <c r="C94" s="258" t="s">
        <v>6706</v>
      </c>
      <c r="D94" s="261" t="s">
        <v>6707</v>
      </c>
      <c r="E94" s="262" t="s">
        <v>6522</v>
      </c>
      <c r="F94" s="265" t="s">
        <v>6654</v>
      </c>
      <c r="G94" s="268" t="str">
        <f>IF(COUNTIF(H94:AU94,"&lt;&gt;")=0,"",SUMPRODUCT(((Recommendations[ImplStatus]="Implemented")+(Recommendations[ImplStatus]="Compensated"))*ISNUMBER(MATCH(Recommendations[Id],H94:AU94,0)))/COUNTIF(H94:AU94,"&lt;&gt;"))</f>
        <v/>
      </c>
      <c r="H94" s="269"/>
      <c r="I94" s="269"/>
      <c r="J94" s="269"/>
      <c r="K94" s="269"/>
      <c r="L94" s="269"/>
      <c r="M94" s="269"/>
      <c r="N94" s="269"/>
      <c r="O94" s="269"/>
      <c r="P94" s="269"/>
      <c r="Q94" s="269"/>
      <c r="R94" s="269"/>
      <c r="S94" s="269"/>
      <c r="T94" s="269"/>
      <c r="U94" s="269"/>
      <c r="V94" s="269"/>
      <c r="W94" s="269"/>
      <c r="X94" s="269"/>
      <c r="Y94" s="269"/>
      <c r="Z94" s="269"/>
      <c r="AA94" s="269"/>
      <c r="AB94" s="269"/>
      <c r="AC94" s="269"/>
      <c r="AD94" s="269"/>
      <c r="AE94" s="269"/>
      <c r="AF94" s="269"/>
      <c r="AG94" s="269"/>
      <c r="AH94" s="269"/>
      <c r="AI94" s="269"/>
      <c r="AJ94" s="269"/>
      <c r="AK94" s="269"/>
      <c r="AL94" s="269"/>
      <c r="AM94" s="269"/>
      <c r="AN94" s="269"/>
      <c r="AO94" s="269"/>
      <c r="AP94" s="269"/>
      <c r="AQ94" s="269"/>
      <c r="AR94" s="269"/>
      <c r="AS94" s="269"/>
      <c r="AT94" s="269"/>
      <c r="AU94" s="283"/>
    </row>
    <row r="95" spans="1:47" ht="60" customHeight="1" x14ac:dyDescent="0.35">
      <c r="A95" s="279" t="s">
        <v>6518</v>
      </c>
      <c r="B95" s="257" t="s">
        <v>6701</v>
      </c>
      <c r="C95" s="258" t="s">
        <v>6708</v>
      </c>
      <c r="D95" s="261" t="s">
        <v>6709</v>
      </c>
      <c r="E95" s="262" t="s">
        <v>6522</v>
      </c>
      <c r="F95" s="265" t="s">
        <v>6654</v>
      </c>
      <c r="G95" s="268" t="str">
        <f>IF(COUNTIF(H95:AU95,"&lt;&gt;")=0,"",SUMPRODUCT(((Recommendations[ImplStatus]="Implemented")+(Recommendations[ImplStatus]="Compensated"))*ISNUMBER(MATCH(Recommendations[Id],H95:AU95,0)))/COUNTIF(H95:AU95,"&lt;&gt;"))</f>
        <v/>
      </c>
      <c r="H95" s="269"/>
      <c r="I95" s="269"/>
      <c r="J95" s="269"/>
      <c r="K95" s="269"/>
      <c r="L95" s="269"/>
      <c r="M95" s="269"/>
      <c r="N95" s="269"/>
      <c r="O95" s="269"/>
      <c r="P95" s="269"/>
      <c r="Q95" s="269"/>
      <c r="R95" s="269"/>
      <c r="S95" s="269"/>
      <c r="T95" s="269"/>
      <c r="U95" s="269"/>
      <c r="V95" s="269"/>
      <c r="W95" s="269"/>
      <c r="X95" s="269"/>
      <c r="Y95" s="269"/>
      <c r="Z95" s="269"/>
      <c r="AA95" s="269"/>
      <c r="AB95" s="269"/>
      <c r="AC95" s="269"/>
      <c r="AD95" s="269"/>
      <c r="AE95" s="269"/>
      <c r="AF95" s="269"/>
      <c r="AG95" s="269"/>
      <c r="AH95" s="269"/>
      <c r="AI95" s="269"/>
      <c r="AJ95" s="269"/>
      <c r="AK95" s="269"/>
      <c r="AL95" s="269"/>
      <c r="AM95" s="269"/>
      <c r="AN95" s="269"/>
      <c r="AO95" s="269"/>
      <c r="AP95" s="269"/>
      <c r="AQ95" s="269"/>
      <c r="AR95" s="269"/>
      <c r="AS95" s="269"/>
      <c r="AT95" s="269"/>
      <c r="AU95" s="283"/>
    </row>
    <row r="96" spans="1:47" ht="60" customHeight="1" x14ac:dyDescent="0.35">
      <c r="A96" s="279" t="s">
        <v>6518</v>
      </c>
      <c r="B96" s="257" t="s">
        <v>6701</v>
      </c>
      <c r="C96" s="258" t="s">
        <v>6710</v>
      </c>
      <c r="D96" s="261" t="s">
        <v>6711</v>
      </c>
      <c r="E96" s="262" t="s">
        <v>6522</v>
      </c>
      <c r="F96" s="265" t="s">
        <v>6654</v>
      </c>
      <c r="G96" s="268" t="str">
        <f>IF(COUNTIF(H96:AU96,"&lt;&gt;")=0,"",SUMPRODUCT(((Recommendations[ImplStatus]="Implemented")+(Recommendations[ImplStatus]="Compensated"))*ISNUMBER(MATCH(Recommendations[Id],H96:AU96,0)))/COUNTIF(H96:AU96,"&lt;&gt;"))</f>
        <v/>
      </c>
      <c r="H96" s="269"/>
      <c r="I96" s="269"/>
      <c r="J96" s="269"/>
      <c r="K96" s="269"/>
      <c r="L96" s="269"/>
      <c r="M96" s="269"/>
      <c r="N96" s="269"/>
      <c r="O96" s="269"/>
      <c r="P96" s="269"/>
      <c r="Q96" s="269"/>
      <c r="R96" s="269"/>
      <c r="S96" s="269"/>
      <c r="T96" s="269"/>
      <c r="U96" s="269"/>
      <c r="V96" s="269"/>
      <c r="W96" s="269"/>
      <c r="X96" s="269"/>
      <c r="Y96" s="269"/>
      <c r="Z96" s="269"/>
      <c r="AA96" s="269"/>
      <c r="AB96" s="269"/>
      <c r="AC96" s="269"/>
      <c r="AD96" s="269"/>
      <c r="AE96" s="269"/>
      <c r="AF96" s="269"/>
      <c r="AG96" s="269"/>
      <c r="AH96" s="269"/>
      <c r="AI96" s="269"/>
      <c r="AJ96" s="269"/>
      <c r="AK96" s="269"/>
      <c r="AL96" s="269"/>
      <c r="AM96" s="269"/>
      <c r="AN96" s="269"/>
      <c r="AO96" s="269"/>
      <c r="AP96" s="269"/>
      <c r="AQ96" s="269"/>
      <c r="AR96" s="269"/>
      <c r="AS96" s="269"/>
      <c r="AT96" s="269"/>
      <c r="AU96" s="283"/>
    </row>
    <row r="97" spans="1:47" ht="60" customHeight="1" x14ac:dyDescent="0.35">
      <c r="A97" s="279" t="s">
        <v>6518</v>
      </c>
      <c r="B97" s="257" t="s">
        <v>6701</v>
      </c>
      <c r="C97" s="258" t="s">
        <v>6712</v>
      </c>
      <c r="D97" s="261" t="s">
        <v>6713</v>
      </c>
      <c r="E97" s="262" t="s">
        <v>6522</v>
      </c>
      <c r="F97" s="265" t="s">
        <v>6714</v>
      </c>
      <c r="G97" s="268" t="str">
        <f>IF(COUNTIF(H97:AU97,"&lt;&gt;")=0,"",SUMPRODUCT(((Recommendations[ImplStatus]="Implemented")+(Recommendations[ImplStatus]="Compensated"))*ISNUMBER(MATCH(Recommendations[Id],H97:AU97,0)))/COUNTIF(H97:AU97,"&lt;&gt;"))</f>
        <v/>
      </c>
      <c r="H97" s="269"/>
      <c r="I97" s="269"/>
      <c r="J97" s="269"/>
      <c r="K97" s="269"/>
      <c r="L97" s="269"/>
      <c r="M97" s="269"/>
      <c r="N97" s="269"/>
      <c r="O97" s="269"/>
      <c r="P97" s="269"/>
      <c r="Q97" s="269"/>
      <c r="R97" s="269"/>
      <c r="S97" s="269"/>
      <c r="T97" s="269"/>
      <c r="U97" s="269"/>
      <c r="V97" s="269"/>
      <c r="W97" s="269"/>
      <c r="X97" s="269"/>
      <c r="Y97" s="269"/>
      <c r="Z97" s="269"/>
      <c r="AA97" s="269"/>
      <c r="AB97" s="269"/>
      <c r="AC97" s="269"/>
      <c r="AD97" s="269"/>
      <c r="AE97" s="269"/>
      <c r="AF97" s="269"/>
      <c r="AG97" s="269"/>
      <c r="AH97" s="269"/>
      <c r="AI97" s="269"/>
      <c r="AJ97" s="269"/>
      <c r="AK97" s="269"/>
      <c r="AL97" s="269"/>
      <c r="AM97" s="269"/>
      <c r="AN97" s="269"/>
      <c r="AO97" s="269"/>
      <c r="AP97" s="269"/>
      <c r="AQ97" s="269"/>
      <c r="AR97" s="269"/>
      <c r="AS97" s="269"/>
      <c r="AT97" s="269"/>
      <c r="AU97" s="283"/>
    </row>
    <row r="98" spans="1:47" ht="60" customHeight="1" x14ac:dyDescent="0.35">
      <c r="A98" s="279" t="s">
        <v>6518</v>
      </c>
      <c r="B98" s="257" t="s">
        <v>6701</v>
      </c>
      <c r="C98" s="258" t="s">
        <v>6715</v>
      </c>
      <c r="D98" s="261" t="s">
        <v>6716</v>
      </c>
      <c r="E98" s="262" t="s">
        <v>6522</v>
      </c>
      <c r="F98" s="265" t="s">
        <v>6714</v>
      </c>
      <c r="G98" s="268" t="str">
        <f>IF(COUNTIF(H98:AU98,"&lt;&gt;")=0,"",SUMPRODUCT(((Recommendations[ImplStatus]="Implemented")+(Recommendations[ImplStatus]="Compensated"))*ISNUMBER(MATCH(Recommendations[Id],H98:AU98,0)))/COUNTIF(H98:AU98,"&lt;&gt;"))</f>
        <v/>
      </c>
      <c r="H98" s="269"/>
      <c r="I98" s="269"/>
      <c r="J98" s="269"/>
      <c r="K98" s="269"/>
      <c r="L98" s="269"/>
      <c r="M98" s="269"/>
      <c r="N98" s="269"/>
      <c r="O98" s="269"/>
      <c r="P98" s="269"/>
      <c r="Q98" s="269"/>
      <c r="R98" s="269"/>
      <c r="S98" s="269"/>
      <c r="T98" s="269"/>
      <c r="U98" s="269"/>
      <c r="V98" s="269"/>
      <c r="W98" s="269"/>
      <c r="X98" s="269"/>
      <c r="Y98" s="269"/>
      <c r="Z98" s="269"/>
      <c r="AA98" s="269"/>
      <c r="AB98" s="269"/>
      <c r="AC98" s="269"/>
      <c r="AD98" s="269"/>
      <c r="AE98" s="269"/>
      <c r="AF98" s="269"/>
      <c r="AG98" s="269"/>
      <c r="AH98" s="269"/>
      <c r="AI98" s="269"/>
      <c r="AJ98" s="269"/>
      <c r="AK98" s="269"/>
      <c r="AL98" s="269"/>
      <c r="AM98" s="269"/>
      <c r="AN98" s="269"/>
      <c r="AO98" s="269"/>
      <c r="AP98" s="269"/>
      <c r="AQ98" s="269"/>
      <c r="AR98" s="269"/>
      <c r="AS98" s="269"/>
      <c r="AT98" s="269"/>
      <c r="AU98" s="283"/>
    </row>
    <row r="99" spans="1:47" ht="60" customHeight="1" x14ac:dyDescent="0.35">
      <c r="A99" s="279" t="s">
        <v>6518</v>
      </c>
      <c r="B99" s="257" t="s">
        <v>6701</v>
      </c>
      <c r="C99" s="258" t="s">
        <v>6717</v>
      </c>
      <c r="D99" s="261" t="s">
        <v>6718</v>
      </c>
      <c r="E99" s="262" t="s">
        <v>6522</v>
      </c>
      <c r="F99" s="265" t="s">
        <v>6714</v>
      </c>
      <c r="G99" s="268" t="str">
        <f>IF(COUNTIF(H99:AU99,"&lt;&gt;")=0,"",SUMPRODUCT(((Recommendations[ImplStatus]="Implemented")+(Recommendations[ImplStatus]="Compensated"))*ISNUMBER(MATCH(Recommendations[Id],H99:AU99,0)))/COUNTIF(H99:AU99,"&lt;&gt;"))</f>
        <v/>
      </c>
      <c r="H99" s="269"/>
      <c r="I99" s="269"/>
      <c r="J99" s="269"/>
      <c r="K99" s="269"/>
      <c r="L99" s="269"/>
      <c r="M99" s="269"/>
      <c r="N99" s="269"/>
      <c r="O99" s="269"/>
      <c r="P99" s="269"/>
      <c r="Q99" s="269"/>
      <c r="R99" s="269"/>
      <c r="S99" s="269"/>
      <c r="T99" s="269"/>
      <c r="U99" s="269"/>
      <c r="V99" s="269"/>
      <c r="W99" s="269"/>
      <c r="X99" s="269"/>
      <c r="Y99" s="269"/>
      <c r="Z99" s="269"/>
      <c r="AA99" s="269"/>
      <c r="AB99" s="269"/>
      <c r="AC99" s="269"/>
      <c r="AD99" s="269"/>
      <c r="AE99" s="269"/>
      <c r="AF99" s="269"/>
      <c r="AG99" s="269"/>
      <c r="AH99" s="269"/>
      <c r="AI99" s="269"/>
      <c r="AJ99" s="269"/>
      <c r="AK99" s="269"/>
      <c r="AL99" s="269"/>
      <c r="AM99" s="269"/>
      <c r="AN99" s="269"/>
      <c r="AO99" s="269"/>
      <c r="AP99" s="269"/>
      <c r="AQ99" s="269"/>
      <c r="AR99" s="269"/>
      <c r="AS99" s="269"/>
      <c r="AT99" s="269"/>
      <c r="AU99" s="283"/>
    </row>
    <row r="100" spans="1:47" ht="60" customHeight="1" x14ac:dyDescent="0.35">
      <c r="A100" s="279" t="s">
        <v>6518</v>
      </c>
      <c r="B100" s="257" t="s">
        <v>6701</v>
      </c>
      <c r="C100" s="258" t="s">
        <v>6719</v>
      </c>
      <c r="D100" s="261" t="s">
        <v>6720</v>
      </c>
      <c r="E100" s="262" t="s">
        <v>6522</v>
      </c>
      <c r="F100" s="265" t="s">
        <v>6714</v>
      </c>
      <c r="G100" s="268" t="str">
        <f>IF(COUNTIF(H100:AU100,"&lt;&gt;")=0,"",SUMPRODUCT(((Recommendations[ImplStatus]="Implemented")+(Recommendations[ImplStatus]="Compensated"))*ISNUMBER(MATCH(Recommendations[Id],H100:AU100,0)))/COUNTIF(H100:AU100,"&lt;&gt;"))</f>
        <v/>
      </c>
      <c r="H100" s="269"/>
      <c r="I100" s="269"/>
      <c r="J100" s="269"/>
      <c r="K100" s="269"/>
      <c r="L100" s="269"/>
      <c r="M100" s="269"/>
      <c r="N100" s="269"/>
      <c r="O100" s="269"/>
      <c r="P100" s="269"/>
      <c r="Q100" s="269"/>
      <c r="R100" s="269"/>
      <c r="S100" s="269"/>
      <c r="T100" s="269"/>
      <c r="U100" s="269"/>
      <c r="V100" s="269"/>
      <c r="W100" s="269"/>
      <c r="X100" s="269"/>
      <c r="Y100" s="269"/>
      <c r="Z100" s="269"/>
      <c r="AA100" s="269"/>
      <c r="AB100" s="269"/>
      <c r="AC100" s="269"/>
      <c r="AD100" s="269"/>
      <c r="AE100" s="269"/>
      <c r="AF100" s="269"/>
      <c r="AG100" s="269"/>
      <c r="AH100" s="269"/>
      <c r="AI100" s="269"/>
      <c r="AJ100" s="269"/>
      <c r="AK100" s="269"/>
      <c r="AL100" s="269"/>
      <c r="AM100" s="269"/>
      <c r="AN100" s="269"/>
      <c r="AO100" s="269"/>
      <c r="AP100" s="269"/>
      <c r="AQ100" s="269"/>
      <c r="AR100" s="269"/>
      <c r="AS100" s="269"/>
      <c r="AT100" s="269"/>
      <c r="AU100" s="283"/>
    </row>
    <row r="101" spans="1:47" ht="60" customHeight="1" x14ac:dyDescent="0.35">
      <c r="A101" s="279" t="s">
        <v>6518</v>
      </c>
      <c r="B101" s="257" t="s">
        <v>6701</v>
      </c>
      <c r="C101" s="258" t="s">
        <v>6721</v>
      </c>
      <c r="D101" s="261" t="s">
        <v>6722</v>
      </c>
      <c r="E101" s="262" t="s">
        <v>6522</v>
      </c>
      <c r="F101" s="265" t="s">
        <v>6654</v>
      </c>
      <c r="G101" s="268" t="str">
        <f>IF(COUNTIF(H101:AU101,"&lt;&gt;")=0,"",SUMPRODUCT(((Recommendations[ImplStatus]="Implemented")+(Recommendations[ImplStatus]="Compensated"))*ISNUMBER(MATCH(Recommendations[Id],H101:AU101,0)))/COUNTIF(H101:AU101,"&lt;&gt;"))</f>
        <v/>
      </c>
      <c r="H101" s="269"/>
      <c r="I101" s="269"/>
      <c r="J101" s="269"/>
      <c r="K101" s="269"/>
      <c r="L101" s="269"/>
      <c r="M101" s="269"/>
      <c r="N101" s="269"/>
      <c r="O101" s="269"/>
      <c r="P101" s="269"/>
      <c r="Q101" s="269"/>
      <c r="R101" s="269"/>
      <c r="S101" s="269"/>
      <c r="T101" s="269"/>
      <c r="U101" s="269"/>
      <c r="V101" s="269"/>
      <c r="W101" s="269"/>
      <c r="X101" s="269"/>
      <c r="Y101" s="269"/>
      <c r="Z101" s="269"/>
      <c r="AA101" s="269"/>
      <c r="AB101" s="269"/>
      <c r="AC101" s="269"/>
      <c r="AD101" s="269"/>
      <c r="AE101" s="269"/>
      <c r="AF101" s="269"/>
      <c r="AG101" s="269"/>
      <c r="AH101" s="269"/>
      <c r="AI101" s="269"/>
      <c r="AJ101" s="269"/>
      <c r="AK101" s="269"/>
      <c r="AL101" s="269"/>
      <c r="AM101" s="269"/>
      <c r="AN101" s="269"/>
      <c r="AO101" s="269"/>
      <c r="AP101" s="269"/>
      <c r="AQ101" s="269"/>
      <c r="AR101" s="269"/>
      <c r="AS101" s="269"/>
      <c r="AT101" s="269"/>
      <c r="AU101" s="283"/>
    </row>
    <row r="102" spans="1:47" ht="60" customHeight="1" x14ac:dyDescent="0.35">
      <c r="A102" s="279" t="s">
        <v>6518</v>
      </c>
      <c r="B102" s="257" t="s">
        <v>6701</v>
      </c>
      <c r="C102" s="258" t="s">
        <v>6723</v>
      </c>
      <c r="D102" s="261" t="s">
        <v>6724</v>
      </c>
      <c r="E102" s="262" t="s">
        <v>6666</v>
      </c>
      <c r="F102" s="265" t="s">
        <v>6654</v>
      </c>
      <c r="G102" s="268" t="str">
        <f>IF(COUNTIF(H102:AU102,"&lt;&gt;")=0,"",SUMPRODUCT(((Recommendations[ImplStatus]="Implemented")+(Recommendations[ImplStatus]="Compensated"))*ISNUMBER(MATCH(Recommendations[Id],H102:AU102,0)))/COUNTIF(H102:AU102,"&lt;&gt;"))</f>
        <v/>
      </c>
      <c r="H102" s="269"/>
      <c r="I102" s="269"/>
      <c r="J102" s="269"/>
      <c r="K102" s="269"/>
      <c r="L102" s="269"/>
      <c r="M102" s="269"/>
      <c r="N102" s="269"/>
      <c r="O102" s="269"/>
      <c r="P102" s="269"/>
      <c r="Q102" s="269"/>
      <c r="R102" s="269"/>
      <c r="S102" s="269"/>
      <c r="T102" s="269"/>
      <c r="U102" s="269"/>
      <c r="V102" s="269"/>
      <c r="W102" s="269"/>
      <c r="X102" s="269"/>
      <c r="Y102" s="269"/>
      <c r="Z102" s="269"/>
      <c r="AA102" s="269"/>
      <c r="AB102" s="269"/>
      <c r="AC102" s="269"/>
      <c r="AD102" s="269"/>
      <c r="AE102" s="269"/>
      <c r="AF102" s="269"/>
      <c r="AG102" s="269"/>
      <c r="AH102" s="269"/>
      <c r="AI102" s="269"/>
      <c r="AJ102" s="269"/>
      <c r="AK102" s="269"/>
      <c r="AL102" s="269"/>
      <c r="AM102" s="269"/>
      <c r="AN102" s="269"/>
      <c r="AO102" s="269"/>
      <c r="AP102" s="269"/>
      <c r="AQ102" s="269"/>
      <c r="AR102" s="269"/>
      <c r="AS102" s="269"/>
      <c r="AT102" s="269"/>
      <c r="AU102" s="283"/>
    </row>
    <row r="103" spans="1:47" ht="60" customHeight="1" x14ac:dyDescent="0.35">
      <c r="A103" s="279" t="s">
        <v>6518</v>
      </c>
      <c r="B103" s="257" t="s">
        <v>6701</v>
      </c>
      <c r="C103" s="258" t="s">
        <v>6725</v>
      </c>
      <c r="D103" s="261" t="s">
        <v>6726</v>
      </c>
      <c r="E103" s="262" t="s">
        <v>6666</v>
      </c>
      <c r="F103" s="265" t="s">
        <v>6654</v>
      </c>
      <c r="G103" s="268" t="str">
        <f>IF(COUNTIF(H103:AU103,"&lt;&gt;")=0,"",SUMPRODUCT(((Recommendations[ImplStatus]="Implemented")+(Recommendations[ImplStatus]="Compensated"))*ISNUMBER(MATCH(Recommendations[Id],H103:AU103,0)))/COUNTIF(H103:AU103,"&lt;&gt;"))</f>
        <v/>
      </c>
      <c r="H103" s="269"/>
      <c r="I103" s="269"/>
      <c r="J103" s="269"/>
      <c r="K103" s="269"/>
      <c r="L103" s="269"/>
      <c r="M103" s="269"/>
      <c r="N103" s="269"/>
      <c r="O103" s="269"/>
      <c r="P103" s="269"/>
      <c r="Q103" s="269"/>
      <c r="R103" s="269"/>
      <c r="S103" s="269"/>
      <c r="T103" s="269"/>
      <c r="U103" s="269"/>
      <c r="V103" s="269"/>
      <c r="W103" s="269"/>
      <c r="X103" s="269"/>
      <c r="Y103" s="269"/>
      <c r="Z103" s="269"/>
      <c r="AA103" s="269"/>
      <c r="AB103" s="269"/>
      <c r="AC103" s="269"/>
      <c r="AD103" s="269"/>
      <c r="AE103" s="269"/>
      <c r="AF103" s="269"/>
      <c r="AG103" s="269"/>
      <c r="AH103" s="269"/>
      <c r="AI103" s="269"/>
      <c r="AJ103" s="269"/>
      <c r="AK103" s="269"/>
      <c r="AL103" s="269"/>
      <c r="AM103" s="269"/>
      <c r="AN103" s="269"/>
      <c r="AO103" s="269"/>
      <c r="AP103" s="269"/>
      <c r="AQ103" s="269"/>
      <c r="AR103" s="269"/>
      <c r="AS103" s="269"/>
      <c r="AT103" s="269"/>
      <c r="AU103" s="283"/>
    </row>
    <row r="104" spans="1:47" ht="60" customHeight="1" x14ac:dyDescent="0.35">
      <c r="A104" s="279" t="s">
        <v>6518</v>
      </c>
      <c r="B104" s="257" t="s">
        <v>6701</v>
      </c>
      <c r="C104" s="258" t="s">
        <v>6727</v>
      </c>
      <c r="D104" s="261" t="s">
        <v>6728</v>
      </c>
      <c r="E104" s="262" t="s">
        <v>6666</v>
      </c>
      <c r="F104" s="265" t="s">
        <v>6654</v>
      </c>
      <c r="G104" s="268" t="str">
        <f>IF(COUNTIF(H104:AU104,"&lt;&gt;")=0,"",SUMPRODUCT(((Recommendations[ImplStatus]="Implemented")+(Recommendations[ImplStatus]="Compensated"))*ISNUMBER(MATCH(Recommendations[Id],H104:AU104,0)))/COUNTIF(H104:AU104,"&lt;&gt;"))</f>
        <v/>
      </c>
      <c r="H104" s="269"/>
      <c r="I104" s="269"/>
      <c r="J104" s="269"/>
      <c r="K104" s="269"/>
      <c r="L104" s="269"/>
      <c r="M104" s="269"/>
      <c r="N104" s="269"/>
      <c r="O104" s="269"/>
      <c r="P104" s="269"/>
      <c r="Q104" s="269"/>
      <c r="R104" s="269"/>
      <c r="S104" s="269"/>
      <c r="T104" s="269"/>
      <c r="U104" s="269"/>
      <c r="V104" s="269"/>
      <c r="W104" s="269"/>
      <c r="X104" s="269"/>
      <c r="Y104" s="269"/>
      <c r="Z104" s="269"/>
      <c r="AA104" s="269"/>
      <c r="AB104" s="269"/>
      <c r="AC104" s="269"/>
      <c r="AD104" s="269"/>
      <c r="AE104" s="269"/>
      <c r="AF104" s="269"/>
      <c r="AG104" s="269"/>
      <c r="AH104" s="269"/>
      <c r="AI104" s="269"/>
      <c r="AJ104" s="269"/>
      <c r="AK104" s="269"/>
      <c r="AL104" s="269"/>
      <c r="AM104" s="269"/>
      <c r="AN104" s="269"/>
      <c r="AO104" s="269"/>
      <c r="AP104" s="269"/>
      <c r="AQ104" s="269"/>
      <c r="AR104" s="269"/>
      <c r="AS104" s="269"/>
      <c r="AT104" s="269"/>
      <c r="AU104" s="283"/>
    </row>
    <row r="105" spans="1:47" ht="60" customHeight="1" x14ac:dyDescent="0.35">
      <c r="A105" s="279" t="s">
        <v>6518</v>
      </c>
      <c r="B105" s="257" t="s">
        <v>6701</v>
      </c>
      <c r="C105" s="258" t="s">
        <v>6729</v>
      </c>
      <c r="D105" s="261" t="s">
        <v>6730</v>
      </c>
      <c r="E105" s="262" t="s">
        <v>6551</v>
      </c>
      <c r="F105" s="265" t="s">
        <v>6654</v>
      </c>
      <c r="G105" s="268" t="str">
        <f>IF(COUNTIF(H105:AU105,"&lt;&gt;")=0,"",SUMPRODUCT(((Recommendations[ImplStatus]="Implemented")+(Recommendations[ImplStatus]="Compensated"))*ISNUMBER(MATCH(Recommendations[Id],H105:AU105,0)))/COUNTIF(H105:AU105,"&lt;&gt;"))</f>
        <v/>
      </c>
      <c r="H105" s="269"/>
      <c r="I105" s="269"/>
      <c r="J105" s="269"/>
      <c r="K105" s="269"/>
      <c r="L105" s="269"/>
      <c r="M105" s="269"/>
      <c r="N105" s="269"/>
      <c r="O105" s="269"/>
      <c r="P105" s="269"/>
      <c r="Q105" s="269"/>
      <c r="R105" s="269"/>
      <c r="S105" s="269"/>
      <c r="T105" s="269"/>
      <c r="U105" s="269"/>
      <c r="V105" s="269"/>
      <c r="W105" s="269"/>
      <c r="X105" s="269"/>
      <c r="Y105" s="269"/>
      <c r="Z105" s="269"/>
      <c r="AA105" s="269"/>
      <c r="AB105" s="269"/>
      <c r="AC105" s="269"/>
      <c r="AD105" s="269"/>
      <c r="AE105" s="269"/>
      <c r="AF105" s="269"/>
      <c r="AG105" s="269"/>
      <c r="AH105" s="269"/>
      <c r="AI105" s="269"/>
      <c r="AJ105" s="269"/>
      <c r="AK105" s="269"/>
      <c r="AL105" s="269"/>
      <c r="AM105" s="269"/>
      <c r="AN105" s="269"/>
      <c r="AO105" s="269"/>
      <c r="AP105" s="269"/>
      <c r="AQ105" s="269"/>
      <c r="AR105" s="269"/>
      <c r="AS105" s="269"/>
      <c r="AT105" s="269"/>
      <c r="AU105" s="283"/>
    </row>
    <row r="106" spans="1:47" ht="60" customHeight="1" outlineLevel="2" x14ac:dyDescent="0.35">
      <c r="A106" s="278" t="s">
        <v>6518</v>
      </c>
      <c r="B106" s="256" t="s">
        <v>6731</v>
      </c>
      <c r="C106" s="256"/>
      <c r="D106" s="260"/>
      <c r="E106" s="256"/>
      <c r="F106" s="264"/>
      <c r="G106" s="267" t="str">
        <f>IF(COUNTIF(H106:AU106,"&lt;&gt;")=0,"",SUMPRODUCT(((Recommendations[ImplStatus]="Implemented")+(Recommendations[ImplStatus]="Compensated"))*ISNUMBER(MATCH(Recommendations[Id],H106:AU106,0)))/COUNTIF(H106:AU106,"&lt;&gt;"))</f>
        <v/>
      </c>
      <c r="H106" s="264"/>
      <c r="I106" s="264"/>
      <c r="J106" s="264"/>
      <c r="K106" s="264"/>
      <c r="L106" s="264"/>
      <c r="M106" s="264"/>
      <c r="N106" s="264"/>
      <c r="O106" s="264"/>
      <c r="P106" s="264"/>
      <c r="Q106" s="264"/>
      <c r="R106" s="264"/>
      <c r="S106" s="264"/>
      <c r="T106" s="264"/>
      <c r="U106" s="264"/>
      <c r="V106" s="264"/>
      <c r="W106" s="264"/>
      <c r="X106" s="264"/>
      <c r="Y106" s="264"/>
      <c r="Z106" s="264"/>
      <c r="AA106" s="264"/>
      <c r="AB106" s="264"/>
      <c r="AC106" s="264"/>
      <c r="AD106" s="264"/>
      <c r="AE106" s="264"/>
      <c r="AF106" s="264"/>
      <c r="AG106" s="264"/>
      <c r="AH106" s="264"/>
      <c r="AI106" s="264"/>
      <c r="AJ106" s="264"/>
      <c r="AK106" s="264"/>
      <c r="AL106" s="264"/>
      <c r="AM106" s="264"/>
      <c r="AN106" s="264"/>
      <c r="AO106" s="264"/>
      <c r="AP106" s="264"/>
      <c r="AQ106" s="264"/>
      <c r="AR106" s="264"/>
      <c r="AS106" s="264"/>
      <c r="AT106" s="264"/>
      <c r="AU106" s="282"/>
    </row>
    <row r="107" spans="1:47" ht="60" customHeight="1" x14ac:dyDescent="0.35">
      <c r="A107" s="279" t="s">
        <v>6518</v>
      </c>
      <c r="B107" s="257" t="s">
        <v>6731</v>
      </c>
      <c r="C107" s="258" t="s">
        <v>6732</v>
      </c>
      <c r="D107" s="261" t="s">
        <v>6733</v>
      </c>
      <c r="E107" s="262" t="s">
        <v>6666</v>
      </c>
      <c r="F107" s="265" t="s">
        <v>6654</v>
      </c>
      <c r="G107" s="268" t="str">
        <f>IF(COUNTIF(H107:AU107,"&lt;&gt;")=0,"",SUMPRODUCT(((Recommendations[ImplStatus]="Implemented")+(Recommendations[ImplStatus]="Compensated"))*ISNUMBER(MATCH(Recommendations[Id],H107:AU107,0)))/COUNTIF(H107:AU107,"&lt;&gt;"))</f>
        <v/>
      </c>
      <c r="H107" s="269"/>
      <c r="I107" s="269"/>
      <c r="J107" s="269"/>
      <c r="K107" s="269"/>
      <c r="L107" s="269"/>
      <c r="M107" s="269"/>
      <c r="N107" s="269"/>
      <c r="O107" s="269"/>
      <c r="P107" s="269"/>
      <c r="Q107" s="269"/>
      <c r="R107" s="269"/>
      <c r="S107" s="269"/>
      <c r="T107" s="269"/>
      <c r="U107" s="269"/>
      <c r="V107" s="269"/>
      <c r="W107" s="269"/>
      <c r="X107" s="269"/>
      <c r="Y107" s="269"/>
      <c r="Z107" s="269"/>
      <c r="AA107" s="269"/>
      <c r="AB107" s="269"/>
      <c r="AC107" s="269"/>
      <c r="AD107" s="269"/>
      <c r="AE107" s="269"/>
      <c r="AF107" s="269"/>
      <c r="AG107" s="269"/>
      <c r="AH107" s="269"/>
      <c r="AI107" s="269"/>
      <c r="AJ107" s="269"/>
      <c r="AK107" s="269"/>
      <c r="AL107" s="269"/>
      <c r="AM107" s="269"/>
      <c r="AN107" s="269"/>
      <c r="AO107" s="269"/>
      <c r="AP107" s="269"/>
      <c r="AQ107" s="269"/>
      <c r="AR107" s="269"/>
      <c r="AS107" s="269"/>
      <c r="AT107" s="269"/>
      <c r="AU107" s="283"/>
    </row>
    <row r="108" spans="1:47" ht="60" customHeight="1" x14ac:dyDescent="0.35">
      <c r="A108" s="279" t="s">
        <v>6518</v>
      </c>
      <c r="B108" s="257" t="s">
        <v>6731</v>
      </c>
      <c r="C108" s="258" t="s">
        <v>6734</v>
      </c>
      <c r="D108" s="261" t="s">
        <v>6735</v>
      </c>
      <c r="E108" s="262" t="s">
        <v>6666</v>
      </c>
      <c r="F108" s="265" t="s">
        <v>6654</v>
      </c>
      <c r="G108" s="268" t="str">
        <f>IF(COUNTIF(H108:AU108,"&lt;&gt;")=0,"",SUMPRODUCT(((Recommendations[ImplStatus]="Implemented")+(Recommendations[ImplStatus]="Compensated"))*ISNUMBER(MATCH(Recommendations[Id],H108:AU108,0)))/COUNTIF(H108:AU108,"&lt;&gt;"))</f>
        <v/>
      </c>
      <c r="H108" s="269"/>
      <c r="I108" s="269"/>
      <c r="J108" s="269"/>
      <c r="K108" s="269"/>
      <c r="L108" s="269"/>
      <c r="M108" s="269"/>
      <c r="N108" s="269"/>
      <c r="O108" s="269"/>
      <c r="P108" s="269"/>
      <c r="Q108" s="269"/>
      <c r="R108" s="269"/>
      <c r="S108" s="269"/>
      <c r="T108" s="269"/>
      <c r="U108" s="269"/>
      <c r="V108" s="269"/>
      <c r="W108" s="269"/>
      <c r="X108" s="269"/>
      <c r="Y108" s="269"/>
      <c r="Z108" s="269"/>
      <c r="AA108" s="269"/>
      <c r="AB108" s="269"/>
      <c r="AC108" s="269"/>
      <c r="AD108" s="269"/>
      <c r="AE108" s="269"/>
      <c r="AF108" s="269"/>
      <c r="AG108" s="269"/>
      <c r="AH108" s="269"/>
      <c r="AI108" s="269"/>
      <c r="AJ108" s="269"/>
      <c r="AK108" s="269"/>
      <c r="AL108" s="269"/>
      <c r="AM108" s="269"/>
      <c r="AN108" s="269"/>
      <c r="AO108" s="269"/>
      <c r="AP108" s="269"/>
      <c r="AQ108" s="269"/>
      <c r="AR108" s="269"/>
      <c r="AS108" s="269"/>
      <c r="AT108" s="269"/>
      <c r="AU108" s="283"/>
    </row>
    <row r="109" spans="1:47" ht="60" customHeight="1" x14ac:dyDescent="0.35">
      <c r="A109" s="279" t="s">
        <v>6518</v>
      </c>
      <c r="B109" s="257" t="s">
        <v>6731</v>
      </c>
      <c r="C109" s="258" t="s">
        <v>6736</v>
      </c>
      <c r="D109" s="261" t="s">
        <v>6737</v>
      </c>
      <c r="E109" s="262" t="s">
        <v>6666</v>
      </c>
      <c r="F109" s="265" t="s">
        <v>6654</v>
      </c>
      <c r="G109" s="268" t="str">
        <f>IF(COUNTIF(H109:AU109,"&lt;&gt;")=0,"",SUMPRODUCT(((Recommendations[ImplStatus]="Implemented")+(Recommendations[ImplStatus]="Compensated"))*ISNUMBER(MATCH(Recommendations[Id],H109:AU109,0)))/COUNTIF(H109:AU109,"&lt;&gt;"))</f>
        <v/>
      </c>
      <c r="H109" s="269"/>
      <c r="I109" s="269"/>
      <c r="J109" s="269"/>
      <c r="K109" s="269"/>
      <c r="L109" s="269"/>
      <c r="M109" s="269"/>
      <c r="N109" s="269"/>
      <c r="O109" s="269"/>
      <c r="P109" s="269"/>
      <c r="Q109" s="269"/>
      <c r="R109" s="269"/>
      <c r="S109" s="269"/>
      <c r="T109" s="269"/>
      <c r="U109" s="269"/>
      <c r="V109" s="269"/>
      <c r="W109" s="269"/>
      <c r="X109" s="269"/>
      <c r="Y109" s="269"/>
      <c r="Z109" s="269"/>
      <c r="AA109" s="269"/>
      <c r="AB109" s="269"/>
      <c r="AC109" s="269"/>
      <c r="AD109" s="269"/>
      <c r="AE109" s="269"/>
      <c r="AF109" s="269"/>
      <c r="AG109" s="269"/>
      <c r="AH109" s="269"/>
      <c r="AI109" s="269"/>
      <c r="AJ109" s="269"/>
      <c r="AK109" s="269"/>
      <c r="AL109" s="269"/>
      <c r="AM109" s="269"/>
      <c r="AN109" s="269"/>
      <c r="AO109" s="269"/>
      <c r="AP109" s="269"/>
      <c r="AQ109" s="269"/>
      <c r="AR109" s="269"/>
      <c r="AS109" s="269"/>
      <c r="AT109" s="269"/>
      <c r="AU109" s="283"/>
    </row>
    <row r="110" spans="1:47" ht="60" customHeight="1" x14ac:dyDescent="0.35">
      <c r="A110" s="279" t="s">
        <v>6518</v>
      </c>
      <c r="B110" s="257" t="s">
        <v>6731</v>
      </c>
      <c r="C110" s="258" t="s">
        <v>6738</v>
      </c>
      <c r="D110" s="261" t="s">
        <v>6739</v>
      </c>
      <c r="E110" s="262" t="s">
        <v>6666</v>
      </c>
      <c r="F110" s="265" t="s">
        <v>6654</v>
      </c>
      <c r="G110" s="268" t="str">
        <f>IF(COUNTIF(H110:AU110,"&lt;&gt;")=0,"",SUMPRODUCT(((Recommendations[ImplStatus]="Implemented")+(Recommendations[ImplStatus]="Compensated"))*ISNUMBER(MATCH(Recommendations[Id],H110:AU110,0)))/COUNTIF(H110:AU110,"&lt;&gt;"))</f>
        <v/>
      </c>
      <c r="H110" s="269"/>
      <c r="I110" s="269"/>
      <c r="J110" s="269"/>
      <c r="K110" s="269"/>
      <c r="L110" s="269"/>
      <c r="M110" s="269"/>
      <c r="N110" s="269"/>
      <c r="O110" s="269"/>
      <c r="P110" s="269"/>
      <c r="Q110" s="269"/>
      <c r="R110" s="269"/>
      <c r="S110" s="269"/>
      <c r="T110" s="269"/>
      <c r="U110" s="269"/>
      <c r="V110" s="269"/>
      <c r="W110" s="269"/>
      <c r="X110" s="269"/>
      <c r="Y110" s="269"/>
      <c r="Z110" s="269"/>
      <c r="AA110" s="269"/>
      <c r="AB110" s="269"/>
      <c r="AC110" s="269"/>
      <c r="AD110" s="269"/>
      <c r="AE110" s="269"/>
      <c r="AF110" s="269"/>
      <c r="AG110" s="269"/>
      <c r="AH110" s="269"/>
      <c r="AI110" s="269"/>
      <c r="AJ110" s="269"/>
      <c r="AK110" s="269"/>
      <c r="AL110" s="269"/>
      <c r="AM110" s="269"/>
      <c r="AN110" s="269"/>
      <c r="AO110" s="269"/>
      <c r="AP110" s="269"/>
      <c r="AQ110" s="269"/>
      <c r="AR110" s="269"/>
      <c r="AS110" s="269"/>
      <c r="AT110" s="269"/>
      <c r="AU110" s="283"/>
    </row>
    <row r="111" spans="1:47" ht="60" customHeight="1" x14ac:dyDescent="0.35">
      <c r="A111" s="279" t="s">
        <v>6518</v>
      </c>
      <c r="B111" s="257" t="s">
        <v>6731</v>
      </c>
      <c r="C111" s="258" t="s">
        <v>6740</v>
      </c>
      <c r="D111" s="261" t="s">
        <v>6741</v>
      </c>
      <c r="E111" s="262" t="s">
        <v>6666</v>
      </c>
      <c r="F111" s="265" t="s">
        <v>6654</v>
      </c>
      <c r="G111" s="268" t="str">
        <f>IF(COUNTIF(H111:AU111,"&lt;&gt;")=0,"",SUMPRODUCT(((Recommendations[ImplStatus]="Implemented")+(Recommendations[ImplStatus]="Compensated"))*ISNUMBER(MATCH(Recommendations[Id],H111:AU111,0)))/COUNTIF(H111:AU111,"&lt;&gt;"))</f>
        <v/>
      </c>
      <c r="H111" s="269"/>
      <c r="I111" s="269"/>
      <c r="J111" s="269"/>
      <c r="K111" s="269"/>
      <c r="L111" s="269"/>
      <c r="M111" s="269"/>
      <c r="N111" s="269"/>
      <c r="O111" s="269"/>
      <c r="P111" s="269"/>
      <c r="Q111" s="269"/>
      <c r="R111" s="269"/>
      <c r="S111" s="269"/>
      <c r="T111" s="269"/>
      <c r="U111" s="269"/>
      <c r="V111" s="269"/>
      <c r="W111" s="269"/>
      <c r="X111" s="269"/>
      <c r="Y111" s="269"/>
      <c r="Z111" s="269"/>
      <c r="AA111" s="269"/>
      <c r="AB111" s="269"/>
      <c r="AC111" s="269"/>
      <c r="AD111" s="269"/>
      <c r="AE111" s="269"/>
      <c r="AF111" s="269"/>
      <c r="AG111" s="269"/>
      <c r="AH111" s="269"/>
      <c r="AI111" s="269"/>
      <c r="AJ111" s="269"/>
      <c r="AK111" s="269"/>
      <c r="AL111" s="269"/>
      <c r="AM111" s="269"/>
      <c r="AN111" s="269"/>
      <c r="AO111" s="269"/>
      <c r="AP111" s="269"/>
      <c r="AQ111" s="269"/>
      <c r="AR111" s="269"/>
      <c r="AS111" s="269"/>
      <c r="AT111" s="269"/>
      <c r="AU111" s="283"/>
    </row>
    <row r="112" spans="1:47" ht="60" customHeight="1" x14ac:dyDescent="0.35">
      <c r="A112" s="279" t="s">
        <v>6518</v>
      </c>
      <c r="B112" s="257" t="s">
        <v>6731</v>
      </c>
      <c r="C112" s="258" t="s">
        <v>6742</v>
      </c>
      <c r="D112" s="261" t="s">
        <v>6743</v>
      </c>
      <c r="E112" s="262" t="s">
        <v>6666</v>
      </c>
      <c r="F112" s="265" t="s">
        <v>6654</v>
      </c>
      <c r="G112" s="268" t="str">
        <f>IF(COUNTIF(H112:AU112,"&lt;&gt;")=0,"",SUMPRODUCT(((Recommendations[ImplStatus]="Implemented")+(Recommendations[ImplStatus]="Compensated"))*ISNUMBER(MATCH(Recommendations[Id],H112:AU112,0)))/COUNTIF(H112:AU112,"&lt;&gt;"))</f>
        <v/>
      </c>
      <c r="H112" s="269"/>
      <c r="I112" s="269"/>
      <c r="J112" s="269"/>
      <c r="K112" s="269"/>
      <c r="L112" s="269"/>
      <c r="M112" s="269"/>
      <c r="N112" s="269"/>
      <c r="O112" s="269"/>
      <c r="P112" s="269"/>
      <c r="Q112" s="269"/>
      <c r="R112" s="269"/>
      <c r="S112" s="269"/>
      <c r="T112" s="269"/>
      <c r="U112" s="269"/>
      <c r="V112" s="269"/>
      <c r="W112" s="269"/>
      <c r="X112" s="269"/>
      <c r="Y112" s="269"/>
      <c r="Z112" s="269"/>
      <c r="AA112" s="269"/>
      <c r="AB112" s="269"/>
      <c r="AC112" s="269"/>
      <c r="AD112" s="269"/>
      <c r="AE112" s="269"/>
      <c r="AF112" s="269"/>
      <c r="AG112" s="269"/>
      <c r="AH112" s="269"/>
      <c r="AI112" s="269"/>
      <c r="AJ112" s="269"/>
      <c r="AK112" s="269"/>
      <c r="AL112" s="269"/>
      <c r="AM112" s="269"/>
      <c r="AN112" s="269"/>
      <c r="AO112" s="269"/>
      <c r="AP112" s="269"/>
      <c r="AQ112" s="269"/>
      <c r="AR112" s="269"/>
      <c r="AS112" s="269"/>
      <c r="AT112" s="269"/>
      <c r="AU112" s="283"/>
    </row>
    <row r="113" spans="1:47" ht="60" customHeight="1" x14ac:dyDescent="0.35">
      <c r="A113" s="279" t="s">
        <v>6518</v>
      </c>
      <c r="B113" s="257" t="s">
        <v>6731</v>
      </c>
      <c r="C113" s="258" t="s">
        <v>6744</v>
      </c>
      <c r="D113" s="261" t="s">
        <v>6745</v>
      </c>
      <c r="E113" s="262" t="s">
        <v>6666</v>
      </c>
      <c r="F113" s="265" t="s">
        <v>6654</v>
      </c>
      <c r="G113" s="268" t="str">
        <f>IF(COUNTIF(H113:AU113,"&lt;&gt;")=0,"",SUMPRODUCT(((Recommendations[ImplStatus]="Implemented")+(Recommendations[ImplStatus]="Compensated"))*ISNUMBER(MATCH(Recommendations[Id],H113:AU113,0)))/COUNTIF(H113:AU113,"&lt;&gt;"))</f>
        <v/>
      </c>
      <c r="H113" s="269"/>
      <c r="I113" s="269"/>
      <c r="J113" s="269"/>
      <c r="K113" s="269"/>
      <c r="L113" s="269"/>
      <c r="M113" s="269"/>
      <c r="N113" s="269"/>
      <c r="O113" s="269"/>
      <c r="P113" s="269"/>
      <c r="Q113" s="269"/>
      <c r="R113" s="269"/>
      <c r="S113" s="269"/>
      <c r="T113" s="269"/>
      <c r="U113" s="269"/>
      <c r="V113" s="269"/>
      <c r="W113" s="269"/>
      <c r="X113" s="269"/>
      <c r="Y113" s="269"/>
      <c r="Z113" s="269"/>
      <c r="AA113" s="269"/>
      <c r="AB113" s="269"/>
      <c r="AC113" s="269"/>
      <c r="AD113" s="269"/>
      <c r="AE113" s="269"/>
      <c r="AF113" s="269"/>
      <c r="AG113" s="269"/>
      <c r="AH113" s="269"/>
      <c r="AI113" s="269"/>
      <c r="AJ113" s="269"/>
      <c r="AK113" s="269"/>
      <c r="AL113" s="269"/>
      <c r="AM113" s="269"/>
      <c r="AN113" s="269"/>
      <c r="AO113" s="269"/>
      <c r="AP113" s="269"/>
      <c r="AQ113" s="269"/>
      <c r="AR113" s="269"/>
      <c r="AS113" s="269"/>
      <c r="AT113" s="269"/>
      <c r="AU113" s="283"/>
    </row>
    <row r="114" spans="1:47" ht="60" customHeight="1" x14ac:dyDescent="0.35">
      <c r="A114" s="279" t="s">
        <v>6518</v>
      </c>
      <c r="B114" s="257" t="s">
        <v>6731</v>
      </c>
      <c r="C114" s="258" t="s">
        <v>6746</v>
      </c>
      <c r="D114" s="261" t="s">
        <v>6747</v>
      </c>
      <c r="E114" s="262" t="s">
        <v>6666</v>
      </c>
      <c r="F114" s="265" t="s">
        <v>6654</v>
      </c>
      <c r="G114" s="268" t="str">
        <f>IF(COUNTIF(H114:AU114,"&lt;&gt;")=0,"",SUMPRODUCT(((Recommendations[ImplStatus]="Implemented")+(Recommendations[ImplStatus]="Compensated"))*ISNUMBER(MATCH(Recommendations[Id],H114:AU114,0)))/COUNTIF(H114:AU114,"&lt;&gt;"))</f>
        <v/>
      </c>
      <c r="H114" s="269"/>
      <c r="I114" s="269"/>
      <c r="J114" s="269"/>
      <c r="K114" s="269"/>
      <c r="L114" s="269"/>
      <c r="M114" s="269"/>
      <c r="N114" s="269"/>
      <c r="O114" s="269"/>
      <c r="P114" s="269"/>
      <c r="Q114" s="269"/>
      <c r="R114" s="269"/>
      <c r="S114" s="269"/>
      <c r="T114" s="269"/>
      <c r="U114" s="269"/>
      <c r="V114" s="269"/>
      <c r="W114" s="269"/>
      <c r="X114" s="269"/>
      <c r="Y114" s="269"/>
      <c r="Z114" s="269"/>
      <c r="AA114" s="269"/>
      <c r="AB114" s="269"/>
      <c r="AC114" s="269"/>
      <c r="AD114" s="269"/>
      <c r="AE114" s="269"/>
      <c r="AF114" s="269"/>
      <c r="AG114" s="269"/>
      <c r="AH114" s="269"/>
      <c r="AI114" s="269"/>
      <c r="AJ114" s="269"/>
      <c r="AK114" s="269"/>
      <c r="AL114" s="269"/>
      <c r="AM114" s="269"/>
      <c r="AN114" s="269"/>
      <c r="AO114" s="269"/>
      <c r="AP114" s="269"/>
      <c r="AQ114" s="269"/>
      <c r="AR114" s="269"/>
      <c r="AS114" s="269"/>
      <c r="AT114" s="269"/>
      <c r="AU114" s="283"/>
    </row>
    <row r="115" spans="1:47" ht="60" customHeight="1" x14ac:dyDescent="0.35">
      <c r="A115" s="279" t="s">
        <v>6518</v>
      </c>
      <c r="B115" s="257" t="s">
        <v>6731</v>
      </c>
      <c r="C115" s="258" t="s">
        <v>6748</v>
      </c>
      <c r="D115" s="261" t="s">
        <v>6749</v>
      </c>
      <c r="E115" s="262" t="s">
        <v>6666</v>
      </c>
      <c r="F115" s="265" t="s">
        <v>6654</v>
      </c>
      <c r="G115" s="268" t="str">
        <f>IF(COUNTIF(H115:AU115,"&lt;&gt;")=0,"",SUMPRODUCT(((Recommendations[ImplStatus]="Implemented")+(Recommendations[ImplStatus]="Compensated"))*ISNUMBER(MATCH(Recommendations[Id],H115:AU115,0)))/COUNTIF(H115:AU115,"&lt;&gt;"))</f>
        <v/>
      </c>
      <c r="H115" s="269"/>
      <c r="I115" s="269"/>
      <c r="J115" s="269"/>
      <c r="K115" s="269"/>
      <c r="L115" s="269"/>
      <c r="M115" s="269"/>
      <c r="N115" s="269"/>
      <c r="O115" s="269"/>
      <c r="P115" s="269"/>
      <c r="Q115" s="269"/>
      <c r="R115" s="269"/>
      <c r="S115" s="269"/>
      <c r="T115" s="269"/>
      <c r="U115" s="269"/>
      <c r="V115" s="269"/>
      <c r="W115" s="269"/>
      <c r="X115" s="269"/>
      <c r="Y115" s="269"/>
      <c r="Z115" s="269"/>
      <c r="AA115" s="269"/>
      <c r="AB115" s="269"/>
      <c r="AC115" s="269"/>
      <c r="AD115" s="269"/>
      <c r="AE115" s="269"/>
      <c r="AF115" s="269"/>
      <c r="AG115" s="269"/>
      <c r="AH115" s="269"/>
      <c r="AI115" s="269"/>
      <c r="AJ115" s="269"/>
      <c r="AK115" s="269"/>
      <c r="AL115" s="269"/>
      <c r="AM115" s="269"/>
      <c r="AN115" s="269"/>
      <c r="AO115" s="269"/>
      <c r="AP115" s="269"/>
      <c r="AQ115" s="269"/>
      <c r="AR115" s="269"/>
      <c r="AS115" s="269"/>
      <c r="AT115" s="269"/>
      <c r="AU115" s="283"/>
    </row>
    <row r="116" spans="1:47" ht="60" customHeight="1" x14ac:dyDescent="0.35">
      <c r="A116" s="279" t="s">
        <v>6518</v>
      </c>
      <c r="B116" s="257" t="s">
        <v>6731</v>
      </c>
      <c r="C116" s="258" t="s">
        <v>6750</v>
      </c>
      <c r="D116" s="261" t="s">
        <v>6751</v>
      </c>
      <c r="E116" s="262" t="s">
        <v>6666</v>
      </c>
      <c r="F116" s="265" t="s">
        <v>6654</v>
      </c>
      <c r="G116" s="268" t="str">
        <f>IF(COUNTIF(H116:AU116,"&lt;&gt;")=0,"",SUMPRODUCT(((Recommendations[ImplStatus]="Implemented")+(Recommendations[ImplStatus]="Compensated"))*ISNUMBER(MATCH(Recommendations[Id],H116:AU116,0)))/COUNTIF(H116:AU116,"&lt;&gt;"))</f>
        <v/>
      </c>
      <c r="H116" s="269"/>
      <c r="I116" s="269"/>
      <c r="J116" s="269"/>
      <c r="K116" s="269"/>
      <c r="L116" s="269"/>
      <c r="M116" s="269"/>
      <c r="N116" s="269"/>
      <c r="O116" s="269"/>
      <c r="P116" s="269"/>
      <c r="Q116" s="269"/>
      <c r="R116" s="269"/>
      <c r="S116" s="269"/>
      <c r="T116" s="269"/>
      <c r="U116" s="269"/>
      <c r="V116" s="269"/>
      <c r="W116" s="269"/>
      <c r="X116" s="269"/>
      <c r="Y116" s="269"/>
      <c r="Z116" s="269"/>
      <c r="AA116" s="269"/>
      <c r="AB116" s="269"/>
      <c r="AC116" s="269"/>
      <c r="AD116" s="269"/>
      <c r="AE116" s="269"/>
      <c r="AF116" s="269"/>
      <c r="AG116" s="269"/>
      <c r="AH116" s="269"/>
      <c r="AI116" s="269"/>
      <c r="AJ116" s="269"/>
      <c r="AK116" s="269"/>
      <c r="AL116" s="269"/>
      <c r="AM116" s="269"/>
      <c r="AN116" s="269"/>
      <c r="AO116" s="269"/>
      <c r="AP116" s="269"/>
      <c r="AQ116" s="269"/>
      <c r="AR116" s="269"/>
      <c r="AS116" s="269"/>
      <c r="AT116" s="269"/>
      <c r="AU116" s="283"/>
    </row>
    <row r="117" spans="1:47" ht="60" customHeight="1" x14ac:dyDescent="0.35">
      <c r="A117" s="279" t="s">
        <v>6518</v>
      </c>
      <c r="B117" s="257" t="s">
        <v>6731</v>
      </c>
      <c r="C117" s="258" t="s">
        <v>6752</v>
      </c>
      <c r="D117" s="261" t="s">
        <v>6753</v>
      </c>
      <c r="E117" s="262" t="s">
        <v>6666</v>
      </c>
      <c r="F117" s="265" t="s">
        <v>6654</v>
      </c>
      <c r="G117" s="268" t="str">
        <f>IF(COUNTIF(H117:AU117,"&lt;&gt;")=0,"",SUMPRODUCT(((Recommendations[ImplStatus]="Implemented")+(Recommendations[ImplStatus]="Compensated"))*ISNUMBER(MATCH(Recommendations[Id],H117:AU117,0)))/COUNTIF(H117:AU117,"&lt;&gt;"))</f>
        <v/>
      </c>
      <c r="H117" s="269"/>
      <c r="I117" s="269"/>
      <c r="J117" s="269"/>
      <c r="K117" s="269"/>
      <c r="L117" s="269"/>
      <c r="M117" s="269"/>
      <c r="N117" s="269"/>
      <c r="O117" s="269"/>
      <c r="P117" s="269"/>
      <c r="Q117" s="269"/>
      <c r="R117" s="269"/>
      <c r="S117" s="269"/>
      <c r="T117" s="269"/>
      <c r="U117" s="269"/>
      <c r="V117" s="269"/>
      <c r="W117" s="269"/>
      <c r="X117" s="269"/>
      <c r="Y117" s="269"/>
      <c r="Z117" s="269"/>
      <c r="AA117" s="269"/>
      <c r="AB117" s="269"/>
      <c r="AC117" s="269"/>
      <c r="AD117" s="269"/>
      <c r="AE117" s="269"/>
      <c r="AF117" s="269"/>
      <c r="AG117" s="269"/>
      <c r="AH117" s="269"/>
      <c r="AI117" s="269"/>
      <c r="AJ117" s="269"/>
      <c r="AK117" s="269"/>
      <c r="AL117" s="269"/>
      <c r="AM117" s="269"/>
      <c r="AN117" s="269"/>
      <c r="AO117" s="269"/>
      <c r="AP117" s="269"/>
      <c r="AQ117" s="269"/>
      <c r="AR117" s="269"/>
      <c r="AS117" s="269"/>
      <c r="AT117" s="269"/>
      <c r="AU117" s="283"/>
    </row>
    <row r="118" spans="1:47" ht="60" customHeight="1" outlineLevel="1" x14ac:dyDescent="0.35">
      <c r="A118" s="277" t="s">
        <v>6754</v>
      </c>
      <c r="B118" s="255"/>
      <c r="C118" s="255"/>
      <c r="D118" s="259"/>
      <c r="E118" s="255"/>
      <c r="F118" s="263"/>
      <c r="G118" s="266" t="str">
        <f>IF(COUNTIF(H118:AU118,"&lt;&gt;")=0,"",SUMPRODUCT(((Recommendations[ImplStatus]="Implemented")+(Recommendations[ImplStatus]="Compensated"))*ISNUMBER(MATCH(Recommendations[Id],H118:AU118,0)))/COUNTIF(H118:AU118,"&lt;&gt;"))</f>
        <v/>
      </c>
      <c r="H118" s="263"/>
      <c r="I118" s="263"/>
      <c r="J118" s="263"/>
      <c r="K118" s="263"/>
      <c r="L118" s="263"/>
      <c r="M118" s="263"/>
      <c r="N118" s="263"/>
      <c r="O118" s="263"/>
      <c r="P118" s="263"/>
      <c r="Q118" s="263"/>
      <c r="R118" s="263"/>
      <c r="S118" s="263"/>
      <c r="T118" s="263"/>
      <c r="U118" s="263"/>
      <c r="V118" s="263"/>
      <c r="W118" s="263"/>
      <c r="X118" s="263"/>
      <c r="Y118" s="263"/>
      <c r="Z118" s="263"/>
      <c r="AA118" s="263"/>
      <c r="AB118" s="263"/>
      <c r="AC118" s="263"/>
      <c r="AD118" s="263"/>
      <c r="AE118" s="263"/>
      <c r="AF118" s="263"/>
      <c r="AG118" s="263"/>
      <c r="AH118" s="263"/>
      <c r="AI118" s="263"/>
      <c r="AJ118" s="263"/>
      <c r="AK118" s="263"/>
      <c r="AL118" s="263"/>
      <c r="AM118" s="263"/>
      <c r="AN118" s="263"/>
      <c r="AO118" s="263"/>
      <c r="AP118" s="263"/>
      <c r="AQ118" s="263"/>
      <c r="AR118" s="263"/>
      <c r="AS118" s="263"/>
      <c r="AT118" s="263"/>
      <c r="AU118" s="281"/>
    </row>
    <row r="119" spans="1:47" ht="60" customHeight="1" outlineLevel="2" x14ac:dyDescent="0.35">
      <c r="A119" s="278" t="s">
        <v>6754</v>
      </c>
      <c r="B119" s="256" t="s">
        <v>6755</v>
      </c>
      <c r="C119" s="256"/>
      <c r="D119" s="260"/>
      <c r="E119" s="256"/>
      <c r="F119" s="264"/>
      <c r="G119" s="267" t="str">
        <f>IF(COUNTIF(H119:AU119,"&lt;&gt;")=0,"",SUMPRODUCT(((Recommendations[ImplStatus]="Implemented")+(Recommendations[ImplStatus]="Compensated"))*ISNUMBER(MATCH(Recommendations[Id],H119:AU119,0)))/COUNTIF(H119:AU119,"&lt;&gt;"))</f>
        <v/>
      </c>
      <c r="H119" s="264"/>
      <c r="I119" s="264"/>
      <c r="J119" s="264"/>
      <c r="K119" s="264"/>
      <c r="L119" s="264"/>
      <c r="M119" s="264"/>
      <c r="N119" s="264"/>
      <c r="O119" s="264"/>
      <c r="P119" s="264"/>
      <c r="Q119" s="264"/>
      <c r="R119" s="264"/>
      <c r="S119" s="264"/>
      <c r="T119" s="264"/>
      <c r="U119" s="264"/>
      <c r="V119" s="264"/>
      <c r="W119" s="264"/>
      <c r="X119" s="264"/>
      <c r="Y119" s="264"/>
      <c r="Z119" s="264"/>
      <c r="AA119" s="264"/>
      <c r="AB119" s="264"/>
      <c r="AC119" s="264"/>
      <c r="AD119" s="264"/>
      <c r="AE119" s="264"/>
      <c r="AF119" s="264"/>
      <c r="AG119" s="264"/>
      <c r="AH119" s="264"/>
      <c r="AI119" s="264"/>
      <c r="AJ119" s="264"/>
      <c r="AK119" s="264"/>
      <c r="AL119" s="264"/>
      <c r="AM119" s="264"/>
      <c r="AN119" s="264"/>
      <c r="AO119" s="264"/>
      <c r="AP119" s="264"/>
      <c r="AQ119" s="264"/>
      <c r="AR119" s="264"/>
      <c r="AS119" s="264"/>
      <c r="AT119" s="264"/>
      <c r="AU119" s="282"/>
    </row>
    <row r="120" spans="1:47" ht="60" customHeight="1" x14ac:dyDescent="0.35">
      <c r="A120" s="279" t="s">
        <v>6754</v>
      </c>
      <c r="B120" s="257" t="s">
        <v>6755</v>
      </c>
      <c r="C120" s="258" t="s">
        <v>6756</v>
      </c>
      <c r="D120" s="261" t="s">
        <v>6757</v>
      </c>
      <c r="E120" s="262" t="s">
        <v>6522</v>
      </c>
      <c r="F120" s="265" t="s">
        <v>6758</v>
      </c>
      <c r="G120" s="268" t="str">
        <f>IF(COUNTIF(H120:AU120,"&lt;&gt;")=0,"",SUMPRODUCT(((Recommendations[ImplStatus]="Implemented")+(Recommendations[ImplStatus]="Compensated"))*ISNUMBER(MATCH(Recommendations[Id],H120:AU120,0)))/COUNTIF(H120:AU120,"&lt;&gt;"))</f>
        <v/>
      </c>
      <c r="H120" s="269"/>
      <c r="I120" s="269"/>
      <c r="J120" s="269"/>
      <c r="K120" s="269"/>
      <c r="L120" s="269"/>
      <c r="M120" s="269"/>
      <c r="N120" s="269"/>
      <c r="O120" s="269"/>
      <c r="P120" s="269"/>
      <c r="Q120" s="269"/>
      <c r="R120" s="269"/>
      <c r="S120" s="269"/>
      <c r="T120" s="269"/>
      <c r="U120" s="269"/>
      <c r="V120" s="269"/>
      <c r="W120" s="269"/>
      <c r="X120" s="269"/>
      <c r="Y120" s="269"/>
      <c r="Z120" s="269"/>
      <c r="AA120" s="269"/>
      <c r="AB120" s="269"/>
      <c r="AC120" s="269"/>
      <c r="AD120" s="269"/>
      <c r="AE120" s="269"/>
      <c r="AF120" s="269"/>
      <c r="AG120" s="269"/>
      <c r="AH120" s="269"/>
      <c r="AI120" s="269"/>
      <c r="AJ120" s="269"/>
      <c r="AK120" s="269"/>
      <c r="AL120" s="269"/>
      <c r="AM120" s="269"/>
      <c r="AN120" s="269"/>
      <c r="AO120" s="269"/>
      <c r="AP120" s="269"/>
      <c r="AQ120" s="269"/>
      <c r="AR120" s="269"/>
      <c r="AS120" s="269"/>
      <c r="AT120" s="269"/>
      <c r="AU120" s="283"/>
    </row>
    <row r="121" spans="1:47" ht="60" customHeight="1" x14ac:dyDescent="0.35">
      <c r="A121" s="279" t="s">
        <v>6754</v>
      </c>
      <c r="B121" s="257" t="s">
        <v>6755</v>
      </c>
      <c r="C121" s="258" t="s">
        <v>6759</v>
      </c>
      <c r="D121" s="261" t="s">
        <v>6760</v>
      </c>
      <c r="E121" s="262" t="s">
        <v>6522</v>
      </c>
      <c r="F121" s="265" t="s">
        <v>6758</v>
      </c>
      <c r="G121" s="268" t="str">
        <f>IF(COUNTIF(H121:AU121,"&lt;&gt;")=0,"",SUMPRODUCT(((Recommendations[ImplStatus]="Implemented")+(Recommendations[ImplStatus]="Compensated"))*ISNUMBER(MATCH(Recommendations[Id],H121:AU121,0)))/COUNTIF(H121:AU121,"&lt;&gt;"))</f>
        <v/>
      </c>
      <c r="H121" s="269"/>
      <c r="I121" s="269"/>
      <c r="J121" s="269"/>
      <c r="K121" s="269"/>
      <c r="L121" s="269"/>
      <c r="M121" s="269"/>
      <c r="N121" s="269"/>
      <c r="O121" s="269"/>
      <c r="P121" s="269"/>
      <c r="Q121" s="269"/>
      <c r="R121" s="269"/>
      <c r="S121" s="269"/>
      <c r="T121" s="269"/>
      <c r="U121" s="269"/>
      <c r="V121" s="269"/>
      <c r="W121" s="269"/>
      <c r="X121" s="269"/>
      <c r="Y121" s="269"/>
      <c r="Z121" s="269"/>
      <c r="AA121" s="269"/>
      <c r="AB121" s="269"/>
      <c r="AC121" s="269"/>
      <c r="AD121" s="269"/>
      <c r="AE121" s="269"/>
      <c r="AF121" s="269"/>
      <c r="AG121" s="269"/>
      <c r="AH121" s="269"/>
      <c r="AI121" s="269"/>
      <c r="AJ121" s="269"/>
      <c r="AK121" s="269"/>
      <c r="AL121" s="269"/>
      <c r="AM121" s="269"/>
      <c r="AN121" s="269"/>
      <c r="AO121" s="269"/>
      <c r="AP121" s="269"/>
      <c r="AQ121" s="269"/>
      <c r="AR121" s="269"/>
      <c r="AS121" s="269"/>
      <c r="AT121" s="269"/>
      <c r="AU121" s="283"/>
    </row>
    <row r="122" spans="1:47" ht="60" customHeight="1" x14ac:dyDescent="0.35">
      <c r="A122" s="279" t="s">
        <v>6754</v>
      </c>
      <c r="B122" s="257" t="s">
        <v>6755</v>
      </c>
      <c r="C122" s="258" t="s">
        <v>6761</v>
      </c>
      <c r="D122" s="261" t="s">
        <v>6762</v>
      </c>
      <c r="E122" s="262" t="s">
        <v>6522</v>
      </c>
      <c r="F122" s="265" t="s">
        <v>6758</v>
      </c>
      <c r="G122" s="268" t="str">
        <f>IF(COUNTIF(H122:AU122,"&lt;&gt;")=0,"",SUMPRODUCT(((Recommendations[ImplStatus]="Implemented")+(Recommendations[ImplStatus]="Compensated"))*ISNUMBER(MATCH(Recommendations[Id],H122:AU122,0)))/COUNTIF(H122:AU122,"&lt;&gt;"))</f>
        <v/>
      </c>
      <c r="H122" s="269"/>
      <c r="I122" s="269"/>
      <c r="J122" s="269"/>
      <c r="K122" s="269"/>
      <c r="L122" s="269"/>
      <c r="M122" s="269"/>
      <c r="N122" s="269"/>
      <c r="O122" s="269"/>
      <c r="P122" s="269"/>
      <c r="Q122" s="269"/>
      <c r="R122" s="269"/>
      <c r="S122" s="269"/>
      <c r="T122" s="269"/>
      <c r="U122" s="269"/>
      <c r="V122" s="269"/>
      <c r="W122" s="269"/>
      <c r="X122" s="269"/>
      <c r="Y122" s="269"/>
      <c r="Z122" s="269"/>
      <c r="AA122" s="269"/>
      <c r="AB122" s="269"/>
      <c r="AC122" s="269"/>
      <c r="AD122" s="269"/>
      <c r="AE122" s="269"/>
      <c r="AF122" s="269"/>
      <c r="AG122" s="269"/>
      <c r="AH122" s="269"/>
      <c r="AI122" s="269"/>
      <c r="AJ122" s="269"/>
      <c r="AK122" s="269"/>
      <c r="AL122" s="269"/>
      <c r="AM122" s="269"/>
      <c r="AN122" s="269"/>
      <c r="AO122" s="269"/>
      <c r="AP122" s="269"/>
      <c r="AQ122" s="269"/>
      <c r="AR122" s="269"/>
      <c r="AS122" s="269"/>
      <c r="AT122" s="269"/>
      <c r="AU122" s="283"/>
    </row>
    <row r="123" spans="1:47" ht="60" customHeight="1" x14ac:dyDescent="0.35">
      <c r="A123" s="279" t="s">
        <v>6754</v>
      </c>
      <c r="B123" s="257" t="s">
        <v>6755</v>
      </c>
      <c r="C123" s="258" t="s">
        <v>6763</v>
      </c>
      <c r="D123" s="261" t="s">
        <v>6764</v>
      </c>
      <c r="E123" s="262" t="s">
        <v>6522</v>
      </c>
      <c r="F123" s="265" t="s">
        <v>6758</v>
      </c>
      <c r="G123" s="268" t="str">
        <f>IF(COUNTIF(H123:AU123,"&lt;&gt;")=0,"",SUMPRODUCT(((Recommendations[ImplStatus]="Implemented")+(Recommendations[ImplStatus]="Compensated"))*ISNUMBER(MATCH(Recommendations[Id],H123:AU123,0)))/COUNTIF(H123:AU123,"&lt;&gt;"))</f>
        <v/>
      </c>
      <c r="H123" s="269"/>
      <c r="I123" s="269"/>
      <c r="J123" s="269"/>
      <c r="K123" s="269"/>
      <c r="L123" s="269"/>
      <c r="M123" s="269"/>
      <c r="N123" s="269"/>
      <c r="O123" s="269"/>
      <c r="P123" s="269"/>
      <c r="Q123" s="269"/>
      <c r="R123" s="269"/>
      <c r="S123" s="269"/>
      <c r="T123" s="269"/>
      <c r="U123" s="269"/>
      <c r="V123" s="269"/>
      <c r="W123" s="269"/>
      <c r="X123" s="269"/>
      <c r="Y123" s="269"/>
      <c r="Z123" s="269"/>
      <c r="AA123" s="269"/>
      <c r="AB123" s="269"/>
      <c r="AC123" s="269"/>
      <c r="AD123" s="269"/>
      <c r="AE123" s="269"/>
      <c r="AF123" s="269"/>
      <c r="AG123" s="269"/>
      <c r="AH123" s="269"/>
      <c r="AI123" s="269"/>
      <c r="AJ123" s="269"/>
      <c r="AK123" s="269"/>
      <c r="AL123" s="269"/>
      <c r="AM123" s="269"/>
      <c r="AN123" s="269"/>
      <c r="AO123" s="269"/>
      <c r="AP123" s="269"/>
      <c r="AQ123" s="269"/>
      <c r="AR123" s="269"/>
      <c r="AS123" s="269"/>
      <c r="AT123" s="269"/>
      <c r="AU123" s="283"/>
    </row>
    <row r="124" spans="1:47" ht="60" customHeight="1" x14ac:dyDescent="0.35">
      <c r="A124" s="279" t="s">
        <v>6754</v>
      </c>
      <c r="B124" s="257" t="s">
        <v>6755</v>
      </c>
      <c r="C124" s="258" t="s">
        <v>6765</v>
      </c>
      <c r="D124" s="261" t="s">
        <v>6766</v>
      </c>
      <c r="E124" s="262" t="s">
        <v>6522</v>
      </c>
      <c r="F124" s="265" t="s">
        <v>6758</v>
      </c>
      <c r="G124" s="268" t="str">
        <f>IF(COUNTIF(H124:AU124,"&lt;&gt;")=0,"",SUMPRODUCT(((Recommendations[ImplStatus]="Implemented")+(Recommendations[ImplStatus]="Compensated"))*ISNUMBER(MATCH(Recommendations[Id],H124:AU124,0)))/COUNTIF(H124:AU124,"&lt;&gt;"))</f>
        <v/>
      </c>
      <c r="H124" s="269"/>
      <c r="I124" s="269"/>
      <c r="J124" s="269"/>
      <c r="K124" s="269"/>
      <c r="L124" s="269"/>
      <c r="M124" s="269"/>
      <c r="N124" s="269"/>
      <c r="O124" s="269"/>
      <c r="P124" s="269"/>
      <c r="Q124" s="269"/>
      <c r="R124" s="269"/>
      <c r="S124" s="269"/>
      <c r="T124" s="269"/>
      <c r="U124" s="269"/>
      <c r="V124" s="269"/>
      <c r="W124" s="269"/>
      <c r="X124" s="269"/>
      <c r="Y124" s="269"/>
      <c r="Z124" s="269"/>
      <c r="AA124" s="269"/>
      <c r="AB124" s="269"/>
      <c r="AC124" s="269"/>
      <c r="AD124" s="269"/>
      <c r="AE124" s="269"/>
      <c r="AF124" s="269"/>
      <c r="AG124" s="269"/>
      <c r="AH124" s="269"/>
      <c r="AI124" s="269"/>
      <c r="AJ124" s="269"/>
      <c r="AK124" s="269"/>
      <c r="AL124" s="269"/>
      <c r="AM124" s="269"/>
      <c r="AN124" s="269"/>
      <c r="AO124" s="269"/>
      <c r="AP124" s="269"/>
      <c r="AQ124" s="269"/>
      <c r="AR124" s="269"/>
      <c r="AS124" s="269"/>
      <c r="AT124" s="269"/>
      <c r="AU124" s="283"/>
    </row>
    <row r="125" spans="1:47" ht="60" customHeight="1" x14ac:dyDescent="0.35">
      <c r="A125" s="279" t="s">
        <v>6754</v>
      </c>
      <c r="B125" s="257" t="s">
        <v>6755</v>
      </c>
      <c r="C125" s="258" t="s">
        <v>6767</v>
      </c>
      <c r="D125" s="261" t="s">
        <v>6768</v>
      </c>
      <c r="E125" s="262" t="s">
        <v>6522</v>
      </c>
      <c r="F125" s="265" t="s">
        <v>6758</v>
      </c>
      <c r="G125" s="268" t="str">
        <f>IF(COUNTIF(H125:AU125,"&lt;&gt;")=0,"",SUMPRODUCT(((Recommendations[ImplStatus]="Implemented")+(Recommendations[ImplStatus]="Compensated"))*ISNUMBER(MATCH(Recommendations[Id],H125:AU125,0)))/COUNTIF(H125:AU125,"&lt;&gt;"))</f>
        <v/>
      </c>
      <c r="H125" s="269"/>
      <c r="I125" s="269"/>
      <c r="J125" s="269"/>
      <c r="K125" s="269"/>
      <c r="L125" s="269"/>
      <c r="M125" s="269"/>
      <c r="N125" s="269"/>
      <c r="O125" s="269"/>
      <c r="P125" s="269"/>
      <c r="Q125" s="269"/>
      <c r="R125" s="269"/>
      <c r="S125" s="269"/>
      <c r="T125" s="269"/>
      <c r="U125" s="269"/>
      <c r="V125" s="269"/>
      <c r="W125" s="269"/>
      <c r="X125" s="269"/>
      <c r="Y125" s="269"/>
      <c r="Z125" s="269"/>
      <c r="AA125" s="269"/>
      <c r="AB125" s="269"/>
      <c r="AC125" s="269"/>
      <c r="AD125" s="269"/>
      <c r="AE125" s="269"/>
      <c r="AF125" s="269"/>
      <c r="AG125" s="269"/>
      <c r="AH125" s="269"/>
      <c r="AI125" s="269"/>
      <c r="AJ125" s="269"/>
      <c r="AK125" s="269"/>
      <c r="AL125" s="269"/>
      <c r="AM125" s="269"/>
      <c r="AN125" s="269"/>
      <c r="AO125" s="269"/>
      <c r="AP125" s="269"/>
      <c r="AQ125" s="269"/>
      <c r="AR125" s="269"/>
      <c r="AS125" s="269"/>
      <c r="AT125" s="269"/>
      <c r="AU125" s="283"/>
    </row>
    <row r="126" spans="1:47" ht="60" customHeight="1" x14ac:dyDescent="0.35">
      <c r="A126" s="279" t="s">
        <v>6754</v>
      </c>
      <c r="B126" s="257" t="s">
        <v>6755</v>
      </c>
      <c r="C126" s="258" t="s">
        <v>6769</v>
      </c>
      <c r="D126" s="261" t="s">
        <v>6770</v>
      </c>
      <c r="E126" s="262" t="s">
        <v>6522</v>
      </c>
      <c r="F126" s="265" t="s">
        <v>6758</v>
      </c>
      <c r="G126" s="268" t="str">
        <f>IF(COUNTIF(H126:AU126,"&lt;&gt;")=0,"",SUMPRODUCT(((Recommendations[ImplStatus]="Implemented")+(Recommendations[ImplStatus]="Compensated"))*ISNUMBER(MATCH(Recommendations[Id],H126:AU126,0)))/COUNTIF(H126:AU126,"&lt;&gt;"))</f>
        <v/>
      </c>
      <c r="H126" s="269"/>
      <c r="I126" s="269"/>
      <c r="J126" s="269"/>
      <c r="K126" s="269"/>
      <c r="L126" s="269"/>
      <c r="M126" s="269"/>
      <c r="N126" s="269"/>
      <c r="O126" s="269"/>
      <c r="P126" s="269"/>
      <c r="Q126" s="269"/>
      <c r="R126" s="269"/>
      <c r="S126" s="269"/>
      <c r="T126" s="269"/>
      <c r="U126" s="269"/>
      <c r="V126" s="269"/>
      <c r="W126" s="269"/>
      <c r="X126" s="269"/>
      <c r="Y126" s="269"/>
      <c r="Z126" s="269"/>
      <c r="AA126" s="269"/>
      <c r="AB126" s="269"/>
      <c r="AC126" s="269"/>
      <c r="AD126" s="269"/>
      <c r="AE126" s="269"/>
      <c r="AF126" s="269"/>
      <c r="AG126" s="269"/>
      <c r="AH126" s="269"/>
      <c r="AI126" s="269"/>
      <c r="AJ126" s="269"/>
      <c r="AK126" s="269"/>
      <c r="AL126" s="269"/>
      <c r="AM126" s="269"/>
      <c r="AN126" s="269"/>
      <c r="AO126" s="269"/>
      <c r="AP126" s="269"/>
      <c r="AQ126" s="269"/>
      <c r="AR126" s="269"/>
      <c r="AS126" s="269"/>
      <c r="AT126" s="269"/>
      <c r="AU126" s="283"/>
    </row>
    <row r="127" spans="1:47" ht="60" customHeight="1" x14ac:dyDescent="0.35">
      <c r="A127" s="279" t="s">
        <v>6754</v>
      </c>
      <c r="B127" s="257" t="s">
        <v>6755</v>
      </c>
      <c r="C127" s="258" t="s">
        <v>6771</v>
      </c>
      <c r="D127" s="261" t="s">
        <v>6772</v>
      </c>
      <c r="E127" s="262" t="s">
        <v>6522</v>
      </c>
      <c r="F127" s="265" t="s">
        <v>6758</v>
      </c>
      <c r="G127" s="268" t="str">
        <f>IF(COUNTIF(H127:AU127,"&lt;&gt;")=0,"",SUMPRODUCT(((Recommendations[ImplStatus]="Implemented")+(Recommendations[ImplStatus]="Compensated"))*ISNUMBER(MATCH(Recommendations[Id],H127:AU127,0)))/COUNTIF(H127:AU127,"&lt;&gt;"))</f>
        <v/>
      </c>
      <c r="H127" s="269"/>
      <c r="I127" s="269"/>
      <c r="J127" s="269"/>
      <c r="K127" s="269"/>
      <c r="L127" s="269"/>
      <c r="M127" s="269"/>
      <c r="N127" s="269"/>
      <c r="O127" s="269"/>
      <c r="P127" s="269"/>
      <c r="Q127" s="269"/>
      <c r="R127" s="269"/>
      <c r="S127" s="269"/>
      <c r="T127" s="269"/>
      <c r="U127" s="269"/>
      <c r="V127" s="269"/>
      <c r="W127" s="269"/>
      <c r="X127" s="269"/>
      <c r="Y127" s="269"/>
      <c r="Z127" s="269"/>
      <c r="AA127" s="269"/>
      <c r="AB127" s="269"/>
      <c r="AC127" s="269"/>
      <c r="AD127" s="269"/>
      <c r="AE127" s="269"/>
      <c r="AF127" s="269"/>
      <c r="AG127" s="269"/>
      <c r="AH127" s="269"/>
      <c r="AI127" s="269"/>
      <c r="AJ127" s="269"/>
      <c r="AK127" s="269"/>
      <c r="AL127" s="269"/>
      <c r="AM127" s="269"/>
      <c r="AN127" s="269"/>
      <c r="AO127" s="269"/>
      <c r="AP127" s="269"/>
      <c r="AQ127" s="269"/>
      <c r="AR127" s="269"/>
      <c r="AS127" s="269"/>
      <c r="AT127" s="269"/>
      <c r="AU127" s="283"/>
    </row>
    <row r="128" spans="1:47" ht="60" customHeight="1" x14ac:dyDescent="0.35">
      <c r="A128" s="279" t="s">
        <v>6754</v>
      </c>
      <c r="B128" s="257" t="s">
        <v>6755</v>
      </c>
      <c r="C128" s="258" t="s">
        <v>6773</v>
      </c>
      <c r="D128" s="261" t="s">
        <v>6774</v>
      </c>
      <c r="E128" s="262" t="s">
        <v>6522</v>
      </c>
      <c r="F128" s="265" t="s">
        <v>6758</v>
      </c>
      <c r="G128" s="268" t="str">
        <f>IF(COUNTIF(H128:AU128,"&lt;&gt;")=0,"",SUMPRODUCT(((Recommendations[ImplStatus]="Implemented")+(Recommendations[ImplStatus]="Compensated"))*ISNUMBER(MATCH(Recommendations[Id],H128:AU128,0)))/COUNTIF(H128:AU128,"&lt;&gt;"))</f>
        <v/>
      </c>
      <c r="H128" s="269"/>
      <c r="I128" s="269"/>
      <c r="J128" s="269"/>
      <c r="K128" s="269"/>
      <c r="L128" s="269"/>
      <c r="M128" s="269"/>
      <c r="N128" s="269"/>
      <c r="O128" s="269"/>
      <c r="P128" s="269"/>
      <c r="Q128" s="269"/>
      <c r="R128" s="269"/>
      <c r="S128" s="269"/>
      <c r="T128" s="269"/>
      <c r="U128" s="269"/>
      <c r="V128" s="269"/>
      <c r="W128" s="269"/>
      <c r="X128" s="269"/>
      <c r="Y128" s="269"/>
      <c r="Z128" s="269"/>
      <c r="AA128" s="269"/>
      <c r="AB128" s="269"/>
      <c r="AC128" s="269"/>
      <c r="AD128" s="269"/>
      <c r="AE128" s="269"/>
      <c r="AF128" s="269"/>
      <c r="AG128" s="269"/>
      <c r="AH128" s="269"/>
      <c r="AI128" s="269"/>
      <c r="AJ128" s="269"/>
      <c r="AK128" s="269"/>
      <c r="AL128" s="269"/>
      <c r="AM128" s="269"/>
      <c r="AN128" s="269"/>
      <c r="AO128" s="269"/>
      <c r="AP128" s="269"/>
      <c r="AQ128" s="269"/>
      <c r="AR128" s="269"/>
      <c r="AS128" s="269"/>
      <c r="AT128" s="269"/>
      <c r="AU128" s="283"/>
    </row>
    <row r="129" spans="1:47" ht="60" customHeight="1" x14ac:dyDescent="0.35">
      <c r="A129" s="279" t="s">
        <v>6754</v>
      </c>
      <c r="B129" s="257" t="s">
        <v>6755</v>
      </c>
      <c r="C129" s="258" t="s">
        <v>6775</v>
      </c>
      <c r="D129" s="261" t="s">
        <v>6776</v>
      </c>
      <c r="E129" s="262" t="s">
        <v>6522</v>
      </c>
      <c r="F129" s="265" t="s">
        <v>6758</v>
      </c>
      <c r="G129" s="268" t="str">
        <f>IF(COUNTIF(H129:AU129,"&lt;&gt;")=0,"",SUMPRODUCT(((Recommendations[ImplStatus]="Implemented")+(Recommendations[ImplStatus]="Compensated"))*ISNUMBER(MATCH(Recommendations[Id],H129:AU129,0)))/COUNTIF(H129:AU129,"&lt;&gt;"))</f>
        <v/>
      </c>
      <c r="H129" s="269"/>
      <c r="I129" s="269"/>
      <c r="J129" s="269"/>
      <c r="K129" s="269"/>
      <c r="L129" s="269"/>
      <c r="M129" s="269"/>
      <c r="N129" s="269"/>
      <c r="O129" s="269"/>
      <c r="P129" s="269"/>
      <c r="Q129" s="269"/>
      <c r="R129" s="269"/>
      <c r="S129" s="269"/>
      <c r="T129" s="269"/>
      <c r="U129" s="269"/>
      <c r="V129" s="269"/>
      <c r="W129" s="269"/>
      <c r="X129" s="269"/>
      <c r="Y129" s="269"/>
      <c r="Z129" s="269"/>
      <c r="AA129" s="269"/>
      <c r="AB129" s="269"/>
      <c r="AC129" s="269"/>
      <c r="AD129" s="269"/>
      <c r="AE129" s="269"/>
      <c r="AF129" s="269"/>
      <c r="AG129" s="269"/>
      <c r="AH129" s="269"/>
      <c r="AI129" s="269"/>
      <c r="AJ129" s="269"/>
      <c r="AK129" s="269"/>
      <c r="AL129" s="269"/>
      <c r="AM129" s="269"/>
      <c r="AN129" s="269"/>
      <c r="AO129" s="269"/>
      <c r="AP129" s="269"/>
      <c r="AQ129" s="269"/>
      <c r="AR129" s="269"/>
      <c r="AS129" s="269"/>
      <c r="AT129" s="269"/>
      <c r="AU129" s="283"/>
    </row>
    <row r="130" spans="1:47" ht="60" customHeight="1" x14ac:dyDescent="0.35">
      <c r="A130" s="279" t="s">
        <v>6754</v>
      </c>
      <c r="B130" s="257" t="s">
        <v>6755</v>
      </c>
      <c r="C130" s="258" t="s">
        <v>6777</v>
      </c>
      <c r="D130" s="261" t="s">
        <v>6778</v>
      </c>
      <c r="E130" s="262" t="s">
        <v>6522</v>
      </c>
      <c r="F130" s="265" t="s">
        <v>6758</v>
      </c>
      <c r="G130" s="268" t="str">
        <f>IF(COUNTIF(H130:AU130,"&lt;&gt;")=0,"",SUMPRODUCT(((Recommendations[ImplStatus]="Implemented")+(Recommendations[ImplStatus]="Compensated"))*ISNUMBER(MATCH(Recommendations[Id],H130:AU130,0)))/COUNTIF(H130:AU130,"&lt;&gt;"))</f>
        <v/>
      </c>
      <c r="H130" s="269"/>
      <c r="I130" s="269"/>
      <c r="J130" s="269"/>
      <c r="K130" s="269"/>
      <c r="L130" s="269"/>
      <c r="M130" s="269"/>
      <c r="N130" s="269"/>
      <c r="O130" s="269"/>
      <c r="P130" s="269"/>
      <c r="Q130" s="269"/>
      <c r="R130" s="269"/>
      <c r="S130" s="269"/>
      <c r="T130" s="269"/>
      <c r="U130" s="269"/>
      <c r="V130" s="269"/>
      <c r="W130" s="269"/>
      <c r="X130" s="269"/>
      <c r="Y130" s="269"/>
      <c r="Z130" s="269"/>
      <c r="AA130" s="269"/>
      <c r="AB130" s="269"/>
      <c r="AC130" s="269"/>
      <c r="AD130" s="269"/>
      <c r="AE130" s="269"/>
      <c r="AF130" s="269"/>
      <c r="AG130" s="269"/>
      <c r="AH130" s="269"/>
      <c r="AI130" s="269"/>
      <c r="AJ130" s="269"/>
      <c r="AK130" s="269"/>
      <c r="AL130" s="269"/>
      <c r="AM130" s="269"/>
      <c r="AN130" s="269"/>
      <c r="AO130" s="269"/>
      <c r="AP130" s="269"/>
      <c r="AQ130" s="269"/>
      <c r="AR130" s="269"/>
      <c r="AS130" s="269"/>
      <c r="AT130" s="269"/>
      <c r="AU130" s="283"/>
    </row>
    <row r="131" spans="1:47" ht="60" customHeight="1" x14ac:dyDescent="0.35">
      <c r="A131" s="279" t="s">
        <v>6754</v>
      </c>
      <c r="B131" s="257" t="s">
        <v>6755</v>
      </c>
      <c r="C131" s="258" t="s">
        <v>6779</v>
      </c>
      <c r="D131" s="261" t="s">
        <v>6780</v>
      </c>
      <c r="E131" s="262" t="s">
        <v>6522</v>
      </c>
      <c r="F131" s="265" t="s">
        <v>6758</v>
      </c>
      <c r="G131" s="268" t="str">
        <f>IF(COUNTIF(H131:AU131,"&lt;&gt;")=0,"",SUMPRODUCT(((Recommendations[ImplStatus]="Implemented")+(Recommendations[ImplStatus]="Compensated"))*ISNUMBER(MATCH(Recommendations[Id],H131:AU131,0)))/COUNTIF(H131:AU131,"&lt;&gt;"))</f>
        <v/>
      </c>
      <c r="H131" s="269"/>
      <c r="I131" s="269"/>
      <c r="J131" s="269"/>
      <c r="K131" s="269"/>
      <c r="L131" s="269"/>
      <c r="M131" s="269"/>
      <c r="N131" s="269"/>
      <c r="O131" s="269"/>
      <c r="P131" s="269"/>
      <c r="Q131" s="269"/>
      <c r="R131" s="269"/>
      <c r="S131" s="269"/>
      <c r="T131" s="269"/>
      <c r="U131" s="269"/>
      <c r="V131" s="269"/>
      <c r="W131" s="269"/>
      <c r="X131" s="269"/>
      <c r="Y131" s="269"/>
      <c r="Z131" s="269"/>
      <c r="AA131" s="269"/>
      <c r="AB131" s="269"/>
      <c r="AC131" s="269"/>
      <c r="AD131" s="269"/>
      <c r="AE131" s="269"/>
      <c r="AF131" s="269"/>
      <c r="AG131" s="269"/>
      <c r="AH131" s="269"/>
      <c r="AI131" s="269"/>
      <c r="AJ131" s="269"/>
      <c r="AK131" s="269"/>
      <c r="AL131" s="269"/>
      <c r="AM131" s="269"/>
      <c r="AN131" s="269"/>
      <c r="AO131" s="269"/>
      <c r="AP131" s="269"/>
      <c r="AQ131" s="269"/>
      <c r="AR131" s="269"/>
      <c r="AS131" s="269"/>
      <c r="AT131" s="269"/>
      <c r="AU131" s="283"/>
    </row>
    <row r="132" spans="1:47" ht="60" customHeight="1" x14ac:dyDescent="0.35">
      <c r="A132" s="279" t="s">
        <v>6754</v>
      </c>
      <c r="B132" s="257" t="s">
        <v>6755</v>
      </c>
      <c r="C132" s="258" t="s">
        <v>6781</v>
      </c>
      <c r="D132" s="261" t="s">
        <v>6782</v>
      </c>
      <c r="E132" s="262" t="s">
        <v>6522</v>
      </c>
      <c r="F132" s="265" t="s">
        <v>6758</v>
      </c>
      <c r="G132" s="268" t="str">
        <f>IF(COUNTIF(H132:AU132,"&lt;&gt;")=0,"",SUMPRODUCT(((Recommendations[ImplStatus]="Implemented")+(Recommendations[ImplStatus]="Compensated"))*ISNUMBER(MATCH(Recommendations[Id],H132:AU132,0)))/COUNTIF(H132:AU132,"&lt;&gt;"))</f>
        <v/>
      </c>
      <c r="H132" s="269"/>
      <c r="I132" s="269"/>
      <c r="J132" s="269"/>
      <c r="K132" s="269"/>
      <c r="L132" s="269"/>
      <c r="M132" s="269"/>
      <c r="N132" s="269"/>
      <c r="O132" s="269"/>
      <c r="P132" s="269"/>
      <c r="Q132" s="269"/>
      <c r="R132" s="269"/>
      <c r="S132" s="269"/>
      <c r="T132" s="269"/>
      <c r="U132" s="269"/>
      <c r="V132" s="269"/>
      <c r="W132" s="269"/>
      <c r="X132" s="269"/>
      <c r="Y132" s="269"/>
      <c r="Z132" s="269"/>
      <c r="AA132" s="269"/>
      <c r="AB132" s="269"/>
      <c r="AC132" s="269"/>
      <c r="AD132" s="269"/>
      <c r="AE132" s="269"/>
      <c r="AF132" s="269"/>
      <c r="AG132" s="269"/>
      <c r="AH132" s="269"/>
      <c r="AI132" s="269"/>
      <c r="AJ132" s="269"/>
      <c r="AK132" s="269"/>
      <c r="AL132" s="269"/>
      <c r="AM132" s="269"/>
      <c r="AN132" s="269"/>
      <c r="AO132" s="269"/>
      <c r="AP132" s="269"/>
      <c r="AQ132" s="269"/>
      <c r="AR132" s="269"/>
      <c r="AS132" s="269"/>
      <c r="AT132" s="269"/>
      <c r="AU132" s="283"/>
    </row>
    <row r="133" spans="1:47" ht="60" customHeight="1" x14ac:dyDescent="0.35">
      <c r="A133" s="279" t="s">
        <v>6754</v>
      </c>
      <c r="B133" s="257" t="s">
        <v>6755</v>
      </c>
      <c r="C133" s="258" t="s">
        <v>6783</v>
      </c>
      <c r="D133" s="261" t="s">
        <v>6784</v>
      </c>
      <c r="E133" s="262" t="s">
        <v>6551</v>
      </c>
      <c r="F133" s="265" t="s">
        <v>6758</v>
      </c>
      <c r="G133" s="268" t="str">
        <f>IF(COUNTIF(H133:AU133,"&lt;&gt;")=0,"",SUMPRODUCT(((Recommendations[ImplStatus]="Implemented")+(Recommendations[ImplStatus]="Compensated"))*ISNUMBER(MATCH(Recommendations[Id],H133:AU133,0)))/COUNTIF(H133:AU133,"&lt;&gt;"))</f>
        <v/>
      </c>
      <c r="H133" s="269"/>
      <c r="I133" s="269"/>
      <c r="J133" s="269"/>
      <c r="K133" s="269"/>
      <c r="L133" s="269"/>
      <c r="M133" s="269"/>
      <c r="N133" s="269"/>
      <c r="O133" s="269"/>
      <c r="P133" s="269"/>
      <c r="Q133" s="269"/>
      <c r="R133" s="269"/>
      <c r="S133" s="269"/>
      <c r="T133" s="269"/>
      <c r="U133" s="269"/>
      <c r="V133" s="269"/>
      <c r="W133" s="269"/>
      <c r="X133" s="269"/>
      <c r="Y133" s="269"/>
      <c r="Z133" s="269"/>
      <c r="AA133" s="269"/>
      <c r="AB133" s="269"/>
      <c r="AC133" s="269"/>
      <c r="AD133" s="269"/>
      <c r="AE133" s="269"/>
      <c r="AF133" s="269"/>
      <c r="AG133" s="269"/>
      <c r="AH133" s="269"/>
      <c r="AI133" s="269"/>
      <c r="AJ133" s="269"/>
      <c r="AK133" s="269"/>
      <c r="AL133" s="269"/>
      <c r="AM133" s="269"/>
      <c r="AN133" s="269"/>
      <c r="AO133" s="269"/>
      <c r="AP133" s="269"/>
      <c r="AQ133" s="269"/>
      <c r="AR133" s="269"/>
      <c r="AS133" s="269"/>
      <c r="AT133" s="269"/>
      <c r="AU133" s="283"/>
    </row>
    <row r="134" spans="1:47" ht="60" customHeight="1" x14ac:dyDescent="0.35">
      <c r="A134" s="279" t="s">
        <v>6754</v>
      </c>
      <c r="B134" s="257" t="s">
        <v>6755</v>
      </c>
      <c r="C134" s="258" t="s">
        <v>6785</v>
      </c>
      <c r="D134" s="261" t="s">
        <v>6786</v>
      </c>
      <c r="E134" s="262" t="s">
        <v>6551</v>
      </c>
      <c r="F134" s="265" t="s">
        <v>6758</v>
      </c>
      <c r="G134" s="268" t="str">
        <f>IF(COUNTIF(H134:AU134,"&lt;&gt;")=0,"",SUMPRODUCT(((Recommendations[ImplStatus]="Implemented")+(Recommendations[ImplStatus]="Compensated"))*ISNUMBER(MATCH(Recommendations[Id],H134:AU134,0)))/COUNTIF(H134:AU134,"&lt;&gt;"))</f>
        <v/>
      </c>
      <c r="H134" s="269"/>
      <c r="I134" s="269"/>
      <c r="J134" s="269"/>
      <c r="K134" s="269"/>
      <c r="L134" s="269"/>
      <c r="M134" s="269"/>
      <c r="N134" s="269"/>
      <c r="O134" s="269"/>
      <c r="P134" s="269"/>
      <c r="Q134" s="269"/>
      <c r="R134" s="269"/>
      <c r="S134" s="269"/>
      <c r="T134" s="269"/>
      <c r="U134" s="269"/>
      <c r="V134" s="269"/>
      <c r="W134" s="269"/>
      <c r="X134" s="269"/>
      <c r="Y134" s="269"/>
      <c r="Z134" s="269"/>
      <c r="AA134" s="269"/>
      <c r="AB134" s="269"/>
      <c r="AC134" s="269"/>
      <c r="AD134" s="269"/>
      <c r="AE134" s="269"/>
      <c r="AF134" s="269"/>
      <c r="AG134" s="269"/>
      <c r="AH134" s="269"/>
      <c r="AI134" s="269"/>
      <c r="AJ134" s="269"/>
      <c r="AK134" s="269"/>
      <c r="AL134" s="269"/>
      <c r="AM134" s="269"/>
      <c r="AN134" s="269"/>
      <c r="AO134" s="269"/>
      <c r="AP134" s="269"/>
      <c r="AQ134" s="269"/>
      <c r="AR134" s="269"/>
      <c r="AS134" s="269"/>
      <c r="AT134" s="269"/>
      <c r="AU134" s="283"/>
    </row>
    <row r="135" spans="1:47" ht="60" customHeight="1" x14ac:dyDescent="0.35">
      <c r="A135" s="279" t="s">
        <v>6754</v>
      </c>
      <c r="B135" s="257" t="s">
        <v>6755</v>
      </c>
      <c r="C135" s="258" t="s">
        <v>6787</v>
      </c>
      <c r="D135" s="261" t="s">
        <v>6788</v>
      </c>
      <c r="E135" s="262" t="s">
        <v>6666</v>
      </c>
      <c r="F135" s="265" t="s">
        <v>6758</v>
      </c>
      <c r="G135" s="268" t="str">
        <f>IF(COUNTIF(H135:AU135,"&lt;&gt;")=0,"",SUMPRODUCT(((Recommendations[ImplStatus]="Implemented")+(Recommendations[ImplStatus]="Compensated"))*ISNUMBER(MATCH(Recommendations[Id],H135:AU135,0)))/COUNTIF(H135:AU135,"&lt;&gt;"))</f>
        <v/>
      </c>
      <c r="H135" s="269"/>
      <c r="I135" s="269"/>
      <c r="J135" s="269"/>
      <c r="K135" s="269"/>
      <c r="L135" s="269"/>
      <c r="M135" s="269"/>
      <c r="N135" s="269"/>
      <c r="O135" s="269"/>
      <c r="P135" s="269"/>
      <c r="Q135" s="269"/>
      <c r="R135" s="269"/>
      <c r="S135" s="269"/>
      <c r="T135" s="269"/>
      <c r="U135" s="269"/>
      <c r="V135" s="269"/>
      <c r="W135" s="269"/>
      <c r="X135" s="269"/>
      <c r="Y135" s="269"/>
      <c r="Z135" s="269"/>
      <c r="AA135" s="269"/>
      <c r="AB135" s="269"/>
      <c r="AC135" s="269"/>
      <c r="AD135" s="269"/>
      <c r="AE135" s="269"/>
      <c r="AF135" s="269"/>
      <c r="AG135" s="269"/>
      <c r="AH135" s="269"/>
      <c r="AI135" s="269"/>
      <c r="AJ135" s="269"/>
      <c r="AK135" s="269"/>
      <c r="AL135" s="269"/>
      <c r="AM135" s="269"/>
      <c r="AN135" s="269"/>
      <c r="AO135" s="269"/>
      <c r="AP135" s="269"/>
      <c r="AQ135" s="269"/>
      <c r="AR135" s="269"/>
      <c r="AS135" s="269"/>
      <c r="AT135" s="269"/>
      <c r="AU135" s="283"/>
    </row>
    <row r="136" spans="1:47" ht="60" customHeight="1" x14ac:dyDescent="0.35">
      <c r="A136" s="279" t="s">
        <v>6754</v>
      </c>
      <c r="B136" s="257" t="s">
        <v>6755</v>
      </c>
      <c r="C136" s="258" t="s">
        <v>6789</v>
      </c>
      <c r="D136" s="261" t="s">
        <v>6790</v>
      </c>
      <c r="E136" s="262" t="s">
        <v>6551</v>
      </c>
      <c r="F136" s="265" t="s">
        <v>6758</v>
      </c>
      <c r="G136" s="268" t="str">
        <f>IF(COUNTIF(H136:AU136,"&lt;&gt;")=0,"",SUMPRODUCT(((Recommendations[ImplStatus]="Implemented")+(Recommendations[ImplStatus]="Compensated"))*ISNUMBER(MATCH(Recommendations[Id],H136:AU136,0)))/COUNTIF(H136:AU136,"&lt;&gt;"))</f>
        <v/>
      </c>
      <c r="H136" s="269"/>
      <c r="I136" s="269"/>
      <c r="J136" s="269"/>
      <c r="K136" s="269"/>
      <c r="L136" s="269"/>
      <c r="M136" s="269"/>
      <c r="N136" s="269"/>
      <c r="O136" s="269"/>
      <c r="P136" s="269"/>
      <c r="Q136" s="269"/>
      <c r="R136" s="269"/>
      <c r="S136" s="269"/>
      <c r="T136" s="269"/>
      <c r="U136" s="269"/>
      <c r="V136" s="269"/>
      <c r="W136" s="269"/>
      <c r="X136" s="269"/>
      <c r="Y136" s="269"/>
      <c r="Z136" s="269"/>
      <c r="AA136" s="269"/>
      <c r="AB136" s="269"/>
      <c r="AC136" s="269"/>
      <c r="AD136" s="269"/>
      <c r="AE136" s="269"/>
      <c r="AF136" s="269"/>
      <c r="AG136" s="269"/>
      <c r="AH136" s="269"/>
      <c r="AI136" s="269"/>
      <c r="AJ136" s="269"/>
      <c r="AK136" s="269"/>
      <c r="AL136" s="269"/>
      <c r="AM136" s="269"/>
      <c r="AN136" s="269"/>
      <c r="AO136" s="269"/>
      <c r="AP136" s="269"/>
      <c r="AQ136" s="269"/>
      <c r="AR136" s="269"/>
      <c r="AS136" s="269"/>
      <c r="AT136" s="269"/>
      <c r="AU136" s="283"/>
    </row>
    <row r="137" spans="1:47" ht="60" customHeight="1" x14ac:dyDescent="0.35">
      <c r="A137" s="279" t="s">
        <v>6754</v>
      </c>
      <c r="B137" s="257" t="s">
        <v>6755</v>
      </c>
      <c r="C137" s="258" t="s">
        <v>6791</v>
      </c>
      <c r="D137" s="261" t="s">
        <v>6792</v>
      </c>
      <c r="E137" s="262" t="s">
        <v>6551</v>
      </c>
      <c r="F137" s="265" t="s">
        <v>6758</v>
      </c>
      <c r="G137" s="268" t="str">
        <f>IF(COUNTIF(H137:AU137,"&lt;&gt;")=0,"",SUMPRODUCT(((Recommendations[ImplStatus]="Implemented")+(Recommendations[ImplStatus]="Compensated"))*ISNUMBER(MATCH(Recommendations[Id],H137:AU137,0)))/COUNTIF(H137:AU137,"&lt;&gt;"))</f>
        <v/>
      </c>
      <c r="H137" s="269"/>
      <c r="I137" s="269"/>
      <c r="J137" s="269"/>
      <c r="K137" s="269"/>
      <c r="L137" s="269"/>
      <c r="M137" s="269"/>
      <c r="N137" s="269"/>
      <c r="O137" s="269"/>
      <c r="P137" s="269"/>
      <c r="Q137" s="269"/>
      <c r="R137" s="269"/>
      <c r="S137" s="269"/>
      <c r="T137" s="269"/>
      <c r="U137" s="269"/>
      <c r="V137" s="269"/>
      <c r="W137" s="269"/>
      <c r="X137" s="269"/>
      <c r="Y137" s="269"/>
      <c r="Z137" s="269"/>
      <c r="AA137" s="269"/>
      <c r="AB137" s="269"/>
      <c r="AC137" s="269"/>
      <c r="AD137" s="269"/>
      <c r="AE137" s="269"/>
      <c r="AF137" s="269"/>
      <c r="AG137" s="269"/>
      <c r="AH137" s="269"/>
      <c r="AI137" s="269"/>
      <c r="AJ137" s="269"/>
      <c r="AK137" s="269"/>
      <c r="AL137" s="269"/>
      <c r="AM137" s="269"/>
      <c r="AN137" s="269"/>
      <c r="AO137" s="269"/>
      <c r="AP137" s="269"/>
      <c r="AQ137" s="269"/>
      <c r="AR137" s="269"/>
      <c r="AS137" s="269"/>
      <c r="AT137" s="269"/>
      <c r="AU137" s="283"/>
    </row>
    <row r="138" spans="1:47" ht="60" customHeight="1" x14ac:dyDescent="0.35">
      <c r="A138" s="279" t="s">
        <v>6754</v>
      </c>
      <c r="B138" s="257" t="s">
        <v>6755</v>
      </c>
      <c r="C138" s="258" t="s">
        <v>6793</v>
      </c>
      <c r="D138" s="261" t="s">
        <v>6794</v>
      </c>
      <c r="E138" s="262" t="s">
        <v>6666</v>
      </c>
      <c r="F138" s="265" t="s">
        <v>6758</v>
      </c>
      <c r="G138" s="268" t="str">
        <f>IF(COUNTIF(H138:AU138,"&lt;&gt;")=0,"",SUMPRODUCT(((Recommendations[ImplStatus]="Implemented")+(Recommendations[ImplStatus]="Compensated"))*ISNUMBER(MATCH(Recommendations[Id],H138:AU138,0)))/COUNTIF(H138:AU138,"&lt;&gt;"))</f>
        <v/>
      </c>
      <c r="H138" s="269"/>
      <c r="I138" s="269"/>
      <c r="J138" s="269"/>
      <c r="K138" s="269"/>
      <c r="L138" s="269"/>
      <c r="M138" s="269"/>
      <c r="N138" s="269"/>
      <c r="O138" s="269"/>
      <c r="P138" s="269"/>
      <c r="Q138" s="269"/>
      <c r="R138" s="269"/>
      <c r="S138" s="269"/>
      <c r="T138" s="269"/>
      <c r="U138" s="269"/>
      <c r="V138" s="269"/>
      <c r="W138" s="269"/>
      <c r="X138" s="269"/>
      <c r="Y138" s="269"/>
      <c r="Z138" s="269"/>
      <c r="AA138" s="269"/>
      <c r="AB138" s="269"/>
      <c r="AC138" s="269"/>
      <c r="AD138" s="269"/>
      <c r="AE138" s="269"/>
      <c r="AF138" s="269"/>
      <c r="AG138" s="269"/>
      <c r="AH138" s="269"/>
      <c r="AI138" s="269"/>
      <c r="AJ138" s="269"/>
      <c r="AK138" s="269"/>
      <c r="AL138" s="269"/>
      <c r="AM138" s="269"/>
      <c r="AN138" s="269"/>
      <c r="AO138" s="269"/>
      <c r="AP138" s="269"/>
      <c r="AQ138" s="269"/>
      <c r="AR138" s="269"/>
      <c r="AS138" s="269"/>
      <c r="AT138" s="269"/>
      <c r="AU138" s="283"/>
    </row>
    <row r="139" spans="1:47" ht="60" customHeight="1" x14ac:dyDescent="0.35">
      <c r="A139" s="279" t="s">
        <v>6754</v>
      </c>
      <c r="B139" s="257" t="s">
        <v>6755</v>
      </c>
      <c r="C139" s="258" t="s">
        <v>6795</v>
      </c>
      <c r="D139" s="261" t="s">
        <v>6796</v>
      </c>
      <c r="E139" s="262" t="s">
        <v>6666</v>
      </c>
      <c r="F139" s="265" t="s">
        <v>6758</v>
      </c>
      <c r="G139" s="268" t="str">
        <f>IF(COUNTIF(H139:AU139,"&lt;&gt;")=0,"",SUMPRODUCT(((Recommendations[ImplStatus]="Implemented")+(Recommendations[ImplStatus]="Compensated"))*ISNUMBER(MATCH(Recommendations[Id],H139:AU139,0)))/COUNTIF(H139:AU139,"&lt;&gt;"))</f>
        <v/>
      </c>
      <c r="H139" s="269"/>
      <c r="I139" s="269"/>
      <c r="J139" s="269"/>
      <c r="K139" s="269"/>
      <c r="L139" s="269"/>
      <c r="M139" s="269"/>
      <c r="N139" s="269"/>
      <c r="O139" s="269"/>
      <c r="P139" s="269"/>
      <c r="Q139" s="269"/>
      <c r="R139" s="269"/>
      <c r="S139" s="269"/>
      <c r="T139" s="269"/>
      <c r="U139" s="269"/>
      <c r="V139" s="269"/>
      <c r="W139" s="269"/>
      <c r="X139" s="269"/>
      <c r="Y139" s="269"/>
      <c r="Z139" s="269"/>
      <c r="AA139" s="269"/>
      <c r="AB139" s="269"/>
      <c r="AC139" s="269"/>
      <c r="AD139" s="269"/>
      <c r="AE139" s="269"/>
      <c r="AF139" s="269"/>
      <c r="AG139" s="269"/>
      <c r="AH139" s="269"/>
      <c r="AI139" s="269"/>
      <c r="AJ139" s="269"/>
      <c r="AK139" s="269"/>
      <c r="AL139" s="269"/>
      <c r="AM139" s="269"/>
      <c r="AN139" s="269"/>
      <c r="AO139" s="269"/>
      <c r="AP139" s="269"/>
      <c r="AQ139" s="269"/>
      <c r="AR139" s="269"/>
      <c r="AS139" s="269"/>
      <c r="AT139" s="269"/>
      <c r="AU139" s="283"/>
    </row>
    <row r="140" spans="1:47" ht="60" customHeight="1" x14ac:dyDescent="0.35">
      <c r="A140" s="279" t="s">
        <v>6754</v>
      </c>
      <c r="B140" s="257" t="s">
        <v>6755</v>
      </c>
      <c r="C140" s="258" t="s">
        <v>6797</v>
      </c>
      <c r="D140" s="261" t="s">
        <v>6798</v>
      </c>
      <c r="E140" s="262" t="s">
        <v>6522</v>
      </c>
      <c r="F140" s="265" t="s">
        <v>6758</v>
      </c>
      <c r="G140" s="268" t="str">
        <f>IF(COUNTIF(H140:AU140,"&lt;&gt;")=0,"",SUMPRODUCT(((Recommendations[ImplStatus]="Implemented")+(Recommendations[ImplStatus]="Compensated"))*ISNUMBER(MATCH(Recommendations[Id],H140:AU140,0)))/COUNTIF(H140:AU140,"&lt;&gt;"))</f>
        <v/>
      </c>
      <c r="H140" s="269"/>
      <c r="I140" s="269"/>
      <c r="J140" s="269"/>
      <c r="K140" s="269"/>
      <c r="L140" s="269"/>
      <c r="M140" s="269"/>
      <c r="N140" s="269"/>
      <c r="O140" s="269"/>
      <c r="P140" s="269"/>
      <c r="Q140" s="269"/>
      <c r="R140" s="269"/>
      <c r="S140" s="269"/>
      <c r="T140" s="269"/>
      <c r="U140" s="269"/>
      <c r="V140" s="269"/>
      <c r="W140" s="269"/>
      <c r="X140" s="269"/>
      <c r="Y140" s="269"/>
      <c r="Z140" s="269"/>
      <c r="AA140" s="269"/>
      <c r="AB140" s="269"/>
      <c r="AC140" s="269"/>
      <c r="AD140" s="269"/>
      <c r="AE140" s="269"/>
      <c r="AF140" s="269"/>
      <c r="AG140" s="269"/>
      <c r="AH140" s="269"/>
      <c r="AI140" s="269"/>
      <c r="AJ140" s="269"/>
      <c r="AK140" s="269"/>
      <c r="AL140" s="269"/>
      <c r="AM140" s="269"/>
      <c r="AN140" s="269"/>
      <c r="AO140" s="269"/>
      <c r="AP140" s="269"/>
      <c r="AQ140" s="269"/>
      <c r="AR140" s="269"/>
      <c r="AS140" s="269"/>
      <c r="AT140" s="269"/>
      <c r="AU140" s="283"/>
    </row>
    <row r="141" spans="1:47" ht="60" customHeight="1" x14ac:dyDescent="0.35">
      <c r="A141" s="279" t="s">
        <v>6754</v>
      </c>
      <c r="B141" s="257" t="s">
        <v>6755</v>
      </c>
      <c r="C141" s="258" t="s">
        <v>6799</v>
      </c>
      <c r="D141" s="261" t="s">
        <v>6800</v>
      </c>
      <c r="E141" s="262" t="s">
        <v>6801</v>
      </c>
      <c r="F141" s="265" t="s">
        <v>6802</v>
      </c>
      <c r="G141" s="268" t="str">
        <f>IF(COUNTIF(H141:AU141,"&lt;&gt;")=0,"",SUMPRODUCT(((Recommendations[ImplStatus]="Implemented")+(Recommendations[ImplStatus]="Compensated"))*ISNUMBER(MATCH(Recommendations[Id],H141:AU141,0)))/COUNTIF(H141:AU141,"&lt;&gt;"))</f>
        <v/>
      </c>
      <c r="H141" s="269"/>
      <c r="I141" s="269"/>
      <c r="J141" s="269"/>
      <c r="K141" s="269"/>
      <c r="L141" s="269"/>
      <c r="M141" s="269"/>
      <c r="N141" s="269"/>
      <c r="O141" s="269"/>
      <c r="P141" s="269"/>
      <c r="Q141" s="269"/>
      <c r="R141" s="269"/>
      <c r="S141" s="269"/>
      <c r="T141" s="269"/>
      <c r="U141" s="269"/>
      <c r="V141" s="269"/>
      <c r="W141" s="269"/>
      <c r="X141" s="269"/>
      <c r="Y141" s="269"/>
      <c r="Z141" s="269"/>
      <c r="AA141" s="269"/>
      <c r="AB141" s="269"/>
      <c r="AC141" s="269"/>
      <c r="AD141" s="269"/>
      <c r="AE141" s="269"/>
      <c r="AF141" s="269"/>
      <c r="AG141" s="269"/>
      <c r="AH141" s="269"/>
      <c r="AI141" s="269"/>
      <c r="AJ141" s="269"/>
      <c r="AK141" s="269"/>
      <c r="AL141" s="269"/>
      <c r="AM141" s="269"/>
      <c r="AN141" s="269"/>
      <c r="AO141" s="269"/>
      <c r="AP141" s="269"/>
      <c r="AQ141" s="269"/>
      <c r="AR141" s="269"/>
      <c r="AS141" s="269"/>
      <c r="AT141" s="269"/>
      <c r="AU141" s="283"/>
    </row>
    <row r="142" spans="1:47" ht="60" customHeight="1" x14ac:dyDescent="0.35">
      <c r="A142" s="279" t="s">
        <v>6754</v>
      </c>
      <c r="B142" s="257" t="s">
        <v>6755</v>
      </c>
      <c r="C142" s="258" t="s">
        <v>6803</v>
      </c>
      <c r="D142" s="261" t="s">
        <v>6804</v>
      </c>
      <c r="E142" s="262" t="s">
        <v>6801</v>
      </c>
      <c r="F142" s="265" t="s">
        <v>6802</v>
      </c>
      <c r="G142" s="268" t="str">
        <f>IF(COUNTIF(H142:AU142,"&lt;&gt;")=0,"",SUMPRODUCT(((Recommendations[ImplStatus]="Implemented")+(Recommendations[ImplStatus]="Compensated"))*ISNUMBER(MATCH(Recommendations[Id],H142:AU142,0)))/COUNTIF(H142:AU142,"&lt;&gt;"))</f>
        <v/>
      </c>
      <c r="H142" s="269"/>
      <c r="I142" s="269"/>
      <c r="J142" s="269"/>
      <c r="K142" s="269"/>
      <c r="L142" s="269"/>
      <c r="M142" s="269"/>
      <c r="N142" s="269"/>
      <c r="O142" s="269"/>
      <c r="P142" s="269"/>
      <c r="Q142" s="269"/>
      <c r="R142" s="269"/>
      <c r="S142" s="269"/>
      <c r="T142" s="269"/>
      <c r="U142" s="269"/>
      <c r="V142" s="269"/>
      <c r="W142" s="269"/>
      <c r="X142" s="269"/>
      <c r="Y142" s="269"/>
      <c r="Z142" s="269"/>
      <c r="AA142" s="269"/>
      <c r="AB142" s="269"/>
      <c r="AC142" s="269"/>
      <c r="AD142" s="269"/>
      <c r="AE142" s="269"/>
      <c r="AF142" s="269"/>
      <c r="AG142" s="269"/>
      <c r="AH142" s="269"/>
      <c r="AI142" s="269"/>
      <c r="AJ142" s="269"/>
      <c r="AK142" s="269"/>
      <c r="AL142" s="269"/>
      <c r="AM142" s="269"/>
      <c r="AN142" s="269"/>
      <c r="AO142" s="269"/>
      <c r="AP142" s="269"/>
      <c r="AQ142" s="269"/>
      <c r="AR142" s="269"/>
      <c r="AS142" s="269"/>
      <c r="AT142" s="269"/>
      <c r="AU142" s="283"/>
    </row>
    <row r="143" spans="1:47" ht="60" customHeight="1" x14ac:dyDescent="0.35">
      <c r="A143" s="279" t="s">
        <v>6754</v>
      </c>
      <c r="B143" s="257" t="s">
        <v>6755</v>
      </c>
      <c r="C143" s="258" t="s">
        <v>6805</v>
      </c>
      <c r="D143" s="261" t="s">
        <v>6806</v>
      </c>
      <c r="E143" s="262" t="s">
        <v>6801</v>
      </c>
      <c r="F143" s="265" t="s">
        <v>6802</v>
      </c>
      <c r="G143" s="268" t="str">
        <f>IF(COUNTIF(H143:AU143,"&lt;&gt;")=0,"",SUMPRODUCT(((Recommendations[ImplStatus]="Implemented")+(Recommendations[ImplStatus]="Compensated"))*ISNUMBER(MATCH(Recommendations[Id],H143:AU143,0)))/COUNTIF(H143:AU143,"&lt;&gt;"))</f>
        <v/>
      </c>
      <c r="H143" s="269"/>
      <c r="I143" s="269"/>
      <c r="J143" s="269"/>
      <c r="K143" s="269"/>
      <c r="L143" s="269"/>
      <c r="M143" s="269"/>
      <c r="N143" s="269"/>
      <c r="O143" s="269"/>
      <c r="P143" s="269"/>
      <c r="Q143" s="269"/>
      <c r="R143" s="269"/>
      <c r="S143" s="269"/>
      <c r="T143" s="269"/>
      <c r="U143" s="269"/>
      <c r="V143" s="269"/>
      <c r="W143" s="269"/>
      <c r="X143" s="269"/>
      <c r="Y143" s="269"/>
      <c r="Z143" s="269"/>
      <c r="AA143" s="269"/>
      <c r="AB143" s="269"/>
      <c r="AC143" s="269"/>
      <c r="AD143" s="269"/>
      <c r="AE143" s="269"/>
      <c r="AF143" s="269"/>
      <c r="AG143" s="269"/>
      <c r="AH143" s="269"/>
      <c r="AI143" s="269"/>
      <c r="AJ143" s="269"/>
      <c r="AK143" s="269"/>
      <c r="AL143" s="269"/>
      <c r="AM143" s="269"/>
      <c r="AN143" s="269"/>
      <c r="AO143" s="269"/>
      <c r="AP143" s="269"/>
      <c r="AQ143" s="269"/>
      <c r="AR143" s="269"/>
      <c r="AS143" s="269"/>
      <c r="AT143" s="269"/>
      <c r="AU143" s="283"/>
    </row>
    <row r="144" spans="1:47" ht="60" customHeight="1" x14ac:dyDescent="0.35">
      <c r="A144" s="279" t="s">
        <v>6754</v>
      </c>
      <c r="B144" s="257" t="s">
        <v>6755</v>
      </c>
      <c r="C144" s="258" t="s">
        <v>6807</v>
      </c>
      <c r="D144" s="261" t="s">
        <v>6808</v>
      </c>
      <c r="E144" s="262" t="s">
        <v>6618</v>
      </c>
      <c r="F144" s="265" t="s">
        <v>6802</v>
      </c>
      <c r="G144" s="268" t="str">
        <f>IF(COUNTIF(H144:AU144,"&lt;&gt;")=0,"",SUMPRODUCT(((Recommendations[ImplStatus]="Implemented")+(Recommendations[ImplStatus]="Compensated"))*ISNUMBER(MATCH(Recommendations[Id],H144:AU144,0)))/COUNTIF(H144:AU144,"&lt;&gt;"))</f>
        <v/>
      </c>
      <c r="H144" s="269"/>
      <c r="I144" s="269"/>
      <c r="J144" s="269"/>
      <c r="K144" s="269"/>
      <c r="L144" s="269"/>
      <c r="M144" s="269"/>
      <c r="N144" s="269"/>
      <c r="O144" s="269"/>
      <c r="P144" s="269"/>
      <c r="Q144" s="269"/>
      <c r="R144" s="269"/>
      <c r="S144" s="269"/>
      <c r="T144" s="269"/>
      <c r="U144" s="269"/>
      <c r="V144" s="269"/>
      <c r="W144" s="269"/>
      <c r="X144" s="269"/>
      <c r="Y144" s="269"/>
      <c r="Z144" s="269"/>
      <c r="AA144" s="269"/>
      <c r="AB144" s="269"/>
      <c r="AC144" s="269"/>
      <c r="AD144" s="269"/>
      <c r="AE144" s="269"/>
      <c r="AF144" s="269"/>
      <c r="AG144" s="269"/>
      <c r="AH144" s="269"/>
      <c r="AI144" s="269"/>
      <c r="AJ144" s="269"/>
      <c r="AK144" s="269"/>
      <c r="AL144" s="269"/>
      <c r="AM144" s="269"/>
      <c r="AN144" s="269"/>
      <c r="AO144" s="269"/>
      <c r="AP144" s="269"/>
      <c r="AQ144" s="269"/>
      <c r="AR144" s="269"/>
      <c r="AS144" s="269"/>
      <c r="AT144" s="269"/>
      <c r="AU144" s="283"/>
    </row>
    <row r="145" spans="1:47" ht="60" customHeight="1" x14ac:dyDescent="0.35">
      <c r="A145" s="279" t="s">
        <v>6754</v>
      </c>
      <c r="B145" s="257" t="s">
        <v>6755</v>
      </c>
      <c r="C145" s="258" t="s">
        <v>6809</v>
      </c>
      <c r="D145" s="261" t="s">
        <v>6810</v>
      </c>
      <c r="E145" s="262" t="s">
        <v>6618</v>
      </c>
      <c r="F145" s="265" t="s">
        <v>6802</v>
      </c>
      <c r="G145" s="268" t="str">
        <f>IF(COUNTIF(H145:AU145,"&lt;&gt;")=0,"",SUMPRODUCT(((Recommendations[ImplStatus]="Implemented")+(Recommendations[ImplStatus]="Compensated"))*ISNUMBER(MATCH(Recommendations[Id],H145:AU145,0)))/COUNTIF(H145:AU145,"&lt;&gt;"))</f>
        <v/>
      </c>
      <c r="H145" s="269"/>
      <c r="I145" s="269"/>
      <c r="J145" s="269"/>
      <c r="K145" s="269"/>
      <c r="L145" s="269"/>
      <c r="M145" s="269"/>
      <c r="N145" s="269"/>
      <c r="O145" s="269"/>
      <c r="P145" s="269"/>
      <c r="Q145" s="269"/>
      <c r="R145" s="269"/>
      <c r="S145" s="269"/>
      <c r="T145" s="269"/>
      <c r="U145" s="269"/>
      <c r="V145" s="269"/>
      <c r="W145" s="269"/>
      <c r="X145" s="269"/>
      <c r="Y145" s="269"/>
      <c r="Z145" s="269"/>
      <c r="AA145" s="269"/>
      <c r="AB145" s="269"/>
      <c r="AC145" s="269"/>
      <c r="AD145" s="269"/>
      <c r="AE145" s="269"/>
      <c r="AF145" s="269"/>
      <c r="AG145" s="269"/>
      <c r="AH145" s="269"/>
      <c r="AI145" s="269"/>
      <c r="AJ145" s="269"/>
      <c r="AK145" s="269"/>
      <c r="AL145" s="269"/>
      <c r="AM145" s="269"/>
      <c r="AN145" s="269"/>
      <c r="AO145" s="269"/>
      <c r="AP145" s="269"/>
      <c r="AQ145" s="269"/>
      <c r="AR145" s="269"/>
      <c r="AS145" s="269"/>
      <c r="AT145" s="269"/>
      <c r="AU145" s="283"/>
    </row>
    <row r="146" spans="1:47" ht="60" customHeight="1" x14ac:dyDescent="0.35">
      <c r="A146" s="279" t="s">
        <v>6754</v>
      </c>
      <c r="B146" s="257" t="s">
        <v>6755</v>
      </c>
      <c r="C146" s="258" t="s">
        <v>6811</v>
      </c>
      <c r="D146" s="261" t="s">
        <v>6812</v>
      </c>
      <c r="E146" s="262" t="s">
        <v>6618</v>
      </c>
      <c r="F146" s="265" t="s">
        <v>6802</v>
      </c>
      <c r="G146" s="268" t="str">
        <f>IF(COUNTIF(H146:AU146,"&lt;&gt;")=0,"",SUMPRODUCT(((Recommendations[ImplStatus]="Implemented")+(Recommendations[ImplStatus]="Compensated"))*ISNUMBER(MATCH(Recommendations[Id],H146:AU146,0)))/COUNTIF(H146:AU146,"&lt;&gt;"))</f>
        <v/>
      </c>
      <c r="H146" s="269"/>
      <c r="I146" s="269"/>
      <c r="J146" s="269"/>
      <c r="K146" s="269"/>
      <c r="L146" s="269"/>
      <c r="M146" s="269"/>
      <c r="N146" s="269"/>
      <c r="O146" s="269"/>
      <c r="P146" s="269"/>
      <c r="Q146" s="269"/>
      <c r="R146" s="269"/>
      <c r="S146" s="269"/>
      <c r="T146" s="269"/>
      <c r="U146" s="269"/>
      <c r="V146" s="269"/>
      <c r="W146" s="269"/>
      <c r="X146" s="269"/>
      <c r="Y146" s="269"/>
      <c r="Z146" s="269"/>
      <c r="AA146" s="269"/>
      <c r="AB146" s="269"/>
      <c r="AC146" s="269"/>
      <c r="AD146" s="269"/>
      <c r="AE146" s="269"/>
      <c r="AF146" s="269"/>
      <c r="AG146" s="269"/>
      <c r="AH146" s="269"/>
      <c r="AI146" s="269"/>
      <c r="AJ146" s="269"/>
      <c r="AK146" s="269"/>
      <c r="AL146" s="269"/>
      <c r="AM146" s="269"/>
      <c r="AN146" s="269"/>
      <c r="AO146" s="269"/>
      <c r="AP146" s="269"/>
      <c r="AQ146" s="269"/>
      <c r="AR146" s="269"/>
      <c r="AS146" s="269"/>
      <c r="AT146" s="269"/>
      <c r="AU146" s="283"/>
    </row>
    <row r="147" spans="1:47" ht="60" customHeight="1" outlineLevel="2" x14ac:dyDescent="0.35">
      <c r="A147" s="278" t="s">
        <v>6754</v>
      </c>
      <c r="B147" s="256" t="s">
        <v>6813</v>
      </c>
      <c r="C147" s="256"/>
      <c r="D147" s="260"/>
      <c r="E147" s="256"/>
      <c r="F147" s="264"/>
      <c r="G147" s="267" t="str">
        <f>IF(COUNTIF(H147:AU147,"&lt;&gt;")=0,"",SUMPRODUCT(((Recommendations[ImplStatus]="Implemented")+(Recommendations[ImplStatus]="Compensated"))*ISNUMBER(MATCH(Recommendations[Id],H147:AU147,0)))/COUNTIF(H147:AU147,"&lt;&gt;"))</f>
        <v/>
      </c>
      <c r="H147" s="264"/>
      <c r="I147" s="264"/>
      <c r="J147" s="264"/>
      <c r="K147" s="264"/>
      <c r="L147" s="264"/>
      <c r="M147" s="264"/>
      <c r="N147" s="264"/>
      <c r="O147" s="264"/>
      <c r="P147" s="264"/>
      <c r="Q147" s="264"/>
      <c r="R147" s="264"/>
      <c r="S147" s="264"/>
      <c r="T147" s="264"/>
      <c r="U147" s="264"/>
      <c r="V147" s="264"/>
      <c r="W147" s="264"/>
      <c r="X147" s="264"/>
      <c r="Y147" s="264"/>
      <c r="Z147" s="264"/>
      <c r="AA147" s="264"/>
      <c r="AB147" s="264"/>
      <c r="AC147" s="264"/>
      <c r="AD147" s="264"/>
      <c r="AE147" s="264"/>
      <c r="AF147" s="264"/>
      <c r="AG147" s="264"/>
      <c r="AH147" s="264"/>
      <c r="AI147" s="264"/>
      <c r="AJ147" s="264"/>
      <c r="AK147" s="264"/>
      <c r="AL147" s="264"/>
      <c r="AM147" s="264"/>
      <c r="AN147" s="264"/>
      <c r="AO147" s="264"/>
      <c r="AP147" s="264"/>
      <c r="AQ147" s="264"/>
      <c r="AR147" s="264"/>
      <c r="AS147" s="264"/>
      <c r="AT147" s="264"/>
      <c r="AU147" s="282"/>
    </row>
    <row r="148" spans="1:47" ht="60" customHeight="1" x14ac:dyDescent="0.35">
      <c r="A148" s="279" t="s">
        <v>6754</v>
      </c>
      <c r="B148" s="257" t="s">
        <v>6813</v>
      </c>
      <c r="C148" s="258" t="s">
        <v>6814</v>
      </c>
      <c r="D148" s="261" t="s">
        <v>6815</v>
      </c>
      <c r="E148" s="262" t="s">
        <v>6551</v>
      </c>
      <c r="F148" s="265" t="s">
        <v>6816</v>
      </c>
      <c r="G148" s="268" t="str">
        <f>IF(COUNTIF(H148:AU148,"&lt;&gt;")=0,"",SUMPRODUCT(((Recommendations[ImplStatus]="Implemented")+(Recommendations[ImplStatus]="Compensated"))*ISNUMBER(MATCH(Recommendations[Id],H148:AU148,0)))/COUNTIF(H148:AU148,"&lt;&gt;"))</f>
        <v/>
      </c>
      <c r="H148" s="269"/>
      <c r="I148" s="269"/>
      <c r="J148" s="269"/>
      <c r="K148" s="269"/>
      <c r="L148" s="269"/>
      <c r="M148" s="269"/>
      <c r="N148" s="269"/>
      <c r="O148" s="269"/>
      <c r="P148" s="269"/>
      <c r="Q148" s="269"/>
      <c r="R148" s="269"/>
      <c r="S148" s="269"/>
      <c r="T148" s="269"/>
      <c r="U148" s="269"/>
      <c r="V148" s="269"/>
      <c r="W148" s="269"/>
      <c r="X148" s="269"/>
      <c r="Y148" s="269"/>
      <c r="Z148" s="269"/>
      <c r="AA148" s="269"/>
      <c r="AB148" s="269"/>
      <c r="AC148" s="269"/>
      <c r="AD148" s="269"/>
      <c r="AE148" s="269"/>
      <c r="AF148" s="269"/>
      <c r="AG148" s="269"/>
      <c r="AH148" s="269"/>
      <c r="AI148" s="269"/>
      <c r="AJ148" s="269"/>
      <c r="AK148" s="269"/>
      <c r="AL148" s="269"/>
      <c r="AM148" s="269"/>
      <c r="AN148" s="269"/>
      <c r="AO148" s="269"/>
      <c r="AP148" s="269"/>
      <c r="AQ148" s="269"/>
      <c r="AR148" s="269"/>
      <c r="AS148" s="269"/>
      <c r="AT148" s="269"/>
      <c r="AU148" s="283"/>
    </row>
    <row r="149" spans="1:47" ht="60" customHeight="1" x14ac:dyDescent="0.35">
      <c r="A149" s="279" t="s">
        <v>6754</v>
      </c>
      <c r="B149" s="257" t="s">
        <v>6813</v>
      </c>
      <c r="C149" s="258" t="s">
        <v>6817</v>
      </c>
      <c r="D149" s="261" t="s">
        <v>6818</v>
      </c>
      <c r="E149" s="262" t="s">
        <v>6551</v>
      </c>
      <c r="F149" s="265" t="s">
        <v>6816</v>
      </c>
      <c r="G149" s="268" t="str">
        <f>IF(COUNTIF(H149:AU149,"&lt;&gt;")=0,"",SUMPRODUCT(((Recommendations[ImplStatus]="Implemented")+(Recommendations[ImplStatus]="Compensated"))*ISNUMBER(MATCH(Recommendations[Id],H149:AU149,0)))/COUNTIF(H149:AU149,"&lt;&gt;"))</f>
        <v/>
      </c>
      <c r="H149" s="269"/>
      <c r="I149" s="269"/>
      <c r="J149" s="269"/>
      <c r="K149" s="269"/>
      <c r="L149" s="269"/>
      <c r="M149" s="269"/>
      <c r="N149" s="269"/>
      <c r="O149" s="269"/>
      <c r="P149" s="269"/>
      <c r="Q149" s="269"/>
      <c r="R149" s="269"/>
      <c r="S149" s="269"/>
      <c r="T149" s="269"/>
      <c r="U149" s="269"/>
      <c r="V149" s="269"/>
      <c r="W149" s="269"/>
      <c r="X149" s="269"/>
      <c r="Y149" s="269"/>
      <c r="Z149" s="269"/>
      <c r="AA149" s="269"/>
      <c r="AB149" s="269"/>
      <c r="AC149" s="269"/>
      <c r="AD149" s="269"/>
      <c r="AE149" s="269"/>
      <c r="AF149" s="269"/>
      <c r="AG149" s="269"/>
      <c r="AH149" s="269"/>
      <c r="AI149" s="269"/>
      <c r="AJ149" s="269"/>
      <c r="AK149" s="269"/>
      <c r="AL149" s="269"/>
      <c r="AM149" s="269"/>
      <c r="AN149" s="269"/>
      <c r="AO149" s="269"/>
      <c r="AP149" s="269"/>
      <c r="AQ149" s="269"/>
      <c r="AR149" s="269"/>
      <c r="AS149" s="269"/>
      <c r="AT149" s="269"/>
      <c r="AU149" s="283"/>
    </row>
    <row r="150" spans="1:47" ht="60" customHeight="1" x14ac:dyDescent="0.35">
      <c r="A150" s="279" t="s">
        <v>6754</v>
      </c>
      <c r="B150" s="257" t="s">
        <v>6813</v>
      </c>
      <c r="C150" s="258" t="s">
        <v>6819</v>
      </c>
      <c r="D150" s="261" t="s">
        <v>6820</v>
      </c>
      <c r="E150" s="262" t="s">
        <v>6551</v>
      </c>
      <c r="F150" s="265" t="s">
        <v>6816</v>
      </c>
      <c r="G150" s="268" t="str">
        <f>IF(COUNTIF(H150:AU150,"&lt;&gt;")=0,"",SUMPRODUCT(((Recommendations[ImplStatus]="Implemented")+(Recommendations[ImplStatus]="Compensated"))*ISNUMBER(MATCH(Recommendations[Id],H150:AU150,0)))/COUNTIF(H150:AU150,"&lt;&gt;"))</f>
        <v/>
      </c>
      <c r="H150" s="269"/>
      <c r="I150" s="269"/>
      <c r="J150" s="269"/>
      <c r="K150" s="269"/>
      <c r="L150" s="269"/>
      <c r="M150" s="269"/>
      <c r="N150" s="269"/>
      <c r="O150" s="269"/>
      <c r="P150" s="269"/>
      <c r="Q150" s="269"/>
      <c r="R150" s="269"/>
      <c r="S150" s="269"/>
      <c r="T150" s="269"/>
      <c r="U150" s="269"/>
      <c r="V150" s="269"/>
      <c r="W150" s="269"/>
      <c r="X150" s="269"/>
      <c r="Y150" s="269"/>
      <c r="Z150" s="269"/>
      <c r="AA150" s="269"/>
      <c r="AB150" s="269"/>
      <c r="AC150" s="269"/>
      <c r="AD150" s="269"/>
      <c r="AE150" s="269"/>
      <c r="AF150" s="269"/>
      <c r="AG150" s="269"/>
      <c r="AH150" s="269"/>
      <c r="AI150" s="269"/>
      <c r="AJ150" s="269"/>
      <c r="AK150" s="269"/>
      <c r="AL150" s="269"/>
      <c r="AM150" s="269"/>
      <c r="AN150" s="269"/>
      <c r="AO150" s="269"/>
      <c r="AP150" s="269"/>
      <c r="AQ150" s="269"/>
      <c r="AR150" s="269"/>
      <c r="AS150" s="269"/>
      <c r="AT150" s="269"/>
      <c r="AU150" s="283"/>
    </row>
    <row r="151" spans="1:47" ht="60" customHeight="1" x14ac:dyDescent="0.35">
      <c r="A151" s="279" t="s">
        <v>6754</v>
      </c>
      <c r="B151" s="257" t="s">
        <v>6813</v>
      </c>
      <c r="C151" s="258" t="s">
        <v>6821</v>
      </c>
      <c r="D151" s="261" t="s">
        <v>6822</v>
      </c>
      <c r="E151" s="262" t="s">
        <v>6551</v>
      </c>
      <c r="F151" s="265" t="s">
        <v>6816</v>
      </c>
      <c r="G151" s="268" t="str">
        <f>IF(COUNTIF(H151:AU151,"&lt;&gt;")=0,"",SUMPRODUCT(((Recommendations[ImplStatus]="Implemented")+(Recommendations[ImplStatus]="Compensated"))*ISNUMBER(MATCH(Recommendations[Id],H151:AU151,0)))/COUNTIF(H151:AU151,"&lt;&gt;"))</f>
        <v/>
      </c>
      <c r="H151" s="269"/>
      <c r="I151" s="269"/>
      <c r="J151" s="269"/>
      <c r="K151" s="269"/>
      <c r="L151" s="269"/>
      <c r="M151" s="269"/>
      <c r="N151" s="269"/>
      <c r="O151" s="269"/>
      <c r="P151" s="269"/>
      <c r="Q151" s="269"/>
      <c r="R151" s="269"/>
      <c r="S151" s="269"/>
      <c r="T151" s="269"/>
      <c r="U151" s="269"/>
      <c r="V151" s="269"/>
      <c r="W151" s="269"/>
      <c r="X151" s="269"/>
      <c r="Y151" s="269"/>
      <c r="Z151" s="269"/>
      <c r="AA151" s="269"/>
      <c r="AB151" s="269"/>
      <c r="AC151" s="269"/>
      <c r="AD151" s="269"/>
      <c r="AE151" s="269"/>
      <c r="AF151" s="269"/>
      <c r="AG151" s="269"/>
      <c r="AH151" s="269"/>
      <c r="AI151" s="269"/>
      <c r="AJ151" s="269"/>
      <c r="AK151" s="269"/>
      <c r="AL151" s="269"/>
      <c r="AM151" s="269"/>
      <c r="AN151" s="269"/>
      <c r="AO151" s="269"/>
      <c r="AP151" s="269"/>
      <c r="AQ151" s="269"/>
      <c r="AR151" s="269"/>
      <c r="AS151" s="269"/>
      <c r="AT151" s="269"/>
      <c r="AU151" s="283"/>
    </row>
    <row r="152" spans="1:47" ht="60" customHeight="1" x14ac:dyDescent="0.35">
      <c r="A152" s="279" t="s">
        <v>6754</v>
      </c>
      <c r="B152" s="257" t="s">
        <v>6813</v>
      </c>
      <c r="C152" s="258" t="s">
        <v>6823</v>
      </c>
      <c r="D152" s="261" t="s">
        <v>6824</v>
      </c>
      <c r="E152" s="262" t="s">
        <v>6551</v>
      </c>
      <c r="F152" s="265" t="s">
        <v>6816</v>
      </c>
      <c r="G152" s="268" t="str">
        <f>IF(COUNTIF(H152:AU152,"&lt;&gt;")=0,"",SUMPRODUCT(((Recommendations[ImplStatus]="Implemented")+(Recommendations[ImplStatus]="Compensated"))*ISNUMBER(MATCH(Recommendations[Id],H152:AU152,0)))/COUNTIF(H152:AU152,"&lt;&gt;"))</f>
        <v/>
      </c>
      <c r="H152" s="269"/>
      <c r="I152" s="269"/>
      <c r="J152" s="269"/>
      <c r="K152" s="269"/>
      <c r="L152" s="269"/>
      <c r="M152" s="269"/>
      <c r="N152" s="269"/>
      <c r="O152" s="269"/>
      <c r="P152" s="269"/>
      <c r="Q152" s="269"/>
      <c r="R152" s="269"/>
      <c r="S152" s="269"/>
      <c r="T152" s="269"/>
      <c r="U152" s="269"/>
      <c r="V152" s="269"/>
      <c r="W152" s="269"/>
      <c r="X152" s="269"/>
      <c r="Y152" s="269"/>
      <c r="Z152" s="269"/>
      <c r="AA152" s="269"/>
      <c r="AB152" s="269"/>
      <c r="AC152" s="269"/>
      <c r="AD152" s="269"/>
      <c r="AE152" s="269"/>
      <c r="AF152" s="269"/>
      <c r="AG152" s="269"/>
      <c r="AH152" s="269"/>
      <c r="AI152" s="269"/>
      <c r="AJ152" s="269"/>
      <c r="AK152" s="269"/>
      <c r="AL152" s="269"/>
      <c r="AM152" s="269"/>
      <c r="AN152" s="269"/>
      <c r="AO152" s="269"/>
      <c r="AP152" s="269"/>
      <c r="AQ152" s="269"/>
      <c r="AR152" s="269"/>
      <c r="AS152" s="269"/>
      <c r="AT152" s="269"/>
      <c r="AU152" s="283"/>
    </row>
    <row r="153" spans="1:47" ht="60" customHeight="1" x14ac:dyDescent="0.35">
      <c r="A153" s="279" t="s">
        <v>6754</v>
      </c>
      <c r="B153" s="257" t="s">
        <v>6813</v>
      </c>
      <c r="C153" s="258" t="s">
        <v>6825</v>
      </c>
      <c r="D153" s="261" t="s">
        <v>6826</v>
      </c>
      <c r="E153" s="262" t="s">
        <v>6551</v>
      </c>
      <c r="F153" s="265" t="s">
        <v>6816</v>
      </c>
      <c r="G153" s="268" t="str">
        <f>IF(COUNTIF(H153:AU153,"&lt;&gt;")=0,"",SUMPRODUCT(((Recommendations[ImplStatus]="Implemented")+(Recommendations[ImplStatus]="Compensated"))*ISNUMBER(MATCH(Recommendations[Id],H153:AU153,0)))/COUNTIF(H153:AU153,"&lt;&gt;"))</f>
        <v/>
      </c>
      <c r="H153" s="269"/>
      <c r="I153" s="269"/>
      <c r="J153" s="269"/>
      <c r="K153" s="269"/>
      <c r="L153" s="269"/>
      <c r="M153" s="269"/>
      <c r="N153" s="269"/>
      <c r="O153" s="269"/>
      <c r="P153" s="269"/>
      <c r="Q153" s="269"/>
      <c r="R153" s="269"/>
      <c r="S153" s="269"/>
      <c r="T153" s="269"/>
      <c r="U153" s="269"/>
      <c r="V153" s="269"/>
      <c r="W153" s="269"/>
      <c r="X153" s="269"/>
      <c r="Y153" s="269"/>
      <c r="Z153" s="269"/>
      <c r="AA153" s="269"/>
      <c r="AB153" s="269"/>
      <c r="AC153" s="269"/>
      <c r="AD153" s="269"/>
      <c r="AE153" s="269"/>
      <c r="AF153" s="269"/>
      <c r="AG153" s="269"/>
      <c r="AH153" s="269"/>
      <c r="AI153" s="269"/>
      <c r="AJ153" s="269"/>
      <c r="AK153" s="269"/>
      <c r="AL153" s="269"/>
      <c r="AM153" s="269"/>
      <c r="AN153" s="269"/>
      <c r="AO153" s="269"/>
      <c r="AP153" s="269"/>
      <c r="AQ153" s="269"/>
      <c r="AR153" s="269"/>
      <c r="AS153" s="269"/>
      <c r="AT153" s="269"/>
      <c r="AU153" s="283"/>
    </row>
    <row r="154" spans="1:47" ht="60" customHeight="1" x14ac:dyDescent="0.35">
      <c r="A154" s="279" t="s">
        <v>6754</v>
      </c>
      <c r="B154" s="257" t="s">
        <v>6813</v>
      </c>
      <c r="C154" s="258" t="s">
        <v>6827</v>
      </c>
      <c r="D154" s="261" t="s">
        <v>6828</v>
      </c>
      <c r="E154" s="262" t="s">
        <v>6551</v>
      </c>
      <c r="F154" s="265" t="s">
        <v>6816</v>
      </c>
      <c r="G154" s="268" t="str">
        <f>IF(COUNTIF(H154:AU154,"&lt;&gt;")=0,"",SUMPRODUCT(((Recommendations[ImplStatus]="Implemented")+(Recommendations[ImplStatus]="Compensated"))*ISNUMBER(MATCH(Recommendations[Id],H154:AU154,0)))/COUNTIF(H154:AU154,"&lt;&gt;"))</f>
        <v/>
      </c>
      <c r="H154" s="269"/>
      <c r="I154" s="269"/>
      <c r="J154" s="269"/>
      <c r="K154" s="269"/>
      <c r="L154" s="269"/>
      <c r="M154" s="269"/>
      <c r="N154" s="269"/>
      <c r="O154" s="269"/>
      <c r="P154" s="269"/>
      <c r="Q154" s="269"/>
      <c r="R154" s="269"/>
      <c r="S154" s="269"/>
      <c r="T154" s="269"/>
      <c r="U154" s="269"/>
      <c r="V154" s="269"/>
      <c r="W154" s="269"/>
      <c r="X154" s="269"/>
      <c r="Y154" s="269"/>
      <c r="Z154" s="269"/>
      <c r="AA154" s="269"/>
      <c r="AB154" s="269"/>
      <c r="AC154" s="269"/>
      <c r="AD154" s="269"/>
      <c r="AE154" s="269"/>
      <c r="AF154" s="269"/>
      <c r="AG154" s="269"/>
      <c r="AH154" s="269"/>
      <c r="AI154" s="269"/>
      <c r="AJ154" s="269"/>
      <c r="AK154" s="269"/>
      <c r="AL154" s="269"/>
      <c r="AM154" s="269"/>
      <c r="AN154" s="269"/>
      <c r="AO154" s="269"/>
      <c r="AP154" s="269"/>
      <c r="AQ154" s="269"/>
      <c r="AR154" s="269"/>
      <c r="AS154" s="269"/>
      <c r="AT154" s="269"/>
      <c r="AU154" s="283"/>
    </row>
    <row r="155" spans="1:47" ht="60" customHeight="1" x14ac:dyDescent="0.35">
      <c r="A155" s="279" t="s">
        <v>6754</v>
      </c>
      <c r="B155" s="257" t="s">
        <v>6813</v>
      </c>
      <c r="C155" s="258" t="s">
        <v>6829</v>
      </c>
      <c r="D155" s="261" t="s">
        <v>6830</v>
      </c>
      <c r="E155" s="262" t="s">
        <v>6551</v>
      </c>
      <c r="F155" s="265" t="s">
        <v>6816</v>
      </c>
      <c r="G155" s="268" t="str">
        <f>IF(COUNTIF(H155:AU155,"&lt;&gt;")=0,"",SUMPRODUCT(((Recommendations[ImplStatus]="Implemented")+(Recommendations[ImplStatus]="Compensated"))*ISNUMBER(MATCH(Recommendations[Id],H155:AU155,0)))/COUNTIF(H155:AU155,"&lt;&gt;"))</f>
        <v/>
      </c>
      <c r="H155" s="269"/>
      <c r="I155" s="269"/>
      <c r="J155" s="269"/>
      <c r="K155" s="269"/>
      <c r="L155" s="269"/>
      <c r="M155" s="269"/>
      <c r="N155" s="269"/>
      <c r="O155" s="269"/>
      <c r="P155" s="269"/>
      <c r="Q155" s="269"/>
      <c r="R155" s="269"/>
      <c r="S155" s="269"/>
      <c r="T155" s="269"/>
      <c r="U155" s="269"/>
      <c r="V155" s="269"/>
      <c r="W155" s="269"/>
      <c r="X155" s="269"/>
      <c r="Y155" s="269"/>
      <c r="Z155" s="269"/>
      <c r="AA155" s="269"/>
      <c r="AB155" s="269"/>
      <c r="AC155" s="269"/>
      <c r="AD155" s="269"/>
      <c r="AE155" s="269"/>
      <c r="AF155" s="269"/>
      <c r="AG155" s="269"/>
      <c r="AH155" s="269"/>
      <c r="AI155" s="269"/>
      <c r="AJ155" s="269"/>
      <c r="AK155" s="269"/>
      <c r="AL155" s="269"/>
      <c r="AM155" s="269"/>
      <c r="AN155" s="269"/>
      <c r="AO155" s="269"/>
      <c r="AP155" s="269"/>
      <c r="AQ155" s="269"/>
      <c r="AR155" s="269"/>
      <c r="AS155" s="269"/>
      <c r="AT155" s="269"/>
      <c r="AU155" s="283"/>
    </row>
    <row r="156" spans="1:47" ht="60" customHeight="1" x14ac:dyDescent="0.35">
      <c r="A156" s="279" t="s">
        <v>6754</v>
      </c>
      <c r="B156" s="257" t="s">
        <v>6813</v>
      </c>
      <c r="C156" s="258" t="s">
        <v>6831</v>
      </c>
      <c r="D156" s="261" t="s">
        <v>6832</v>
      </c>
      <c r="E156" s="262" t="s">
        <v>6551</v>
      </c>
      <c r="F156" s="265" t="s">
        <v>6816</v>
      </c>
      <c r="G156" s="268" t="str">
        <f>IF(COUNTIF(H156:AU156,"&lt;&gt;")=0,"",SUMPRODUCT(((Recommendations[ImplStatus]="Implemented")+(Recommendations[ImplStatus]="Compensated"))*ISNUMBER(MATCH(Recommendations[Id],H156:AU156,0)))/COUNTIF(H156:AU156,"&lt;&gt;"))</f>
        <v/>
      </c>
      <c r="H156" s="269"/>
      <c r="I156" s="269"/>
      <c r="J156" s="269"/>
      <c r="K156" s="269"/>
      <c r="L156" s="269"/>
      <c r="M156" s="269"/>
      <c r="N156" s="269"/>
      <c r="O156" s="269"/>
      <c r="P156" s="269"/>
      <c r="Q156" s="269"/>
      <c r="R156" s="269"/>
      <c r="S156" s="269"/>
      <c r="T156" s="269"/>
      <c r="U156" s="269"/>
      <c r="V156" s="269"/>
      <c r="W156" s="269"/>
      <c r="X156" s="269"/>
      <c r="Y156" s="269"/>
      <c r="Z156" s="269"/>
      <c r="AA156" s="269"/>
      <c r="AB156" s="269"/>
      <c r="AC156" s="269"/>
      <c r="AD156" s="269"/>
      <c r="AE156" s="269"/>
      <c r="AF156" s="269"/>
      <c r="AG156" s="269"/>
      <c r="AH156" s="269"/>
      <c r="AI156" s="269"/>
      <c r="AJ156" s="269"/>
      <c r="AK156" s="269"/>
      <c r="AL156" s="269"/>
      <c r="AM156" s="269"/>
      <c r="AN156" s="269"/>
      <c r="AO156" s="269"/>
      <c r="AP156" s="269"/>
      <c r="AQ156" s="269"/>
      <c r="AR156" s="269"/>
      <c r="AS156" s="269"/>
      <c r="AT156" s="269"/>
      <c r="AU156" s="283"/>
    </row>
    <row r="157" spans="1:47" ht="60" customHeight="1" x14ac:dyDescent="0.35">
      <c r="A157" s="279" t="s">
        <v>6754</v>
      </c>
      <c r="B157" s="257" t="s">
        <v>6813</v>
      </c>
      <c r="C157" s="258" t="s">
        <v>6833</v>
      </c>
      <c r="D157" s="261" t="s">
        <v>6834</v>
      </c>
      <c r="E157" s="262" t="s">
        <v>6551</v>
      </c>
      <c r="F157" s="265" t="s">
        <v>6816</v>
      </c>
      <c r="G157" s="268" t="str">
        <f>IF(COUNTIF(H157:AU157,"&lt;&gt;")=0,"",SUMPRODUCT(((Recommendations[ImplStatus]="Implemented")+(Recommendations[ImplStatus]="Compensated"))*ISNUMBER(MATCH(Recommendations[Id],H157:AU157,0)))/COUNTIF(H157:AU157,"&lt;&gt;"))</f>
        <v/>
      </c>
      <c r="H157" s="269"/>
      <c r="I157" s="269"/>
      <c r="J157" s="269"/>
      <c r="K157" s="269"/>
      <c r="L157" s="269"/>
      <c r="M157" s="269"/>
      <c r="N157" s="269"/>
      <c r="O157" s="269"/>
      <c r="P157" s="269"/>
      <c r="Q157" s="269"/>
      <c r="R157" s="269"/>
      <c r="S157" s="269"/>
      <c r="T157" s="269"/>
      <c r="U157" s="269"/>
      <c r="V157" s="269"/>
      <c r="W157" s="269"/>
      <c r="X157" s="269"/>
      <c r="Y157" s="269"/>
      <c r="Z157" s="269"/>
      <c r="AA157" s="269"/>
      <c r="AB157" s="269"/>
      <c r="AC157" s="269"/>
      <c r="AD157" s="269"/>
      <c r="AE157" s="269"/>
      <c r="AF157" s="269"/>
      <c r="AG157" s="269"/>
      <c r="AH157" s="269"/>
      <c r="AI157" s="269"/>
      <c r="AJ157" s="269"/>
      <c r="AK157" s="269"/>
      <c r="AL157" s="269"/>
      <c r="AM157" s="269"/>
      <c r="AN157" s="269"/>
      <c r="AO157" s="269"/>
      <c r="AP157" s="269"/>
      <c r="AQ157" s="269"/>
      <c r="AR157" s="269"/>
      <c r="AS157" s="269"/>
      <c r="AT157" s="269"/>
      <c r="AU157" s="283"/>
    </row>
    <row r="158" spans="1:47" ht="60" customHeight="1" x14ac:dyDescent="0.35">
      <c r="A158" s="279" t="s">
        <v>6754</v>
      </c>
      <c r="B158" s="257" t="s">
        <v>6813</v>
      </c>
      <c r="C158" s="258" t="s">
        <v>6835</v>
      </c>
      <c r="D158" s="261" t="s">
        <v>6836</v>
      </c>
      <c r="E158" s="262" t="s">
        <v>6551</v>
      </c>
      <c r="F158" s="265" t="s">
        <v>6816</v>
      </c>
      <c r="G158" s="268" t="str">
        <f>IF(COUNTIF(H158:AU158,"&lt;&gt;")=0,"",SUMPRODUCT(((Recommendations[ImplStatus]="Implemented")+(Recommendations[ImplStatus]="Compensated"))*ISNUMBER(MATCH(Recommendations[Id],H158:AU158,0)))/COUNTIF(H158:AU158,"&lt;&gt;"))</f>
        <v/>
      </c>
      <c r="H158" s="269"/>
      <c r="I158" s="269"/>
      <c r="J158" s="269"/>
      <c r="K158" s="269"/>
      <c r="L158" s="269"/>
      <c r="M158" s="269"/>
      <c r="N158" s="269"/>
      <c r="O158" s="269"/>
      <c r="P158" s="269"/>
      <c r="Q158" s="269"/>
      <c r="R158" s="269"/>
      <c r="S158" s="269"/>
      <c r="T158" s="269"/>
      <c r="U158" s="269"/>
      <c r="V158" s="269"/>
      <c r="W158" s="269"/>
      <c r="X158" s="269"/>
      <c r="Y158" s="269"/>
      <c r="Z158" s="269"/>
      <c r="AA158" s="269"/>
      <c r="AB158" s="269"/>
      <c r="AC158" s="269"/>
      <c r="AD158" s="269"/>
      <c r="AE158" s="269"/>
      <c r="AF158" s="269"/>
      <c r="AG158" s="269"/>
      <c r="AH158" s="269"/>
      <c r="AI158" s="269"/>
      <c r="AJ158" s="269"/>
      <c r="AK158" s="269"/>
      <c r="AL158" s="269"/>
      <c r="AM158" s="269"/>
      <c r="AN158" s="269"/>
      <c r="AO158" s="269"/>
      <c r="AP158" s="269"/>
      <c r="AQ158" s="269"/>
      <c r="AR158" s="269"/>
      <c r="AS158" s="269"/>
      <c r="AT158" s="269"/>
      <c r="AU158" s="283"/>
    </row>
    <row r="159" spans="1:47" ht="60" customHeight="1" x14ac:dyDescent="0.35">
      <c r="A159" s="279" t="s">
        <v>6754</v>
      </c>
      <c r="B159" s="257" t="s">
        <v>6813</v>
      </c>
      <c r="C159" s="258" t="s">
        <v>6837</v>
      </c>
      <c r="D159" s="261" t="s">
        <v>6838</v>
      </c>
      <c r="E159" s="262" t="s">
        <v>6551</v>
      </c>
      <c r="F159" s="265" t="s">
        <v>6816</v>
      </c>
      <c r="G159" s="268" t="str">
        <f>IF(COUNTIF(H159:AU159,"&lt;&gt;")=0,"",SUMPRODUCT(((Recommendations[ImplStatus]="Implemented")+(Recommendations[ImplStatus]="Compensated"))*ISNUMBER(MATCH(Recommendations[Id],H159:AU159,0)))/COUNTIF(H159:AU159,"&lt;&gt;"))</f>
        <v/>
      </c>
      <c r="H159" s="269"/>
      <c r="I159" s="269"/>
      <c r="J159" s="269"/>
      <c r="K159" s="269"/>
      <c r="L159" s="269"/>
      <c r="M159" s="269"/>
      <c r="N159" s="269"/>
      <c r="O159" s="269"/>
      <c r="P159" s="269"/>
      <c r="Q159" s="269"/>
      <c r="R159" s="269"/>
      <c r="S159" s="269"/>
      <c r="T159" s="269"/>
      <c r="U159" s="269"/>
      <c r="V159" s="269"/>
      <c r="W159" s="269"/>
      <c r="X159" s="269"/>
      <c r="Y159" s="269"/>
      <c r="Z159" s="269"/>
      <c r="AA159" s="269"/>
      <c r="AB159" s="269"/>
      <c r="AC159" s="269"/>
      <c r="AD159" s="269"/>
      <c r="AE159" s="269"/>
      <c r="AF159" s="269"/>
      <c r="AG159" s="269"/>
      <c r="AH159" s="269"/>
      <c r="AI159" s="269"/>
      <c r="AJ159" s="269"/>
      <c r="AK159" s="269"/>
      <c r="AL159" s="269"/>
      <c r="AM159" s="269"/>
      <c r="AN159" s="269"/>
      <c r="AO159" s="269"/>
      <c r="AP159" s="269"/>
      <c r="AQ159" s="269"/>
      <c r="AR159" s="269"/>
      <c r="AS159" s="269"/>
      <c r="AT159" s="269"/>
      <c r="AU159" s="283"/>
    </row>
    <row r="160" spans="1:47" ht="60" customHeight="1" x14ac:dyDescent="0.35">
      <c r="A160" s="279" t="s">
        <v>6754</v>
      </c>
      <c r="B160" s="257" t="s">
        <v>6813</v>
      </c>
      <c r="C160" s="258" t="s">
        <v>6839</v>
      </c>
      <c r="D160" s="261" t="s">
        <v>6840</v>
      </c>
      <c r="E160" s="262" t="s">
        <v>6551</v>
      </c>
      <c r="F160" s="265" t="s">
        <v>6841</v>
      </c>
      <c r="G160" s="268" t="str">
        <f>IF(COUNTIF(H160:AU160,"&lt;&gt;")=0,"",SUMPRODUCT(((Recommendations[ImplStatus]="Implemented")+(Recommendations[ImplStatus]="Compensated"))*ISNUMBER(MATCH(Recommendations[Id],H160:AU160,0)))/COUNTIF(H160:AU160,"&lt;&gt;"))</f>
        <v/>
      </c>
      <c r="H160" s="269"/>
      <c r="I160" s="269"/>
      <c r="J160" s="269"/>
      <c r="K160" s="269"/>
      <c r="L160" s="269"/>
      <c r="M160" s="269"/>
      <c r="N160" s="269"/>
      <c r="O160" s="269"/>
      <c r="P160" s="269"/>
      <c r="Q160" s="269"/>
      <c r="R160" s="269"/>
      <c r="S160" s="269"/>
      <c r="T160" s="269"/>
      <c r="U160" s="269"/>
      <c r="V160" s="269"/>
      <c r="W160" s="269"/>
      <c r="X160" s="269"/>
      <c r="Y160" s="269"/>
      <c r="Z160" s="269"/>
      <c r="AA160" s="269"/>
      <c r="AB160" s="269"/>
      <c r="AC160" s="269"/>
      <c r="AD160" s="269"/>
      <c r="AE160" s="269"/>
      <c r="AF160" s="269"/>
      <c r="AG160" s="269"/>
      <c r="AH160" s="269"/>
      <c r="AI160" s="269"/>
      <c r="AJ160" s="269"/>
      <c r="AK160" s="269"/>
      <c r="AL160" s="269"/>
      <c r="AM160" s="269"/>
      <c r="AN160" s="269"/>
      <c r="AO160" s="269"/>
      <c r="AP160" s="269"/>
      <c r="AQ160" s="269"/>
      <c r="AR160" s="269"/>
      <c r="AS160" s="269"/>
      <c r="AT160" s="269"/>
      <c r="AU160" s="283"/>
    </row>
    <row r="161" spans="1:47" ht="60" customHeight="1" x14ac:dyDescent="0.35">
      <c r="A161" s="279" t="s">
        <v>6754</v>
      </c>
      <c r="B161" s="257" t="s">
        <v>6813</v>
      </c>
      <c r="C161" s="258" t="s">
        <v>6842</v>
      </c>
      <c r="D161" s="261" t="s">
        <v>6843</v>
      </c>
      <c r="E161" s="262" t="s">
        <v>6551</v>
      </c>
      <c r="F161" s="265" t="s">
        <v>6841</v>
      </c>
      <c r="G161" s="268" t="str">
        <f>IF(COUNTIF(H161:AU161,"&lt;&gt;")=0,"",SUMPRODUCT(((Recommendations[ImplStatus]="Implemented")+(Recommendations[ImplStatus]="Compensated"))*ISNUMBER(MATCH(Recommendations[Id],H161:AU161,0)))/COUNTIF(H161:AU161,"&lt;&gt;"))</f>
        <v/>
      </c>
      <c r="H161" s="269"/>
      <c r="I161" s="269"/>
      <c r="J161" s="269"/>
      <c r="K161" s="269"/>
      <c r="L161" s="269"/>
      <c r="M161" s="269"/>
      <c r="N161" s="269"/>
      <c r="O161" s="269"/>
      <c r="P161" s="269"/>
      <c r="Q161" s="269"/>
      <c r="R161" s="269"/>
      <c r="S161" s="269"/>
      <c r="T161" s="269"/>
      <c r="U161" s="269"/>
      <c r="V161" s="269"/>
      <c r="W161" s="269"/>
      <c r="X161" s="269"/>
      <c r="Y161" s="269"/>
      <c r="Z161" s="269"/>
      <c r="AA161" s="269"/>
      <c r="AB161" s="269"/>
      <c r="AC161" s="269"/>
      <c r="AD161" s="269"/>
      <c r="AE161" s="269"/>
      <c r="AF161" s="269"/>
      <c r="AG161" s="269"/>
      <c r="AH161" s="269"/>
      <c r="AI161" s="269"/>
      <c r="AJ161" s="269"/>
      <c r="AK161" s="269"/>
      <c r="AL161" s="269"/>
      <c r="AM161" s="269"/>
      <c r="AN161" s="269"/>
      <c r="AO161" s="269"/>
      <c r="AP161" s="269"/>
      <c r="AQ161" s="269"/>
      <c r="AR161" s="269"/>
      <c r="AS161" s="269"/>
      <c r="AT161" s="269"/>
      <c r="AU161" s="283"/>
    </row>
    <row r="162" spans="1:47" ht="60" customHeight="1" x14ac:dyDescent="0.35">
      <c r="A162" s="279" t="s">
        <v>6754</v>
      </c>
      <c r="B162" s="257" t="s">
        <v>6813</v>
      </c>
      <c r="C162" s="258" t="s">
        <v>6844</v>
      </c>
      <c r="D162" s="261" t="s">
        <v>6845</v>
      </c>
      <c r="E162" s="262" t="s">
        <v>6551</v>
      </c>
      <c r="F162" s="265" t="s">
        <v>6841</v>
      </c>
      <c r="G162" s="268" t="str">
        <f>IF(COUNTIF(H162:AU162,"&lt;&gt;")=0,"",SUMPRODUCT(((Recommendations[ImplStatus]="Implemented")+(Recommendations[ImplStatus]="Compensated"))*ISNUMBER(MATCH(Recommendations[Id],H162:AU162,0)))/COUNTIF(H162:AU162,"&lt;&gt;"))</f>
        <v/>
      </c>
      <c r="H162" s="269"/>
      <c r="I162" s="269"/>
      <c r="J162" s="269"/>
      <c r="K162" s="269"/>
      <c r="L162" s="269"/>
      <c r="M162" s="269"/>
      <c r="N162" s="269"/>
      <c r="O162" s="269"/>
      <c r="P162" s="269"/>
      <c r="Q162" s="269"/>
      <c r="R162" s="269"/>
      <c r="S162" s="269"/>
      <c r="T162" s="269"/>
      <c r="U162" s="269"/>
      <c r="V162" s="269"/>
      <c r="W162" s="269"/>
      <c r="X162" s="269"/>
      <c r="Y162" s="269"/>
      <c r="Z162" s="269"/>
      <c r="AA162" s="269"/>
      <c r="AB162" s="269"/>
      <c r="AC162" s="269"/>
      <c r="AD162" s="269"/>
      <c r="AE162" s="269"/>
      <c r="AF162" s="269"/>
      <c r="AG162" s="269"/>
      <c r="AH162" s="269"/>
      <c r="AI162" s="269"/>
      <c r="AJ162" s="269"/>
      <c r="AK162" s="269"/>
      <c r="AL162" s="269"/>
      <c r="AM162" s="269"/>
      <c r="AN162" s="269"/>
      <c r="AO162" s="269"/>
      <c r="AP162" s="269"/>
      <c r="AQ162" s="269"/>
      <c r="AR162" s="269"/>
      <c r="AS162" s="269"/>
      <c r="AT162" s="269"/>
      <c r="AU162" s="283"/>
    </row>
    <row r="163" spans="1:47" ht="60" customHeight="1" x14ac:dyDescent="0.35">
      <c r="A163" s="279" t="s">
        <v>6754</v>
      </c>
      <c r="B163" s="257" t="s">
        <v>6813</v>
      </c>
      <c r="C163" s="258" t="s">
        <v>6846</v>
      </c>
      <c r="D163" s="261" t="s">
        <v>6847</v>
      </c>
      <c r="E163" s="262" t="s">
        <v>6551</v>
      </c>
      <c r="F163" s="265" t="s">
        <v>6841</v>
      </c>
      <c r="G163" s="268" t="str">
        <f>IF(COUNTIF(H163:AU163,"&lt;&gt;")=0,"",SUMPRODUCT(((Recommendations[ImplStatus]="Implemented")+(Recommendations[ImplStatus]="Compensated"))*ISNUMBER(MATCH(Recommendations[Id],H163:AU163,0)))/COUNTIF(H163:AU163,"&lt;&gt;"))</f>
        <v/>
      </c>
      <c r="H163" s="269"/>
      <c r="I163" s="269"/>
      <c r="J163" s="269"/>
      <c r="K163" s="269"/>
      <c r="L163" s="269"/>
      <c r="M163" s="269"/>
      <c r="N163" s="269"/>
      <c r="O163" s="269"/>
      <c r="P163" s="269"/>
      <c r="Q163" s="269"/>
      <c r="R163" s="269"/>
      <c r="S163" s="269"/>
      <c r="T163" s="269"/>
      <c r="U163" s="269"/>
      <c r="V163" s="269"/>
      <c r="W163" s="269"/>
      <c r="X163" s="269"/>
      <c r="Y163" s="269"/>
      <c r="Z163" s="269"/>
      <c r="AA163" s="269"/>
      <c r="AB163" s="269"/>
      <c r="AC163" s="269"/>
      <c r="AD163" s="269"/>
      <c r="AE163" s="269"/>
      <c r="AF163" s="269"/>
      <c r="AG163" s="269"/>
      <c r="AH163" s="269"/>
      <c r="AI163" s="269"/>
      <c r="AJ163" s="269"/>
      <c r="AK163" s="269"/>
      <c r="AL163" s="269"/>
      <c r="AM163" s="269"/>
      <c r="AN163" s="269"/>
      <c r="AO163" s="269"/>
      <c r="AP163" s="269"/>
      <c r="AQ163" s="269"/>
      <c r="AR163" s="269"/>
      <c r="AS163" s="269"/>
      <c r="AT163" s="269"/>
      <c r="AU163" s="283"/>
    </row>
    <row r="164" spans="1:47" ht="60" customHeight="1" x14ac:dyDescent="0.35">
      <c r="A164" s="279" t="s">
        <v>6754</v>
      </c>
      <c r="B164" s="257" t="s">
        <v>6813</v>
      </c>
      <c r="C164" s="258" t="s">
        <v>6848</v>
      </c>
      <c r="D164" s="261" t="s">
        <v>6849</v>
      </c>
      <c r="E164" s="262" t="s">
        <v>6551</v>
      </c>
      <c r="F164" s="265" t="s">
        <v>6841</v>
      </c>
      <c r="G164" s="268" t="str">
        <f>IF(COUNTIF(H164:AU164,"&lt;&gt;")=0,"",SUMPRODUCT(((Recommendations[ImplStatus]="Implemented")+(Recommendations[ImplStatus]="Compensated"))*ISNUMBER(MATCH(Recommendations[Id],H164:AU164,0)))/COUNTIF(H164:AU164,"&lt;&gt;"))</f>
        <v/>
      </c>
      <c r="H164" s="269"/>
      <c r="I164" s="269"/>
      <c r="J164" s="269"/>
      <c r="K164" s="269"/>
      <c r="L164" s="269"/>
      <c r="M164" s="269"/>
      <c r="N164" s="269"/>
      <c r="O164" s="269"/>
      <c r="P164" s="269"/>
      <c r="Q164" s="269"/>
      <c r="R164" s="269"/>
      <c r="S164" s="269"/>
      <c r="T164" s="269"/>
      <c r="U164" s="269"/>
      <c r="V164" s="269"/>
      <c r="W164" s="269"/>
      <c r="X164" s="269"/>
      <c r="Y164" s="269"/>
      <c r="Z164" s="269"/>
      <c r="AA164" s="269"/>
      <c r="AB164" s="269"/>
      <c r="AC164" s="269"/>
      <c r="AD164" s="269"/>
      <c r="AE164" s="269"/>
      <c r="AF164" s="269"/>
      <c r="AG164" s="269"/>
      <c r="AH164" s="269"/>
      <c r="AI164" s="269"/>
      <c r="AJ164" s="269"/>
      <c r="AK164" s="269"/>
      <c r="AL164" s="269"/>
      <c r="AM164" s="269"/>
      <c r="AN164" s="269"/>
      <c r="AO164" s="269"/>
      <c r="AP164" s="269"/>
      <c r="AQ164" s="269"/>
      <c r="AR164" s="269"/>
      <c r="AS164" s="269"/>
      <c r="AT164" s="269"/>
      <c r="AU164" s="283"/>
    </row>
    <row r="165" spans="1:47" ht="60" customHeight="1" outlineLevel="2" x14ac:dyDescent="0.35">
      <c r="A165" s="278" t="s">
        <v>6754</v>
      </c>
      <c r="B165" s="256" t="s">
        <v>6850</v>
      </c>
      <c r="C165" s="256"/>
      <c r="D165" s="260"/>
      <c r="E165" s="256"/>
      <c r="F165" s="264"/>
      <c r="G165" s="267" t="str">
        <f>IF(COUNTIF(H165:AU165,"&lt;&gt;")=0,"",SUMPRODUCT(((Recommendations[ImplStatus]="Implemented")+(Recommendations[ImplStatus]="Compensated"))*ISNUMBER(MATCH(Recommendations[Id],H165:AU165,0)))/COUNTIF(H165:AU165,"&lt;&gt;"))</f>
        <v/>
      </c>
      <c r="H165" s="264"/>
      <c r="I165" s="264"/>
      <c r="J165" s="264"/>
      <c r="K165" s="264"/>
      <c r="L165" s="264"/>
      <c r="M165" s="264"/>
      <c r="N165" s="264"/>
      <c r="O165" s="264"/>
      <c r="P165" s="264"/>
      <c r="Q165" s="264"/>
      <c r="R165" s="264"/>
      <c r="S165" s="264"/>
      <c r="T165" s="264"/>
      <c r="U165" s="264"/>
      <c r="V165" s="264"/>
      <c r="W165" s="264"/>
      <c r="X165" s="264"/>
      <c r="Y165" s="264"/>
      <c r="Z165" s="264"/>
      <c r="AA165" s="264"/>
      <c r="AB165" s="264"/>
      <c r="AC165" s="264"/>
      <c r="AD165" s="264"/>
      <c r="AE165" s="264"/>
      <c r="AF165" s="264"/>
      <c r="AG165" s="264"/>
      <c r="AH165" s="264"/>
      <c r="AI165" s="264"/>
      <c r="AJ165" s="264"/>
      <c r="AK165" s="264"/>
      <c r="AL165" s="264"/>
      <c r="AM165" s="264"/>
      <c r="AN165" s="264"/>
      <c r="AO165" s="264"/>
      <c r="AP165" s="264"/>
      <c r="AQ165" s="264"/>
      <c r="AR165" s="264"/>
      <c r="AS165" s="264"/>
      <c r="AT165" s="264"/>
      <c r="AU165" s="282"/>
    </row>
    <row r="166" spans="1:47" ht="60" customHeight="1" x14ac:dyDescent="0.35">
      <c r="A166" s="279" t="s">
        <v>6754</v>
      </c>
      <c r="B166" s="257" t="s">
        <v>6850</v>
      </c>
      <c r="C166" s="258" t="s">
        <v>6851</v>
      </c>
      <c r="D166" s="261" t="s">
        <v>6852</v>
      </c>
      <c r="E166" s="262" t="s">
        <v>6522</v>
      </c>
      <c r="F166" s="265" t="s">
        <v>6853</v>
      </c>
      <c r="G166" s="268" t="str">
        <f>IF(COUNTIF(H166:AU166,"&lt;&gt;")=0,"",SUMPRODUCT(((Recommendations[ImplStatus]="Implemented")+(Recommendations[ImplStatus]="Compensated"))*ISNUMBER(MATCH(Recommendations[Id],H166:AU166,0)))/COUNTIF(H166:AU166,"&lt;&gt;"))</f>
        <v/>
      </c>
      <c r="H166" s="269"/>
      <c r="I166" s="269"/>
      <c r="J166" s="269"/>
      <c r="K166" s="269"/>
      <c r="L166" s="269"/>
      <c r="M166" s="269"/>
      <c r="N166" s="269"/>
      <c r="O166" s="269"/>
      <c r="P166" s="269"/>
      <c r="Q166" s="269"/>
      <c r="R166" s="269"/>
      <c r="S166" s="269"/>
      <c r="T166" s="269"/>
      <c r="U166" s="269"/>
      <c r="V166" s="269"/>
      <c r="W166" s="269"/>
      <c r="X166" s="269"/>
      <c r="Y166" s="269"/>
      <c r="Z166" s="269"/>
      <c r="AA166" s="269"/>
      <c r="AB166" s="269"/>
      <c r="AC166" s="269"/>
      <c r="AD166" s="269"/>
      <c r="AE166" s="269"/>
      <c r="AF166" s="269"/>
      <c r="AG166" s="269"/>
      <c r="AH166" s="269"/>
      <c r="AI166" s="269"/>
      <c r="AJ166" s="269"/>
      <c r="AK166" s="269"/>
      <c r="AL166" s="269"/>
      <c r="AM166" s="269"/>
      <c r="AN166" s="269"/>
      <c r="AO166" s="269"/>
      <c r="AP166" s="269"/>
      <c r="AQ166" s="269"/>
      <c r="AR166" s="269"/>
      <c r="AS166" s="269"/>
      <c r="AT166" s="269"/>
      <c r="AU166" s="283"/>
    </row>
    <row r="167" spans="1:47" ht="60" customHeight="1" x14ac:dyDescent="0.35">
      <c r="A167" s="279" t="s">
        <v>6754</v>
      </c>
      <c r="B167" s="257" t="s">
        <v>6850</v>
      </c>
      <c r="C167" s="258" t="s">
        <v>6854</v>
      </c>
      <c r="D167" s="261" t="s">
        <v>6855</v>
      </c>
      <c r="E167" s="262" t="s">
        <v>6666</v>
      </c>
      <c r="F167" s="265" t="s">
        <v>6853</v>
      </c>
      <c r="G167" s="268" t="str">
        <f>IF(COUNTIF(H167:AU167,"&lt;&gt;")=0,"",SUMPRODUCT(((Recommendations[ImplStatus]="Implemented")+(Recommendations[ImplStatus]="Compensated"))*ISNUMBER(MATCH(Recommendations[Id],H167:AU167,0)))/COUNTIF(H167:AU167,"&lt;&gt;"))</f>
        <v/>
      </c>
      <c r="H167" s="269"/>
      <c r="I167" s="269"/>
      <c r="J167" s="269"/>
      <c r="K167" s="269"/>
      <c r="L167" s="269"/>
      <c r="M167" s="269"/>
      <c r="N167" s="269"/>
      <c r="O167" s="269"/>
      <c r="P167" s="269"/>
      <c r="Q167" s="269"/>
      <c r="R167" s="269"/>
      <c r="S167" s="269"/>
      <c r="T167" s="269"/>
      <c r="U167" s="269"/>
      <c r="V167" s="269"/>
      <c r="W167" s="269"/>
      <c r="X167" s="269"/>
      <c r="Y167" s="269"/>
      <c r="Z167" s="269"/>
      <c r="AA167" s="269"/>
      <c r="AB167" s="269"/>
      <c r="AC167" s="269"/>
      <c r="AD167" s="269"/>
      <c r="AE167" s="269"/>
      <c r="AF167" s="269"/>
      <c r="AG167" s="269"/>
      <c r="AH167" s="269"/>
      <c r="AI167" s="269"/>
      <c r="AJ167" s="269"/>
      <c r="AK167" s="269"/>
      <c r="AL167" s="269"/>
      <c r="AM167" s="269"/>
      <c r="AN167" s="269"/>
      <c r="AO167" s="269"/>
      <c r="AP167" s="269"/>
      <c r="AQ167" s="269"/>
      <c r="AR167" s="269"/>
      <c r="AS167" s="269"/>
      <c r="AT167" s="269"/>
      <c r="AU167" s="283"/>
    </row>
    <row r="168" spans="1:47" ht="60" customHeight="1" x14ac:dyDescent="0.35">
      <c r="A168" s="279" t="s">
        <v>6754</v>
      </c>
      <c r="B168" s="257" t="s">
        <v>6850</v>
      </c>
      <c r="C168" s="258" t="s">
        <v>6856</v>
      </c>
      <c r="D168" s="261" t="s">
        <v>6857</v>
      </c>
      <c r="E168" s="262" t="s">
        <v>6618</v>
      </c>
      <c r="F168" s="265" t="s">
        <v>6853</v>
      </c>
      <c r="G168" s="268" t="str">
        <f>IF(COUNTIF(H168:AU168,"&lt;&gt;")=0,"",SUMPRODUCT(((Recommendations[ImplStatus]="Implemented")+(Recommendations[ImplStatus]="Compensated"))*ISNUMBER(MATCH(Recommendations[Id],H168:AU168,0)))/COUNTIF(H168:AU168,"&lt;&gt;"))</f>
        <v/>
      </c>
      <c r="H168" s="269"/>
      <c r="I168" s="269"/>
      <c r="J168" s="269"/>
      <c r="K168" s="269"/>
      <c r="L168" s="269"/>
      <c r="M168" s="269"/>
      <c r="N168" s="269"/>
      <c r="O168" s="269"/>
      <c r="P168" s="269"/>
      <c r="Q168" s="269"/>
      <c r="R168" s="269"/>
      <c r="S168" s="269"/>
      <c r="T168" s="269"/>
      <c r="U168" s="269"/>
      <c r="V168" s="269"/>
      <c r="W168" s="269"/>
      <c r="X168" s="269"/>
      <c r="Y168" s="269"/>
      <c r="Z168" s="269"/>
      <c r="AA168" s="269"/>
      <c r="AB168" s="269"/>
      <c r="AC168" s="269"/>
      <c r="AD168" s="269"/>
      <c r="AE168" s="269"/>
      <c r="AF168" s="269"/>
      <c r="AG168" s="269"/>
      <c r="AH168" s="269"/>
      <c r="AI168" s="269"/>
      <c r="AJ168" s="269"/>
      <c r="AK168" s="269"/>
      <c r="AL168" s="269"/>
      <c r="AM168" s="269"/>
      <c r="AN168" s="269"/>
      <c r="AO168" s="269"/>
      <c r="AP168" s="269"/>
      <c r="AQ168" s="269"/>
      <c r="AR168" s="269"/>
      <c r="AS168" s="269"/>
      <c r="AT168" s="269"/>
      <c r="AU168" s="283"/>
    </row>
    <row r="169" spans="1:47" ht="60" customHeight="1" x14ac:dyDescent="0.35">
      <c r="A169" s="279" t="s">
        <v>6754</v>
      </c>
      <c r="B169" s="257" t="s">
        <v>6850</v>
      </c>
      <c r="C169" s="258" t="s">
        <v>6858</v>
      </c>
      <c r="D169" s="261" t="s">
        <v>6859</v>
      </c>
      <c r="E169" s="262" t="s">
        <v>6618</v>
      </c>
      <c r="F169" s="265" t="s">
        <v>6853</v>
      </c>
      <c r="G169" s="268" t="str">
        <f>IF(COUNTIF(H169:AU169,"&lt;&gt;")=0,"",SUMPRODUCT(((Recommendations[ImplStatus]="Implemented")+(Recommendations[ImplStatus]="Compensated"))*ISNUMBER(MATCH(Recommendations[Id],H169:AU169,0)))/COUNTIF(H169:AU169,"&lt;&gt;"))</f>
        <v/>
      </c>
      <c r="H169" s="269"/>
      <c r="I169" s="269"/>
      <c r="J169" s="269"/>
      <c r="K169" s="269"/>
      <c r="L169" s="269"/>
      <c r="M169" s="269"/>
      <c r="N169" s="269"/>
      <c r="O169" s="269"/>
      <c r="P169" s="269"/>
      <c r="Q169" s="269"/>
      <c r="R169" s="269"/>
      <c r="S169" s="269"/>
      <c r="T169" s="269"/>
      <c r="U169" s="269"/>
      <c r="V169" s="269"/>
      <c r="W169" s="269"/>
      <c r="X169" s="269"/>
      <c r="Y169" s="269"/>
      <c r="Z169" s="269"/>
      <c r="AA169" s="269"/>
      <c r="AB169" s="269"/>
      <c r="AC169" s="269"/>
      <c r="AD169" s="269"/>
      <c r="AE169" s="269"/>
      <c r="AF169" s="269"/>
      <c r="AG169" s="269"/>
      <c r="AH169" s="269"/>
      <c r="AI169" s="269"/>
      <c r="AJ169" s="269"/>
      <c r="AK169" s="269"/>
      <c r="AL169" s="269"/>
      <c r="AM169" s="269"/>
      <c r="AN169" s="269"/>
      <c r="AO169" s="269"/>
      <c r="AP169" s="269"/>
      <c r="AQ169" s="269"/>
      <c r="AR169" s="269"/>
      <c r="AS169" s="269"/>
      <c r="AT169" s="269"/>
      <c r="AU169" s="283"/>
    </row>
    <row r="170" spans="1:47" ht="60" customHeight="1" x14ac:dyDescent="0.35">
      <c r="A170" s="279" t="s">
        <v>6754</v>
      </c>
      <c r="B170" s="257" t="s">
        <v>6850</v>
      </c>
      <c r="C170" s="258" t="s">
        <v>6860</v>
      </c>
      <c r="D170" s="261" t="s">
        <v>6861</v>
      </c>
      <c r="E170" s="262" t="s">
        <v>6666</v>
      </c>
      <c r="F170" s="265" t="s">
        <v>6853</v>
      </c>
      <c r="G170" s="268" t="str">
        <f>IF(COUNTIF(H170:AU170,"&lt;&gt;")=0,"",SUMPRODUCT(((Recommendations[ImplStatus]="Implemented")+(Recommendations[ImplStatus]="Compensated"))*ISNUMBER(MATCH(Recommendations[Id],H170:AU170,0)))/COUNTIF(H170:AU170,"&lt;&gt;"))</f>
        <v/>
      </c>
      <c r="H170" s="269"/>
      <c r="I170" s="269"/>
      <c r="J170" s="269"/>
      <c r="K170" s="269"/>
      <c r="L170" s="269"/>
      <c r="M170" s="269"/>
      <c r="N170" s="269"/>
      <c r="O170" s="269"/>
      <c r="P170" s="269"/>
      <c r="Q170" s="269"/>
      <c r="R170" s="269"/>
      <c r="S170" s="269"/>
      <c r="T170" s="269"/>
      <c r="U170" s="269"/>
      <c r="V170" s="269"/>
      <c r="W170" s="269"/>
      <c r="X170" s="269"/>
      <c r="Y170" s="269"/>
      <c r="Z170" s="269"/>
      <c r="AA170" s="269"/>
      <c r="AB170" s="269"/>
      <c r="AC170" s="269"/>
      <c r="AD170" s="269"/>
      <c r="AE170" s="269"/>
      <c r="AF170" s="269"/>
      <c r="AG170" s="269"/>
      <c r="AH170" s="269"/>
      <c r="AI170" s="269"/>
      <c r="AJ170" s="269"/>
      <c r="AK170" s="269"/>
      <c r="AL170" s="269"/>
      <c r="AM170" s="269"/>
      <c r="AN170" s="269"/>
      <c r="AO170" s="269"/>
      <c r="AP170" s="269"/>
      <c r="AQ170" s="269"/>
      <c r="AR170" s="269"/>
      <c r="AS170" s="269"/>
      <c r="AT170" s="269"/>
      <c r="AU170" s="283"/>
    </row>
    <row r="171" spans="1:47" ht="60" customHeight="1" x14ac:dyDescent="0.35">
      <c r="A171" s="279" t="s">
        <v>6754</v>
      </c>
      <c r="B171" s="257" t="s">
        <v>6850</v>
      </c>
      <c r="C171" s="258" t="s">
        <v>6862</v>
      </c>
      <c r="D171" s="261" t="s">
        <v>6863</v>
      </c>
      <c r="E171" s="262" t="s">
        <v>6551</v>
      </c>
      <c r="F171" s="265" t="s">
        <v>6853</v>
      </c>
      <c r="G171" s="268" t="str">
        <f>IF(COUNTIF(H171:AU171,"&lt;&gt;")=0,"",SUMPRODUCT(((Recommendations[ImplStatus]="Implemented")+(Recommendations[ImplStatus]="Compensated"))*ISNUMBER(MATCH(Recommendations[Id],H171:AU171,0)))/COUNTIF(H171:AU171,"&lt;&gt;"))</f>
        <v/>
      </c>
      <c r="H171" s="269"/>
      <c r="I171" s="269"/>
      <c r="J171" s="269"/>
      <c r="K171" s="269"/>
      <c r="L171" s="269"/>
      <c r="M171" s="269"/>
      <c r="N171" s="269"/>
      <c r="O171" s="269"/>
      <c r="P171" s="269"/>
      <c r="Q171" s="269"/>
      <c r="R171" s="269"/>
      <c r="S171" s="269"/>
      <c r="T171" s="269"/>
      <c r="U171" s="269"/>
      <c r="V171" s="269"/>
      <c r="W171" s="269"/>
      <c r="X171" s="269"/>
      <c r="Y171" s="269"/>
      <c r="Z171" s="269"/>
      <c r="AA171" s="269"/>
      <c r="AB171" s="269"/>
      <c r="AC171" s="269"/>
      <c r="AD171" s="269"/>
      <c r="AE171" s="269"/>
      <c r="AF171" s="269"/>
      <c r="AG171" s="269"/>
      <c r="AH171" s="269"/>
      <c r="AI171" s="269"/>
      <c r="AJ171" s="269"/>
      <c r="AK171" s="269"/>
      <c r="AL171" s="269"/>
      <c r="AM171" s="269"/>
      <c r="AN171" s="269"/>
      <c r="AO171" s="269"/>
      <c r="AP171" s="269"/>
      <c r="AQ171" s="269"/>
      <c r="AR171" s="269"/>
      <c r="AS171" s="269"/>
      <c r="AT171" s="269"/>
      <c r="AU171" s="283"/>
    </row>
    <row r="172" spans="1:47" ht="60" customHeight="1" x14ac:dyDescent="0.35">
      <c r="A172" s="279" t="s">
        <v>6754</v>
      </c>
      <c r="B172" s="257" t="s">
        <v>6850</v>
      </c>
      <c r="C172" s="258" t="s">
        <v>6864</v>
      </c>
      <c r="D172" s="261" t="s">
        <v>6865</v>
      </c>
      <c r="E172" s="262" t="s">
        <v>6618</v>
      </c>
      <c r="F172" s="265" t="s">
        <v>6853</v>
      </c>
      <c r="G172" s="268" t="str">
        <f>IF(COUNTIF(H172:AU172,"&lt;&gt;")=0,"",SUMPRODUCT(((Recommendations[ImplStatus]="Implemented")+(Recommendations[ImplStatus]="Compensated"))*ISNUMBER(MATCH(Recommendations[Id],H172:AU172,0)))/COUNTIF(H172:AU172,"&lt;&gt;"))</f>
        <v/>
      </c>
      <c r="H172" s="269"/>
      <c r="I172" s="269"/>
      <c r="J172" s="269"/>
      <c r="K172" s="269"/>
      <c r="L172" s="269"/>
      <c r="M172" s="269"/>
      <c r="N172" s="269"/>
      <c r="O172" s="269"/>
      <c r="P172" s="269"/>
      <c r="Q172" s="269"/>
      <c r="R172" s="269"/>
      <c r="S172" s="269"/>
      <c r="T172" s="269"/>
      <c r="U172" s="269"/>
      <c r="V172" s="269"/>
      <c r="W172" s="269"/>
      <c r="X172" s="269"/>
      <c r="Y172" s="269"/>
      <c r="Z172" s="269"/>
      <c r="AA172" s="269"/>
      <c r="AB172" s="269"/>
      <c r="AC172" s="269"/>
      <c r="AD172" s="269"/>
      <c r="AE172" s="269"/>
      <c r="AF172" s="269"/>
      <c r="AG172" s="269"/>
      <c r="AH172" s="269"/>
      <c r="AI172" s="269"/>
      <c r="AJ172" s="269"/>
      <c r="AK172" s="269"/>
      <c r="AL172" s="269"/>
      <c r="AM172" s="269"/>
      <c r="AN172" s="269"/>
      <c r="AO172" s="269"/>
      <c r="AP172" s="269"/>
      <c r="AQ172" s="269"/>
      <c r="AR172" s="269"/>
      <c r="AS172" s="269"/>
      <c r="AT172" s="269"/>
      <c r="AU172" s="283"/>
    </row>
    <row r="173" spans="1:47" ht="60" customHeight="1" x14ac:dyDescent="0.35">
      <c r="A173" s="279" t="s">
        <v>6754</v>
      </c>
      <c r="B173" s="257" t="s">
        <v>6850</v>
      </c>
      <c r="C173" s="258" t="s">
        <v>6866</v>
      </c>
      <c r="D173" s="261" t="s">
        <v>6867</v>
      </c>
      <c r="E173" s="262" t="s">
        <v>6551</v>
      </c>
      <c r="F173" s="265" t="s">
        <v>6853</v>
      </c>
      <c r="G173" s="268" t="str">
        <f>IF(COUNTIF(H173:AU173,"&lt;&gt;")=0,"",SUMPRODUCT(((Recommendations[ImplStatus]="Implemented")+(Recommendations[ImplStatus]="Compensated"))*ISNUMBER(MATCH(Recommendations[Id],H173:AU173,0)))/COUNTIF(H173:AU173,"&lt;&gt;"))</f>
        <v/>
      </c>
      <c r="H173" s="269"/>
      <c r="I173" s="269"/>
      <c r="J173" s="269"/>
      <c r="K173" s="269"/>
      <c r="L173" s="269"/>
      <c r="M173" s="269"/>
      <c r="N173" s="269"/>
      <c r="O173" s="269"/>
      <c r="P173" s="269"/>
      <c r="Q173" s="269"/>
      <c r="R173" s="269"/>
      <c r="S173" s="269"/>
      <c r="T173" s="269"/>
      <c r="U173" s="269"/>
      <c r="V173" s="269"/>
      <c r="W173" s="269"/>
      <c r="X173" s="269"/>
      <c r="Y173" s="269"/>
      <c r="Z173" s="269"/>
      <c r="AA173" s="269"/>
      <c r="AB173" s="269"/>
      <c r="AC173" s="269"/>
      <c r="AD173" s="269"/>
      <c r="AE173" s="269"/>
      <c r="AF173" s="269"/>
      <c r="AG173" s="269"/>
      <c r="AH173" s="269"/>
      <c r="AI173" s="269"/>
      <c r="AJ173" s="269"/>
      <c r="AK173" s="269"/>
      <c r="AL173" s="269"/>
      <c r="AM173" s="269"/>
      <c r="AN173" s="269"/>
      <c r="AO173" s="269"/>
      <c r="AP173" s="269"/>
      <c r="AQ173" s="269"/>
      <c r="AR173" s="269"/>
      <c r="AS173" s="269"/>
      <c r="AT173" s="269"/>
      <c r="AU173" s="283"/>
    </row>
    <row r="174" spans="1:47" ht="60" customHeight="1" x14ac:dyDescent="0.35">
      <c r="A174" s="279" t="s">
        <v>6754</v>
      </c>
      <c r="B174" s="257" t="s">
        <v>6850</v>
      </c>
      <c r="C174" s="258" t="s">
        <v>6868</v>
      </c>
      <c r="D174" s="261" t="s">
        <v>6869</v>
      </c>
      <c r="E174" s="262" t="s">
        <v>6618</v>
      </c>
      <c r="F174" s="265" t="s">
        <v>6853</v>
      </c>
      <c r="G174" s="268" t="str">
        <f>IF(COUNTIF(H174:AU174,"&lt;&gt;")=0,"",SUMPRODUCT(((Recommendations[ImplStatus]="Implemented")+(Recommendations[ImplStatus]="Compensated"))*ISNUMBER(MATCH(Recommendations[Id],H174:AU174,0)))/COUNTIF(H174:AU174,"&lt;&gt;"))</f>
        <v/>
      </c>
      <c r="H174" s="269"/>
      <c r="I174" s="269"/>
      <c r="J174" s="269"/>
      <c r="K174" s="269"/>
      <c r="L174" s="269"/>
      <c r="M174" s="269"/>
      <c r="N174" s="269"/>
      <c r="O174" s="269"/>
      <c r="P174" s="269"/>
      <c r="Q174" s="269"/>
      <c r="R174" s="269"/>
      <c r="S174" s="269"/>
      <c r="T174" s="269"/>
      <c r="U174" s="269"/>
      <c r="V174" s="269"/>
      <c r="W174" s="269"/>
      <c r="X174" s="269"/>
      <c r="Y174" s="269"/>
      <c r="Z174" s="269"/>
      <c r="AA174" s="269"/>
      <c r="AB174" s="269"/>
      <c r="AC174" s="269"/>
      <c r="AD174" s="269"/>
      <c r="AE174" s="269"/>
      <c r="AF174" s="269"/>
      <c r="AG174" s="269"/>
      <c r="AH174" s="269"/>
      <c r="AI174" s="269"/>
      <c r="AJ174" s="269"/>
      <c r="AK174" s="269"/>
      <c r="AL174" s="269"/>
      <c r="AM174" s="269"/>
      <c r="AN174" s="269"/>
      <c r="AO174" s="269"/>
      <c r="AP174" s="269"/>
      <c r="AQ174" s="269"/>
      <c r="AR174" s="269"/>
      <c r="AS174" s="269"/>
      <c r="AT174" s="269"/>
      <c r="AU174" s="283"/>
    </row>
    <row r="175" spans="1:47" ht="60" customHeight="1" x14ac:dyDescent="0.35">
      <c r="A175" s="279" t="s">
        <v>6754</v>
      </c>
      <c r="B175" s="257" t="s">
        <v>6850</v>
      </c>
      <c r="C175" s="258" t="s">
        <v>6870</v>
      </c>
      <c r="D175" s="261" t="s">
        <v>6871</v>
      </c>
      <c r="E175" s="262" t="s">
        <v>6551</v>
      </c>
      <c r="F175" s="265" t="s">
        <v>6853</v>
      </c>
      <c r="G175" s="268" t="str">
        <f>IF(COUNTIF(H175:AU175,"&lt;&gt;")=0,"",SUMPRODUCT(((Recommendations[ImplStatus]="Implemented")+(Recommendations[ImplStatus]="Compensated"))*ISNUMBER(MATCH(Recommendations[Id],H175:AU175,0)))/COUNTIF(H175:AU175,"&lt;&gt;"))</f>
        <v/>
      </c>
      <c r="H175" s="269"/>
      <c r="I175" s="269"/>
      <c r="J175" s="269"/>
      <c r="K175" s="269"/>
      <c r="L175" s="269"/>
      <c r="M175" s="269"/>
      <c r="N175" s="269"/>
      <c r="O175" s="269"/>
      <c r="P175" s="269"/>
      <c r="Q175" s="269"/>
      <c r="R175" s="269"/>
      <c r="S175" s="269"/>
      <c r="T175" s="269"/>
      <c r="U175" s="269"/>
      <c r="V175" s="269"/>
      <c r="W175" s="269"/>
      <c r="X175" s="269"/>
      <c r="Y175" s="269"/>
      <c r="Z175" s="269"/>
      <c r="AA175" s="269"/>
      <c r="AB175" s="269"/>
      <c r="AC175" s="269"/>
      <c r="AD175" s="269"/>
      <c r="AE175" s="269"/>
      <c r="AF175" s="269"/>
      <c r="AG175" s="269"/>
      <c r="AH175" s="269"/>
      <c r="AI175" s="269"/>
      <c r="AJ175" s="269"/>
      <c r="AK175" s="269"/>
      <c r="AL175" s="269"/>
      <c r="AM175" s="269"/>
      <c r="AN175" s="269"/>
      <c r="AO175" s="269"/>
      <c r="AP175" s="269"/>
      <c r="AQ175" s="269"/>
      <c r="AR175" s="269"/>
      <c r="AS175" s="269"/>
      <c r="AT175" s="269"/>
      <c r="AU175" s="283"/>
    </row>
    <row r="176" spans="1:47" ht="60" customHeight="1" x14ac:dyDescent="0.35">
      <c r="A176" s="279" t="s">
        <v>6754</v>
      </c>
      <c r="B176" s="257" t="s">
        <v>6850</v>
      </c>
      <c r="C176" s="258" t="s">
        <v>6872</v>
      </c>
      <c r="D176" s="261" t="s">
        <v>6873</v>
      </c>
      <c r="E176" s="262" t="s">
        <v>6522</v>
      </c>
      <c r="F176" s="265" t="s">
        <v>6853</v>
      </c>
      <c r="G176" s="268" t="str">
        <f>IF(COUNTIF(H176:AU176,"&lt;&gt;")=0,"",SUMPRODUCT(((Recommendations[ImplStatus]="Implemented")+(Recommendations[ImplStatus]="Compensated"))*ISNUMBER(MATCH(Recommendations[Id],H176:AU176,0)))/COUNTIF(H176:AU176,"&lt;&gt;"))</f>
        <v/>
      </c>
      <c r="H176" s="269"/>
      <c r="I176" s="269"/>
      <c r="J176" s="269"/>
      <c r="K176" s="269"/>
      <c r="L176" s="269"/>
      <c r="M176" s="269"/>
      <c r="N176" s="269"/>
      <c r="O176" s="269"/>
      <c r="P176" s="269"/>
      <c r="Q176" s="269"/>
      <c r="R176" s="269"/>
      <c r="S176" s="269"/>
      <c r="T176" s="269"/>
      <c r="U176" s="269"/>
      <c r="V176" s="269"/>
      <c r="W176" s="269"/>
      <c r="X176" s="269"/>
      <c r="Y176" s="269"/>
      <c r="Z176" s="269"/>
      <c r="AA176" s="269"/>
      <c r="AB176" s="269"/>
      <c r="AC176" s="269"/>
      <c r="AD176" s="269"/>
      <c r="AE176" s="269"/>
      <c r="AF176" s="269"/>
      <c r="AG176" s="269"/>
      <c r="AH176" s="269"/>
      <c r="AI176" s="269"/>
      <c r="AJ176" s="269"/>
      <c r="AK176" s="269"/>
      <c r="AL176" s="269"/>
      <c r="AM176" s="269"/>
      <c r="AN176" s="269"/>
      <c r="AO176" s="269"/>
      <c r="AP176" s="269"/>
      <c r="AQ176" s="269"/>
      <c r="AR176" s="269"/>
      <c r="AS176" s="269"/>
      <c r="AT176" s="269"/>
      <c r="AU176" s="283"/>
    </row>
    <row r="177" spans="1:47" ht="60" customHeight="1" x14ac:dyDescent="0.35">
      <c r="A177" s="279" t="s">
        <v>6754</v>
      </c>
      <c r="B177" s="257" t="s">
        <v>6850</v>
      </c>
      <c r="C177" s="258" t="s">
        <v>6874</v>
      </c>
      <c r="D177" s="261" t="s">
        <v>6875</v>
      </c>
      <c r="E177" s="262" t="s">
        <v>6522</v>
      </c>
      <c r="F177" s="265" t="s">
        <v>6853</v>
      </c>
      <c r="G177" s="268" t="str">
        <f>IF(COUNTIF(H177:AU177,"&lt;&gt;")=0,"",SUMPRODUCT(((Recommendations[ImplStatus]="Implemented")+(Recommendations[ImplStatus]="Compensated"))*ISNUMBER(MATCH(Recommendations[Id],H177:AU177,0)))/COUNTIF(H177:AU177,"&lt;&gt;"))</f>
        <v/>
      </c>
      <c r="H177" s="269"/>
      <c r="I177" s="269"/>
      <c r="J177" s="269"/>
      <c r="K177" s="269"/>
      <c r="L177" s="269"/>
      <c r="M177" s="269"/>
      <c r="N177" s="269"/>
      <c r="O177" s="269"/>
      <c r="P177" s="269"/>
      <c r="Q177" s="269"/>
      <c r="R177" s="269"/>
      <c r="S177" s="269"/>
      <c r="T177" s="269"/>
      <c r="U177" s="269"/>
      <c r="V177" s="269"/>
      <c r="W177" s="269"/>
      <c r="X177" s="269"/>
      <c r="Y177" s="269"/>
      <c r="Z177" s="269"/>
      <c r="AA177" s="269"/>
      <c r="AB177" s="269"/>
      <c r="AC177" s="269"/>
      <c r="AD177" s="269"/>
      <c r="AE177" s="269"/>
      <c r="AF177" s="269"/>
      <c r="AG177" s="269"/>
      <c r="AH177" s="269"/>
      <c r="AI177" s="269"/>
      <c r="AJ177" s="269"/>
      <c r="AK177" s="269"/>
      <c r="AL177" s="269"/>
      <c r="AM177" s="269"/>
      <c r="AN177" s="269"/>
      <c r="AO177" s="269"/>
      <c r="AP177" s="269"/>
      <c r="AQ177" s="269"/>
      <c r="AR177" s="269"/>
      <c r="AS177" s="269"/>
      <c r="AT177" s="269"/>
      <c r="AU177" s="283"/>
    </row>
    <row r="178" spans="1:47" ht="60" customHeight="1" x14ac:dyDescent="0.35">
      <c r="A178" s="279" t="s">
        <v>6754</v>
      </c>
      <c r="B178" s="257" t="s">
        <v>6850</v>
      </c>
      <c r="C178" s="258" t="s">
        <v>6876</v>
      </c>
      <c r="D178" s="261" t="s">
        <v>6877</v>
      </c>
      <c r="E178" s="262" t="s">
        <v>6551</v>
      </c>
      <c r="F178" s="265" t="s">
        <v>6853</v>
      </c>
      <c r="G178" s="268" t="str">
        <f>IF(COUNTIF(H178:AU178,"&lt;&gt;")=0,"",SUMPRODUCT(((Recommendations[ImplStatus]="Implemented")+(Recommendations[ImplStatus]="Compensated"))*ISNUMBER(MATCH(Recommendations[Id],H178:AU178,0)))/COUNTIF(H178:AU178,"&lt;&gt;"))</f>
        <v/>
      </c>
      <c r="H178" s="269"/>
      <c r="I178" s="269"/>
      <c r="J178" s="269"/>
      <c r="K178" s="269"/>
      <c r="L178" s="269"/>
      <c r="M178" s="269"/>
      <c r="N178" s="269"/>
      <c r="O178" s="269"/>
      <c r="P178" s="269"/>
      <c r="Q178" s="269"/>
      <c r="R178" s="269"/>
      <c r="S178" s="269"/>
      <c r="T178" s="269"/>
      <c r="U178" s="269"/>
      <c r="V178" s="269"/>
      <c r="W178" s="269"/>
      <c r="X178" s="269"/>
      <c r="Y178" s="269"/>
      <c r="Z178" s="269"/>
      <c r="AA178" s="269"/>
      <c r="AB178" s="269"/>
      <c r="AC178" s="269"/>
      <c r="AD178" s="269"/>
      <c r="AE178" s="269"/>
      <c r="AF178" s="269"/>
      <c r="AG178" s="269"/>
      <c r="AH178" s="269"/>
      <c r="AI178" s="269"/>
      <c r="AJ178" s="269"/>
      <c r="AK178" s="269"/>
      <c r="AL178" s="269"/>
      <c r="AM178" s="269"/>
      <c r="AN178" s="269"/>
      <c r="AO178" s="269"/>
      <c r="AP178" s="269"/>
      <c r="AQ178" s="269"/>
      <c r="AR178" s="269"/>
      <c r="AS178" s="269"/>
      <c r="AT178" s="269"/>
      <c r="AU178" s="283"/>
    </row>
    <row r="179" spans="1:47" ht="60" customHeight="1" x14ac:dyDescent="0.35">
      <c r="A179" s="279" t="s">
        <v>6754</v>
      </c>
      <c r="B179" s="257" t="s">
        <v>6850</v>
      </c>
      <c r="C179" s="258" t="s">
        <v>6878</v>
      </c>
      <c r="D179" s="261" t="s">
        <v>6879</v>
      </c>
      <c r="E179" s="262" t="s">
        <v>6666</v>
      </c>
      <c r="F179" s="265" t="s">
        <v>6853</v>
      </c>
      <c r="G179" s="268" t="str">
        <f>IF(COUNTIF(H179:AU179,"&lt;&gt;")=0,"",SUMPRODUCT(((Recommendations[ImplStatus]="Implemented")+(Recommendations[ImplStatus]="Compensated"))*ISNUMBER(MATCH(Recommendations[Id],H179:AU179,0)))/COUNTIF(H179:AU179,"&lt;&gt;"))</f>
        <v/>
      </c>
      <c r="H179" s="269"/>
      <c r="I179" s="269"/>
      <c r="J179" s="269"/>
      <c r="K179" s="269"/>
      <c r="L179" s="269"/>
      <c r="M179" s="269"/>
      <c r="N179" s="269"/>
      <c r="O179" s="269"/>
      <c r="P179" s="269"/>
      <c r="Q179" s="269"/>
      <c r="R179" s="269"/>
      <c r="S179" s="269"/>
      <c r="T179" s="269"/>
      <c r="U179" s="269"/>
      <c r="V179" s="269"/>
      <c r="W179" s="269"/>
      <c r="X179" s="269"/>
      <c r="Y179" s="269"/>
      <c r="Z179" s="269"/>
      <c r="AA179" s="269"/>
      <c r="AB179" s="269"/>
      <c r="AC179" s="269"/>
      <c r="AD179" s="269"/>
      <c r="AE179" s="269"/>
      <c r="AF179" s="269"/>
      <c r="AG179" s="269"/>
      <c r="AH179" s="269"/>
      <c r="AI179" s="269"/>
      <c r="AJ179" s="269"/>
      <c r="AK179" s="269"/>
      <c r="AL179" s="269"/>
      <c r="AM179" s="269"/>
      <c r="AN179" s="269"/>
      <c r="AO179" s="269"/>
      <c r="AP179" s="269"/>
      <c r="AQ179" s="269"/>
      <c r="AR179" s="269"/>
      <c r="AS179" s="269"/>
      <c r="AT179" s="269"/>
      <c r="AU179" s="283"/>
    </row>
    <row r="180" spans="1:47" ht="60" customHeight="1" x14ac:dyDescent="0.35">
      <c r="A180" s="279" t="s">
        <v>6754</v>
      </c>
      <c r="B180" s="257" t="s">
        <v>6850</v>
      </c>
      <c r="C180" s="258" t="s">
        <v>6880</v>
      </c>
      <c r="D180" s="261" t="s">
        <v>6881</v>
      </c>
      <c r="E180" s="262" t="s">
        <v>6666</v>
      </c>
      <c r="F180" s="265" t="s">
        <v>6853</v>
      </c>
      <c r="G180" s="268" t="str">
        <f>IF(COUNTIF(H180:AU180,"&lt;&gt;")=0,"",SUMPRODUCT(((Recommendations[ImplStatus]="Implemented")+(Recommendations[ImplStatus]="Compensated"))*ISNUMBER(MATCH(Recommendations[Id],H180:AU180,0)))/COUNTIF(H180:AU180,"&lt;&gt;"))</f>
        <v/>
      </c>
      <c r="H180" s="269"/>
      <c r="I180" s="269"/>
      <c r="J180" s="269"/>
      <c r="K180" s="269"/>
      <c r="L180" s="269"/>
      <c r="M180" s="269"/>
      <c r="N180" s="269"/>
      <c r="O180" s="269"/>
      <c r="P180" s="269"/>
      <c r="Q180" s="269"/>
      <c r="R180" s="269"/>
      <c r="S180" s="269"/>
      <c r="T180" s="269"/>
      <c r="U180" s="269"/>
      <c r="V180" s="269"/>
      <c r="W180" s="269"/>
      <c r="X180" s="269"/>
      <c r="Y180" s="269"/>
      <c r="Z180" s="269"/>
      <c r="AA180" s="269"/>
      <c r="AB180" s="269"/>
      <c r="AC180" s="269"/>
      <c r="AD180" s="269"/>
      <c r="AE180" s="269"/>
      <c r="AF180" s="269"/>
      <c r="AG180" s="269"/>
      <c r="AH180" s="269"/>
      <c r="AI180" s="269"/>
      <c r="AJ180" s="269"/>
      <c r="AK180" s="269"/>
      <c r="AL180" s="269"/>
      <c r="AM180" s="269"/>
      <c r="AN180" s="269"/>
      <c r="AO180" s="269"/>
      <c r="AP180" s="269"/>
      <c r="AQ180" s="269"/>
      <c r="AR180" s="269"/>
      <c r="AS180" s="269"/>
      <c r="AT180" s="269"/>
      <c r="AU180" s="283"/>
    </row>
    <row r="181" spans="1:47" ht="60" customHeight="1" outlineLevel="2" x14ac:dyDescent="0.35">
      <c r="A181" s="278" t="s">
        <v>6754</v>
      </c>
      <c r="B181" s="256" t="s">
        <v>6882</v>
      </c>
      <c r="C181" s="256"/>
      <c r="D181" s="260"/>
      <c r="E181" s="256"/>
      <c r="F181" s="264"/>
      <c r="G181" s="267" t="str">
        <f>IF(COUNTIF(H181:AU181,"&lt;&gt;")=0,"",SUMPRODUCT(((Recommendations[ImplStatus]="Implemented")+(Recommendations[ImplStatus]="Compensated"))*ISNUMBER(MATCH(Recommendations[Id],H181:AU181,0)))/COUNTIF(H181:AU181,"&lt;&gt;"))</f>
        <v/>
      </c>
      <c r="H181" s="264"/>
      <c r="I181" s="264"/>
      <c r="J181" s="264"/>
      <c r="K181" s="264"/>
      <c r="L181" s="264"/>
      <c r="M181" s="264"/>
      <c r="N181" s="264"/>
      <c r="O181" s="264"/>
      <c r="P181" s="264"/>
      <c r="Q181" s="264"/>
      <c r="R181" s="264"/>
      <c r="S181" s="264"/>
      <c r="T181" s="264"/>
      <c r="U181" s="264"/>
      <c r="V181" s="264"/>
      <c r="W181" s="264"/>
      <c r="X181" s="264"/>
      <c r="Y181" s="264"/>
      <c r="Z181" s="264"/>
      <c r="AA181" s="264"/>
      <c r="AB181" s="264"/>
      <c r="AC181" s="264"/>
      <c r="AD181" s="264"/>
      <c r="AE181" s="264"/>
      <c r="AF181" s="264"/>
      <c r="AG181" s="264"/>
      <c r="AH181" s="264"/>
      <c r="AI181" s="264"/>
      <c r="AJ181" s="264"/>
      <c r="AK181" s="264"/>
      <c r="AL181" s="264"/>
      <c r="AM181" s="264"/>
      <c r="AN181" s="264"/>
      <c r="AO181" s="264"/>
      <c r="AP181" s="264"/>
      <c r="AQ181" s="264"/>
      <c r="AR181" s="264"/>
      <c r="AS181" s="264"/>
      <c r="AT181" s="264"/>
      <c r="AU181" s="282"/>
    </row>
    <row r="182" spans="1:47" ht="60" customHeight="1" x14ac:dyDescent="0.35">
      <c r="A182" s="279" t="s">
        <v>6754</v>
      </c>
      <c r="B182" s="257" t="s">
        <v>6882</v>
      </c>
      <c r="C182" s="258" t="s">
        <v>6883</v>
      </c>
      <c r="D182" s="261" t="s">
        <v>6884</v>
      </c>
      <c r="E182" s="262" t="s">
        <v>6522</v>
      </c>
      <c r="F182" s="265" t="s">
        <v>6885</v>
      </c>
      <c r="G182" s="268" t="str">
        <f>IF(COUNTIF(H182:AU182,"&lt;&gt;")=0,"",SUMPRODUCT(((Recommendations[ImplStatus]="Implemented")+(Recommendations[ImplStatus]="Compensated"))*ISNUMBER(MATCH(Recommendations[Id],H182:AU182,0)))/COUNTIF(H182:AU182,"&lt;&gt;"))</f>
        <v/>
      </c>
      <c r="H182" s="269"/>
      <c r="I182" s="269"/>
      <c r="J182" s="269"/>
      <c r="K182" s="269"/>
      <c r="L182" s="269"/>
      <c r="M182" s="269"/>
      <c r="N182" s="269"/>
      <c r="O182" s="269"/>
      <c r="P182" s="269"/>
      <c r="Q182" s="269"/>
      <c r="R182" s="269"/>
      <c r="S182" s="269"/>
      <c r="T182" s="269"/>
      <c r="U182" s="269"/>
      <c r="V182" s="269"/>
      <c r="W182" s="269"/>
      <c r="X182" s="269"/>
      <c r="Y182" s="269"/>
      <c r="Z182" s="269"/>
      <c r="AA182" s="269"/>
      <c r="AB182" s="269"/>
      <c r="AC182" s="269"/>
      <c r="AD182" s="269"/>
      <c r="AE182" s="269"/>
      <c r="AF182" s="269"/>
      <c r="AG182" s="269"/>
      <c r="AH182" s="269"/>
      <c r="AI182" s="269"/>
      <c r="AJ182" s="269"/>
      <c r="AK182" s="269"/>
      <c r="AL182" s="269"/>
      <c r="AM182" s="269"/>
      <c r="AN182" s="269"/>
      <c r="AO182" s="269"/>
      <c r="AP182" s="269"/>
      <c r="AQ182" s="269"/>
      <c r="AR182" s="269"/>
      <c r="AS182" s="269"/>
      <c r="AT182" s="269"/>
      <c r="AU182" s="283"/>
    </row>
    <row r="183" spans="1:47" ht="60" customHeight="1" x14ac:dyDescent="0.35">
      <c r="A183" s="279" t="s">
        <v>6754</v>
      </c>
      <c r="B183" s="257" t="s">
        <v>6882</v>
      </c>
      <c r="C183" s="258" t="s">
        <v>6886</v>
      </c>
      <c r="D183" s="261" t="s">
        <v>6887</v>
      </c>
      <c r="E183" s="262" t="s">
        <v>6522</v>
      </c>
      <c r="F183" s="265" t="s">
        <v>6885</v>
      </c>
      <c r="G183" s="268" t="str">
        <f>IF(COUNTIF(H183:AU183,"&lt;&gt;")=0,"",SUMPRODUCT(((Recommendations[ImplStatus]="Implemented")+(Recommendations[ImplStatus]="Compensated"))*ISNUMBER(MATCH(Recommendations[Id],H183:AU183,0)))/COUNTIF(H183:AU183,"&lt;&gt;"))</f>
        <v/>
      </c>
      <c r="H183" s="269"/>
      <c r="I183" s="269"/>
      <c r="J183" s="269"/>
      <c r="K183" s="269"/>
      <c r="L183" s="269"/>
      <c r="M183" s="269"/>
      <c r="N183" s="269"/>
      <c r="O183" s="269"/>
      <c r="P183" s="269"/>
      <c r="Q183" s="269"/>
      <c r="R183" s="269"/>
      <c r="S183" s="269"/>
      <c r="T183" s="269"/>
      <c r="U183" s="269"/>
      <c r="V183" s="269"/>
      <c r="W183" s="269"/>
      <c r="X183" s="269"/>
      <c r="Y183" s="269"/>
      <c r="Z183" s="269"/>
      <c r="AA183" s="269"/>
      <c r="AB183" s="269"/>
      <c r="AC183" s="269"/>
      <c r="AD183" s="269"/>
      <c r="AE183" s="269"/>
      <c r="AF183" s="269"/>
      <c r="AG183" s="269"/>
      <c r="AH183" s="269"/>
      <c r="AI183" s="269"/>
      <c r="AJ183" s="269"/>
      <c r="AK183" s="269"/>
      <c r="AL183" s="269"/>
      <c r="AM183" s="269"/>
      <c r="AN183" s="269"/>
      <c r="AO183" s="269"/>
      <c r="AP183" s="269"/>
      <c r="AQ183" s="269"/>
      <c r="AR183" s="269"/>
      <c r="AS183" s="269"/>
      <c r="AT183" s="269"/>
      <c r="AU183" s="283"/>
    </row>
    <row r="184" spans="1:47" ht="60" customHeight="1" x14ac:dyDescent="0.35">
      <c r="A184" s="279" t="s">
        <v>6754</v>
      </c>
      <c r="B184" s="257" t="s">
        <v>6882</v>
      </c>
      <c r="C184" s="258" t="s">
        <v>6888</v>
      </c>
      <c r="D184" s="261" t="s">
        <v>6889</v>
      </c>
      <c r="E184" s="262" t="s">
        <v>6522</v>
      </c>
      <c r="F184" s="265" t="s">
        <v>6885</v>
      </c>
      <c r="G184" s="268" t="str">
        <f>IF(COUNTIF(H184:AU184,"&lt;&gt;")=0,"",SUMPRODUCT(((Recommendations[ImplStatus]="Implemented")+(Recommendations[ImplStatus]="Compensated"))*ISNUMBER(MATCH(Recommendations[Id],H184:AU184,0)))/COUNTIF(H184:AU184,"&lt;&gt;"))</f>
        <v/>
      </c>
      <c r="H184" s="269"/>
      <c r="I184" s="269"/>
      <c r="J184" s="269"/>
      <c r="K184" s="269"/>
      <c r="L184" s="269"/>
      <c r="M184" s="269"/>
      <c r="N184" s="269"/>
      <c r="O184" s="269"/>
      <c r="P184" s="269"/>
      <c r="Q184" s="269"/>
      <c r="R184" s="269"/>
      <c r="S184" s="269"/>
      <c r="T184" s="269"/>
      <c r="U184" s="269"/>
      <c r="V184" s="269"/>
      <c r="W184" s="269"/>
      <c r="X184" s="269"/>
      <c r="Y184" s="269"/>
      <c r="Z184" s="269"/>
      <c r="AA184" s="269"/>
      <c r="AB184" s="269"/>
      <c r="AC184" s="269"/>
      <c r="AD184" s="269"/>
      <c r="AE184" s="269"/>
      <c r="AF184" s="269"/>
      <c r="AG184" s="269"/>
      <c r="AH184" s="269"/>
      <c r="AI184" s="269"/>
      <c r="AJ184" s="269"/>
      <c r="AK184" s="269"/>
      <c r="AL184" s="269"/>
      <c r="AM184" s="269"/>
      <c r="AN184" s="269"/>
      <c r="AO184" s="269"/>
      <c r="AP184" s="269"/>
      <c r="AQ184" s="269"/>
      <c r="AR184" s="269"/>
      <c r="AS184" s="269"/>
      <c r="AT184" s="269"/>
      <c r="AU184" s="283"/>
    </row>
    <row r="185" spans="1:47" ht="60" customHeight="1" x14ac:dyDescent="0.35">
      <c r="A185" s="279" t="s">
        <v>6754</v>
      </c>
      <c r="B185" s="257" t="s">
        <v>6882</v>
      </c>
      <c r="C185" s="258" t="s">
        <v>6890</v>
      </c>
      <c r="D185" s="261" t="s">
        <v>6891</v>
      </c>
      <c r="E185" s="262" t="s">
        <v>6522</v>
      </c>
      <c r="F185" s="265" t="s">
        <v>6885</v>
      </c>
      <c r="G185" s="268" t="str">
        <f>IF(COUNTIF(H185:AU185,"&lt;&gt;")=0,"",SUMPRODUCT(((Recommendations[ImplStatus]="Implemented")+(Recommendations[ImplStatus]="Compensated"))*ISNUMBER(MATCH(Recommendations[Id],H185:AU185,0)))/COUNTIF(H185:AU185,"&lt;&gt;"))</f>
        <v/>
      </c>
      <c r="H185" s="269"/>
      <c r="I185" s="269"/>
      <c r="J185" s="269"/>
      <c r="K185" s="269"/>
      <c r="L185" s="269"/>
      <c r="M185" s="269"/>
      <c r="N185" s="269"/>
      <c r="O185" s="269"/>
      <c r="P185" s="269"/>
      <c r="Q185" s="269"/>
      <c r="R185" s="269"/>
      <c r="S185" s="269"/>
      <c r="T185" s="269"/>
      <c r="U185" s="269"/>
      <c r="V185" s="269"/>
      <c r="W185" s="269"/>
      <c r="X185" s="269"/>
      <c r="Y185" s="269"/>
      <c r="Z185" s="269"/>
      <c r="AA185" s="269"/>
      <c r="AB185" s="269"/>
      <c r="AC185" s="269"/>
      <c r="AD185" s="269"/>
      <c r="AE185" s="269"/>
      <c r="AF185" s="269"/>
      <c r="AG185" s="269"/>
      <c r="AH185" s="269"/>
      <c r="AI185" s="269"/>
      <c r="AJ185" s="269"/>
      <c r="AK185" s="269"/>
      <c r="AL185" s="269"/>
      <c r="AM185" s="269"/>
      <c r="AN185" s="269"/>
      <c r="AO185" s="269"/>
      <c r="AP185" s="269"/>
      <c r="AQ185" s="269"/>
      <c r="AR185" s="269"/>
      <c r="AS185" s="269"/>
      <c r="AT185" s="269"/>
      <c r="AU185" s="283"/>
    </row>
    <row r="186" spans="1:47" ht="60" customHeight="1" x14ac:dyDescent="0.35">
      <c r="A186" s="279" t="s">
        <v>6754</v>
      </c>
      <c r="B186" s="257" t="s">
        <v>6882</v>
      </c>
      <c r="C186" s="258" t="s">
        <v>6892</v>
      </c>
      <c r="D186" s="261" t="s">
        <v>6893</v>
      </c>
      <c r="E186" s="262" t="s">
        <v>6522</v>
      </c>
      <c r="F186" s="265" t="s">
        <v>6885</v>
      </c>
      <c r="G186" s="268" t="str">
        <f>IF(COUNTIF(H186:AU186,"&lt;&gt;")=0,"",SUMPRODUCT(((Recommendations[ImplStatus]="Implemented")+(Recommendations[ImplStatus]="Compensated"))*ISNUMBER(MATCH(Recommendations[Id],H186:AU186,0)))/COUNTIF(H186:AU186,"&lt;&gt;"))</f>
        <v/>
      </c>
      <c r="H186" s="269"/>
      <c r="I186" s="269"/>
      <c r="J186" s="269"/>
      <c r="K186" s="269"/>
      <c r="L186" s="269"/>
      <c r="M186" s="269"/>
      <c r="N186" s="269"/>
      <c r="O186" s="269"/>
      <c r="P186" s="269"/>
      <c r="Q186" s="269"/>
      <c r="R186" s="269"/>
      <c r="S186" s="269"/>
      <c r="T186" s="269"/>
      <c r="U186" s="269"/>
      <c r="V186" s="269"/>
      <c r="W186" s="269"/>
      <c r="X186" s="269"/>
      <c r="Y186" s="269"/>
      <c r="Z186" s="269"/>
      <c r="AA186" s="269"/>
      <c r="AB186" s="269"/>
      <c r="AC186" s="269"/>
      <c r="AD186" s="269"/>
      <c r="AE186" s="269"/>
      <c r="AF186" s="269"/>
      <c r="AG186" s="269"/>
      <c r="AH186" s="269"/>
      <c r="AI186" s="269"/>
      <c r="AJ186" s="269"/>
      <c r="AK186" s="269"/>
      <c r="AL186" s="269"/>
      <c r="AM186" s="269"/>
      <c r="AN186" s="269"/>
      <c r="AO186" s="269"/>
      <c r="AP186" s="269"/>
      <c r="AQ186" s="269"/>
      <c r="AR186" s="269"/>
      <c r="AS186" s="269"/>
      <c r="AT186" s="269"/>
      <c r="AU186" s="283"/>
    </row>
    <row r="187" spans="1:47" ht="60" customHeight="1" x14ac:dyDescent="0.35">
      <c r="A187" s="279" t="s">
        <v>6754</v>
      </c>
      <c r="B187" s="257" t="s">
        <v>6882</v>
      </c>
      <c r="C187" s="258" t="s">
        <v>6894</v>
      </c>
      <c r="D187" s="261" t="s">
        <v>6895</v>
      </c>
      <c r="E187" s="262" t="s">
        <v>6551</v>
      </c>
      <c r="F187" s="265" t="s">
        <v>6885</v>
      </c>
      <c r="G187" s="268" t="str">
        <f>IF(COUNTIF(H187:AU187,"&lt;&gt;")=0,"",SUMPRODUCT(((Recommendations[ImplStatus]="Implemented")+(Recommendations[ImplStatus]="Compensated"))*ISNUMBER(MATCH(Recommendations[Id],H187:AU187,0)))/COUNTIF(H187:AU187,"&lt;&gt;"))</f>
        <v/>
      </c>
      <c r="H187" s="269"/>
      <c r="I187" s="269"/>
      <c r="J187" s="269"/>
      <c r="K187" s="269"/>
      <c r="L187" s="269"/>
      <c r="M187" s="269"/>
      <c r="N187" s="269"/>
      <c r="O187" s="269"/>
      <c r="P187" s="269"/>
      <c r="Q187" s="269"/>
      <c r="R187" s="269"/>
      <c r="S187" s="269"/>
      <c r="T187" s="269"/>
      <c r="U187" s="269"/>
      <c r="V187" s="269"/>
      <c r="W187" s="269"/>
      <c r="X187" s="269"/>
      <c r="Y187" s="269"/>
      <c r="Z187" s="269"/>
      <c r="AA187" s="269"/>
      <c r="AB187" s="269"/>
      <c r="AC187" s="269"/>
      <c r="AD187" s="269"/>
      <c r="AE187" s="269"/>
      <c r="AF187" s="269"/>
      <c r="AG187" s="269"/>
      <c r="AH187" s="269"/>
      <c r="AI187" s="269"/>
      <c r="AJ187" s="269"/>
      <c r="AK187" s="269"/>
      <c r="AL187" s="269"/>
      <c r="AM187" s="269"/>
      <c r="AN187" s="269"/>
      <c r="AO187" s="269"/>
      <c r="AP187" s="269"/>
      <c r="AQ187" s="269"/>
      <c r="AR187" s="269"/>
      <c r="AS187" s="269"/>
      <c r="AT187" s="269"/>
      <c r="AU187" s="283"/>
    </row>
    <row r="188" spans="1:47" ht="60" customHeight="1" x14ac:dyDescent="0.35">
      <c r="A188" s="279" t="s">
        <v>6754</v>
      </c>
      <c r="B188" s="257" t="s">
        <v>6882</v>
      </c>
      <c r="C188" s="258" t="s">
        <v>6896</v>
      </c>
      <c r="D188" s="261" t="s">
        <v>6897</v>
      </c>
      <c r="E188" s="262" t="s">
        <v>6551</v>
      </c>
      <c r="F188" s="265" t="s">
        <v>6885</v>
      </c>
      <c r="G188" s="268" t="str">
        <f>IF(COUNTIF(H188:AU188,"&lt;&gt;")=0,"",SUMPRODUCT(((Recommendations[ImplStatus]="Implemented")+(Recommendations[ImplStatus]="Compensated"))*ISNUMBER(MATCH(Recommendations[Id],H188:AU188,0)))/COUNTIF(H188:AU188,"&lt;&gt;"))</f>
        <v/>
      </c>
      <c r="H188" s="269"/>
      <c r="I188" s="269"/>
      <c r="J188" s="269"/>
      <c r="K188" s="269"/>
      <c r="L188" s="269"/>
      <c r="M188" s="269"/>
      <c r="N188" s="269"/>
      <c r="O188" s="269"/>
      <c r="P188" s="269"/>
      <c r="Q188" s="269"/>
      <c r="R188" s="269"/>
      <c r="S188" s="269"/>
      <c r="T188" s="269"/>
      <c r="U188" s="269"/>
      <c r="V188" s="269"/>
      <c r="W188" s="269"/>
      <c r="X188" s="269"/>
      <c r="Y188" s="269"/>
      <c r="Z188" s="269"/>
      <c r="AA188" s="269"/>
      <c r="AB188" s="269"/>
      <c r="AC188" s="269"/>
      <c r="AD188" s="269"/>
      <c r="AE188" s="269"/>
      <c r="AF188" s="269"/>
      <c r="AG188" s="269"/>
      <c r="AH188" s="269"/>
      <c r="AI188" s="269"/>
      <c r="AJ188" s="269"/>
      <c r="AK188" s="269"/>
      <c r="AL188" s="269"/>
      <c r="AM188" s="269"/>
      <c r="AN188" s="269"/>
      <c r="AO188" s="269"/>
      <c r="AP188" s="269"/>
      <c r="AQ188" s="269"/>
      <c r="AR188" s="269"/>
      <c r="AS188" s="269"/>
      <c r="AT188" s="269"/>
      <c r="AU188" s="283"/>
    </row>
    <row r="189" spans="1:47" ht="60" customHeight="1" x14ac:dyDescent="0.35">
      <c r="A189" s="279" t="s">
        <v>6754</v>
      </c>
      <c r="B189" s="257" t="s">
        <v>6882</v>
      </c>
      <c r="C189" s="258" t="s">
        <v>6898</v>
      </c>
      <c r="D189" s="261" t="s">
        <v>6899</v>
      </c>
      <c r="E189" s="262" t="s">
        <v>6551</v>
      </c>
      <c r="F189" s="265" t="s">
        <v>6885</v>
      </c>
      <c r="G189" s="268" t="str">
        <f>IF(COUNTIF(H189:AU189,"&lt;&gt;")=0,"",SUMPRODUCT(((Recommendations[ImplStatus]="Implemented")+(Recommendations[ImplStatus]="Compensated"))*ISNUMBER(MATCH(Recommendations[Id],H189:AU189,0)))/COUNTIF(H189:AU189,"&lt;&gt;"))</f>
        <v/>
      </c>
      <c r="H189" s="269"/>
      <c r="I189" s="269"/>
      <c r="J189" s="269"/>
      <c r="K189" s="269"/>
      <c r="L189" s="269"/>
      <c r="M189" s="269"/>
      <c r="N189" s="269"/>
      <c r="O189" s="269"/>
      <c r="P189" s="269"/>
      <c r="Q189" s="269"/>
      <c r="R189" s="269"/>
      <c r="S189" s="269"/>
      <c r="T189" s="269"/>
      <c r="U189" s="269"/>
      <c r="V189" s="269"/>
      <c r="W189" s="269"/>
      <c r="X189" s="269"/>
      <c r="Y189" s="269"/>
      <c r="Z189" s="269"/>
      <c r="AA189" s="269"/>
      <c r="AB189" s="269"/>
      <c r="AC189" s="269"/>
      <c r="AD189" s="269"/>
      <c r="AE189" s="269"/>
      <c r="AF189" s="269"/>
      <c r="AG189" s="269"/>
      <c r="AH189" s="269"/>
      <c r="AI189" s="269"/>
      <c r="AJ189" s="269"/>
      <c r="AK189" s="269"/>
      <c r="AL189" s="269"/>
      <c r="AM189" s="269"/>
      <c r="AN189" s="269"/>
      <c r="AO189" s="269"/>
      <c r="AP189" s="269"/>
      <c r="AQ189" s="269"/>
      <c r="AR189" s="269"/>
      <c r="AS189" s="269"/>
      <c r="AT189" s="269"/>
      <c r="AU189" s="283"/>
    </row>
    <row r="190" spans="1:47" ht="60" customHeight="1" x14ac:dyDescent="0.35">
      <c r="A190" s="279" t="s">
        <v>6754</v>
      </c>
      <c r="B190" s="257" t="s">
        <v>6882</v>
      </c>
      <c r="C190" s="258" t="s">
        <v>6900</v>
      </c>
      <c r="D190" s="261" t="s">
        <v>6901</v>
      </c>
      <c r="E190" s="262" t="s">
        <v>6551</v>
      </c>
      <c r="F190" s="265" t="s">
        <v>6885</v>
      </c>
      <c r="G190" s="268" t="str">
        <f>IF(COUNTIF(H190:AU190,"&lt;&gt;")=0,"",SUMPRODUCT(((Recommendations[ImplStatus]="Implemented")+(Recommendations[ImplStatus]="Compensated"))*ISNUMBER(MATCH(Recommendations[Id],H190:AU190,0)))/COUNTIF(H190:AU190,"&lt;&gt;"))</f>
        <v/>
      </c>
      <c r="H190" s="269"/>
      <c r="I190" s="269"/>
      <c r="J190" s="269"/>
      <c r="K190" s="269"/>
      <c r="L190" s="269"/>
      <c r="M190" s="269"/>
      <c r="N190" s="269"/>
      <c r="O190" s="269"/>
      <c r="P190" s="269"/>
      <c r="Q190" s="269"/>
      <c r="R190" s="269"/>
      <c r="S190" s="269"/>
      <c r="T190" s="269"/>
      <c r="U190" s="269"/>
      <c r="V190" s="269"/>
      <c r="W190" s="269"/>
      <c r="X190" s="269"/>
      <c r="Y190" s="269"/>
      <c r="Z190" s="269"/>
      <c r="AA190" s="269"/>
      <c r="AB190" s="269"/>
      <c r="AC190" s="269"/>
      <c r="AD190" s="269"/>
      <c r="AE190" s="269"/>
      <c r="AF190" s="269"/>
      <c r="AG190" s="269"/>
      <c r="AH190" s="269"/>
      <c r="AI190" s="269"/>
      <c r="AJ190" s="269"/>
      <c r="AK190" s="269"/>
      <c r="AL190" s="269"/>
      <c r="AM190" s="269"/>
      <c r="AN190" s="269"/>
      <c r="AO190" s="269"/>
      <c r="AP190" s="269"/>
      <c r="AQ190" s="269"/>
      <c r="AR190" s="269"/>
      <c r="AS190" s="269"/>
      <c r="AT190" s="269"/>
      <c r="AU190" s="283"/>
    </row>
    <row r="191" spans="1:47" ht="60" customHeight="1" x14ac:dyDescent="0.35">
      <c r="A191" s="279" t="s">
        <v>6754</v>
      </c>
      <c r="B191" s="257" t="s">
        <v>6882</v>
      </c>
      <c r="C191" s="258" t="s">
        <v>6902</v>
      </c>
      <c r="D191" s="261" t="s">
        <v>6903</v>
      </c>
      <c r="E191" s="262" t="s">
        <v>6522</v>
      </c>
      <c r="F191" s="265" t="s">
        <v>6885</v>
      </c>
      <c r="G191" s="268" t="str">
        <f>IF(COUNTIF(H191:AU191,"&lt;&gt;")=0,"",SUMPRODUCT(((Recommendations[ImplStatus]="Implemented")+(Recommendations[ImplStatus]="Compensated"))*ISNUMBER(MATCH(Recommendations[Id],H191:AU191,0)))/COUNTIF(H191:AU191,"&lt;&gt;"))</f>
        <v/>
      </c>
      <c r="H191" s="269"/>
      <c r="I191" s="269"/>
      <c r="J191" s="269"/>
      <c r="K191" s="269"/>
      <c r="L191" s="269"/>
      <c r="M191" s="269"/>
      <c r="N191" s="269"/>
      <c r="O191" s="269"/>
      <c r="P191" s="269"/>
      <c r="Q191" s="269"/>
      <c r="R191" s="269"/>
      <c r="S191" s="269"/>
      <c r="T191" s="269"/>
      <c r="U191" s="269"/>
      <c r="V191" s="269"/>
      <c r="W191" s="269"/>
      <c r="X191" s="269"/>
      <c r="Y191" s="269"/>
      <c r="Z191" s="269"/>
      <c r="AA191" s="269"/>
      <c r="AB191" s="269"/>
      <c r="AC191" s="269"/>
      <c r="AD191" s="269"/>
      <c r="AE191" s="269"/>
      <c r="AF191" s="269"/>
      <c r="AG191" s="269"/>
      <c r="AH191" s="269"/>
      <c r="AI191" s="269"/>
      <c r="AJ191" s="269"/>
      <c r="AK191" s="269"/>
      <c r="AL191" s="269"/>
      <c r="AM191" s="269"/>
      <c r="AN191" s="269"/>
      <c r="AO191" s="269"/>
      <c r="AP191" s="269"/>
      <c r="AQ191" s="269"/>
      <c r="AR191" s="269"/>
      <c r="AS191" s="269"/>
      <c r="AT191" s="269"/>
      <c r="AU191" s="283"/>
    </row>
    <row r="192" spans="1:47" ht="60" customHeight="1" x14ac:dyDescent="0.35">
      <c r="A192" s="279" t="s">
        <v>6754</v>
      </c>
      <c r="B192" s="257" t="s">
        <v>6882</v>
      </c>
      <c r="C192" s="258" t="s">
        <v>6904</v>
      </c>
      <c r="D192" s="261" t="s">
        <v>6905</v>
      </c>
      <c r="E192" s="262" t="s">
        <v>6522</v>
      </c>
      <c r="F192" s="265" t="s">
        <v>6885</v>
      </c>
      <c r="G192" s="268" t="str">
        <f>IF(COUNTIF(H192:AU192,"&lt;&gt;")=0,"",SUMPRODUCT(((Recommendations[ImplStatus]="Implemented")+(Recommendations[ImplStatus]="Compensated"))*ISNUMBER(MATCH(Recommendations[Id],H192:AU192,0)))/COUNTIF(H192:AU192,"&lt;&gt;"))</f>
        <v/>
      </c>
      <c r="H192" s="269"/>
      <c r="I192" s="269"/>
      <c r="J192" s="269"/>
      <c r="K192" s="269"/>
      <c r="L192" s="269"/>
      <c r="M192" s="269"/>
      <c r="N192" s="269"/>
      <c r="O192" s="269"/>
      <c r="P192" s="269"/>
      <c r="Q192" s="269"/>
      <c r="R192" s="269"/>
      <c r="S192" s="269"/>
      <c r="T192" s="269"/>
      <c r="U192" s="269"/>
      <c r="V192" s="269"/>
      <c r="W192" s="269"/>
      <c r="X192" s="269"/>
      <c r="Y192" s="269"/>
      <c r="Z192" s="269"/>
      <c r="AA192" s="269"/>
      <c r="AB192" s="269"/>
      <c r="AC192" s="269"/>
      <c r="AD192" s="269"/>
      <c r="AE192" s="269"/>
      <c r="AF192" s="269"/>
      <c r="AG192" s="269"/>
      <c r="AH192" s="269"/>
      <c r="AI192" s="269"/>
      <c r="AJ192" s="269"/>
      <c r="AK192" s="269"/>
      <c r="AL192" s="269"/>
      <c r="AM192" s="269"/>
      <c r="AN192" s="269"/>
      <c r="AO192" s="269"/>
      <c r="AP192" s="269"/>
      <c r="AQ192" s="269"/>
      <c r="AR192" s="269"/>
      <c r="AS192" s="269"/>
      <c r="AT192" s="269"/>
      <c r="AU192" s="283"/>
    </row>
    <row r="193" spans="1:47" ht="60" customHeight="1" x14ac:dyDescent="0.35">
      <c r="A193" s="279" t="s">
        <v>6754</v>
      </c>
      <c r="B193" s="257" t="s">
        <v>6882</v>
      </c>
      <c r="C193" s="258" t="s">
        <v>6906</v>
      </c>
      <c r="D193" s="261" t="s">
        <v>6907</v>
      </c>
      <c r="E193" s="262" t="s">
        <v>6522</v>
      </c>
      <c r="F193" s="265" t="s">
        <v>6885</v>
      </c>
      <c r="G193" s="268" t="str">
        <f>IF(COUNTIF(H193:AU193,"&lt;&gt;")=0,"",SUMPRODUCT(((Recommendations[ImplStatus]="Implemented")+(Recommendations[ImplStatus]="Compensated"))*ISNUMBER(MATCH(Recommendations[Id],H193:AU193,0)))/COUNTIF(H193:AU193,"&lt;&gt;"))</f>
        <v/>
      </c>
      <c r="H193" s="269"/>
      <c r="I193" s="269"/>
      <c r="J193" s="269"/>
      <c r="K193" s="269"/>
      <c r="L193" s="269"/>
      <c r="M193" s="269"/>
      <c r="N193" s="269"/>
      <c r="O193" s="269"/>
      <c r="P193" s="269"/>
      <c r="Q193" s="269"/>
      <c r="R193" s="269"/>
      <c r="S193" s="269"/>
      <c r="T193" s="269"/>
      <c r="U193" s="269"/>
      <c r="V193" s="269"/>
      <c r="W193" s="269"/>
      <c r="X193" s="269"/>
      <c r="Y193" s="269"/>
      <c r="Z193" s="269"/>
      <c r="AA193" s="269"/>
      <c r="AB193" s="269"/>
      <c r="AC193" s="269"/>
      <c r="AD193" s="269"/>
      <c r="AE193" s="269"/>
      <c r="AF193" s="269"/>
      <c r="AG193" s="269"/>
      <c r="AH193" s="269"/>
      <c r="AI193" s="269"/>
      <c r="AJ193" s="269"/>
      <c r="AK193" s="269"/>
      <c r="AL193" s="269"/>
      <c r="AM193" s="269"/>
      <c r="AN193" s="269"/>
      <c r="AO193" s="269"/>
      <c r="AP193" s="269"/>
      <c r="AQ193" s="269"/>
      <c r="AR193" s="269"/>
      <c r="AS193" s="269"/>
      <c r="AT193" s="269"/>
      <c r="AU193" s="283"/>
    </row>
    <row r="194" spans="1:47" ht="60" customHeight="1" x14ac:dyDescent="0.35">
      <c r="A194" s="279" t="s">
        <v>6754</v>
      </c>
      <c r="B194" s="257" t="s">
        <v>6882</v>
      </c>
      <c r="C194" s="258" t="s">
        <v>6908</v>
      </c>
      <c r="D194" s="261" t="s">
        <v>6909</v>
      </c>
      <c r="E194" s="262" t="s">
        <v>6522</v>
      </c>
      <c r="F194" s="265" t="s">
        <v>6885</v>
      </c>
      <c r="G194" s="268" t="str">
        <f>IF(COUNTIF(H194:AU194,"&lt;&gt;")=0,"",SUMPRODUCT(((Recommendations[ImplStatus]="Implemented")+(Recommendations[ImplStatus]="Compensated"))*ISNUMBER(MATCH(Recommendations[Id],H194:AU194,0)))/COUNTIF(H194:AU194,"&lt;&gt;"))</f>
        <v/>
      </c>
      <c r="H194" s="269"/>
      <c r="I194" s="269"/>
      <c r="J194" s="269"/>
      <c r="K194" s="269"/>
      <c r="L194" s="269"/>
      <c r="M194" s="269"/>
      <c r="N194" s="269"/>
      <c r="O194" s="269"/>
      <c r="P194" s="269"/>
      <c r="Q194" s="269"/>
      <c r="R194" s="269"/>
      <c r="S194" s="269"/>
      <c r="T194" s="269"/>
      <c r="U194" s="269"/>
      <c r="V194" s="269"/>
      <c r="W194" s="269"/>
      <c r="X194" s="269"/>
      <c r="Y194" s="269"/>
      <c r="Z194" s="269"/>
      <c r="AA194" s="269"/>
      <c r="AB194" s="269"/>
      <c r="AC194" s="269"/>
      <c r="AD194" s="269"/>
      <c r="AE194" s="269"/>
      <c r="AF194" s="269"/>
      <c r="AG194" s="269"/>
      <c r="AH194" s="269"/>
      <c r="AI194" s="269"/>
      <c r="AJ194" s="269"/>
      <c r="AK194" s="269"/>
      <c r="AL194" s="269"/>
      <c r="AM194" s="269"/>
      <c r="AN194" s="269"/>
      <c r="AO194" s="269"/>
      <c r="AP194" s="269"/>
      <c r="AQ194" s="269"/>
      <c r="AR194" s="269"/>
      <c r="AS194" s="269"/>
      <c r="AT194" s="269"/>
      <c r="AU194" s="283"/>
    </row>
    <row r="195" spans="1:47" ht="60" customHeight="1" x14ac:dyDescent="0.35">
      <c r="A195" s="279" t="s">
        <v>6754</v>
      </c>
      <c r="B195" s="257" t="s">
        <v>6882</v>
      </c>
      <c r="C195" s="258" t="s">
        <v>6910</v>
      </c>
      <c r="D195" s="261" t="s">
        <v>6911</v>
      </c>
      <c r="E195" s="262" t="s">
        <v>6522</v>
      </c>
      <c r="F195" s="265" t="s">
        <v>6885</v>
      </c>
      <c r="G195" s="268" t="str">
        <f>IF(COUNTIF(H195:AU195,"&lt;&gt;")=0,"",SUMPRODUCT(((Recommendations[ImplStatus]="Implemented")+(Recommendations[ImplStatus]="Compensated"))*ISNUMBER(MATCH(Recommendations[Id],H195:AU195,0)))/COUNTIF(H195:AU195,"&lt;&gt;"))</f>
        <v/>
      </c>
      <c r="H195" s="269"/>
      <c r="I195" s="269"/>
      <c r="J195" s="269"/>
      <c r="K195" s="269"/>
      <c r="L195" s="269"/>
      <c r="M195" s="269"/>
      <c r="N195" s="269"/>
      <c r="O195" s="269"/>
      <c r="P195" s="269"/>
      <c r="Q195" s="269"/>
      <c r="R195" s="269"/>
      <c r="S195" s="269"/>
      <c r="T195" s="269"/>
      <c r="U195" s="269"/>
      <c r="V195" s="269"/>
      <c r="W195" s="269"/>
      <c r="X195" s="269"/>
      <c r="Y195" s="269"/>
      <c r="Z195" s="269"/>
      <c r="AA195" s="269"/>
      <c r="AB195" s="269"/>
      <c r="AC195" s="269"/>
      <c r="AD195" s="269"/>
      <c r="AE195" s="269"/>
      <c r="AF195" s="269"/>
      <c r="AG195" s="269"/>
      <c r="AH195" s="269"/>
      <c r="AI195" s="269"/>
      <c r="AJ195" s="269"/>
      <c r="AK195" s="269"/>
      <c r="AL195" s="269"/>
      <c r="AM195" s="269"/>
      <c r="AN195" s="269"/>
      <c r="AO195" s="269"/>
      <c r="AP195" s="269"/>
      <c r="AQ195" s="269"/>
      <c r="AR195" s="269"/>
      <c r="AS195" s="269"/>
      <c r="AT195" s="269"/>
      <c r="AU195" s="283"/>
    </row>
    <row r="196" spans="1:47" ht="60" customHeight="1" x14ac:dyDescent="0.35">
      <c r="A196" s="279" t="s">
        <v>6754</v>
      </c>
      <c r="B196" s="257" t="s">
        <v>6882</v>
      </c>
      <c r="C196" s="258" t="s">
        <v>6912</v>
      </c>
      <c r="D196" s="261" t="s">
        <v>6913</v>
      </c>
      <c r="E196" s="262" t="s">
        <v>6522</v>
      </c>
      <c r="F196" s="265" t="s">
        <v>6914</v>
      </c>
      <c r="G196" s="268" t="str">
        <f>IF(COUNTIF(H196:AU196,"&lt;&gt;")=0,"",SUMPRODUCT(((Recommendations[ImplStatus]="Implemented")+(Recommendations[ImplStatus]="Compensated"))*ISNUMBER(MATCH(Recommendations[Id],H196:AU196,0)))/COUNTIF(H196:AU196,"&lt;&gt;"))</f>
        <v/>
      </c>
      <c r="H196" s="269"/>
      <c r="I196" s="269"/>
      <c r="J196" s="269"/>
      <c r="K196" s="269"/>
      <c r="L196" s="269"/>
      <c r="M196" s="269"/>
      <c r="N196" s="269"/>
      <c r="O196" s="269"/>
      <c r="P196" s="269"/>
      <c r="Q196" s="269"/>
      <c r="R196" s="269"/>
      <c r="S196" s="269"/>
      <c r="T196" s="269"/>
      <c r="U196" s="269"/>
      <c r="V196" s="269"/>
      <c r="W196" s="269"/>
      <c r="X196" s="269"/>
      <c r="Y196" s="269"/>
      <c r="Z196" s="269"/>
      <c r="AA196" s="269"/>
      <c r="AB196" s="269"/>
      <c r="AC196" s="269"/>
      <c r="AD196" s="269"/>
      <c r="AE196" s="269"/>
      <c r="AF196" s="269"/>
      <c r="AG196" s="269"/>
      <c r="AH196" s="269"/>
      <c r="AI196" s="269"/>
      <c r="AJ196" s="269"/>
      <c r="AK196" s="269"/>
      <c r="AL196" s="269"/>
      <c r="AM196" s="269"/>
      <c r="AN196" s="269"/>
      <c r="AO196" s="269"/>
      <c r="AP196" s="269"/>
      <c r="AQ196" s="269"/>
      <c r="AR196" s="269"/>
      <c r="AS196" s="269"/>
      <c r="AT196" s="269"/>
      <c r="AU196" s="283"/>
    </row>
    <row r="197" spans="1:47" ht="60" customHeight="1" x14ac:dyDescent="0.35">
      <c r="A197" s="279" t="s">
        <v>6754</v>
      </c>
      <c r="B197" s="257" t="s">
        <v>6882</v>
      </c>
      <c r="C197" s="258" t="s">
        <v>6915</v>
      </c>
      <c r="D197" s="261" t="s">
        <v>6916</v>
      </c>
      <c r="E197" s="262" t="s">
        <v>6522</v>
      </c>
      <c r="F197" s="265" t="s">
        <v>6914</v>
      </c>
      <c r="G197" s="268" t="str">
        <f>IF(COUNTIF(H197:AU197,"&lt;&gt;")=0,"",SUMPRODUCT(((Recommendations[ImplStatus]="Implemented")+(Recommendations[ImplStatus]="Compensated"))*ISNUMBER(MATCH(Recommendations[Id],H197:AU197,0)))/COUNTIF(H197:AU197,"&lt;&gt;"))</f>
        <v/>
      </c>
      <c r="H197" s="269"/>
      <c r="I197" s="269"/>
      <c r="J197" s="269"/>
      <c r="K197" s="269"/>
      <c r="L197" s="269"/>
      <c r="M197" s="269"/>
      <c r="N197" s="269"/>
      <c r="O197" s="269"/>
      <c r="P197" s="269"/>
      <c r="Q197" s="269"/>
      <c r="R197" s="269"/>
      <c r="S197" s="269"/>
      <c r="T197" s="269"/>
      <c r="U197" s="269"/>
      <c r="V197" s="269"/>
      <c r="W197" s="269"/>
      <c r="X197" s="269"/>
      <c r="Y197" s="269"/>
      <c r="Z197" s="269"/>
      <c r="AA197" s="269"/>
      <c r="AB197" s="269"/>
      <c r="AC197" s="269"/>
      <c r="AD197" s="269"/>
      <c r="AE197" s="269"/>
      <c r="AF197" s="269"/>
      <c r="AG197" s="269"/>
      <c r="AH197" s="269"/>
      <c r="AI197" s="269"/>
      <c r="AJ197" s="269"/>
      <c r="AK197" s="269"/>
      <c r="AL197" s="269"/>
      <c r="AM197" s="269"/>
      <c r="AN197" s="269"/>
      <c r="AO197" s="269"/>
      <c r="AP197" s="269"/>
      <c r="AQ197" s="269"/>
      <c r="AR197" s="269"/>
      <c r="AS197" s="269"/>
      <c r="AT197" s="269"/>
      <c r="AU197" s="283"/>
    </row>
    <row r="198" spans="1:47" ht="60" customHeight="1" x14ac:dyDescent="0.35">
      <c r="A198" s="279" t="s">
        <v>6754</v>
      </c>
      <c r="B198" s="257" t="s">
        <v>6882</v>
      </c>
      <c r="C198" s="258" t="s">
        <v>6917</v>
      </c>
      <c r="D198" s="261" t="s">
        <v>6918</v>
      </c>
      <c r="E198" s="262" t="s">
        <v>6522</v>
      </c>
      <c r="F198" s="265" t="s">
        <v>6914</v>
      </c>
      <c r="G198" s="268" t="str">
        <f>IF(COUNTIF(H198:AU198,"&lt;&gt;")=0,"",SUMPRODUCT(((Recommendations[ImplStatus]="Implemented")+(Recommendations[ImplStatus]="Compensated"))*ISNUMBER(MATCH(Recommendations[Id],H198:AU198,0)))/COUNTIF(H198:AU198,"&lt;&gt;"))</f>
        <v/>
      </c>
      <c r="H198" s="269"/>
      <c r="I198" s="269"/>
      <c r="J198" s="269"/>
      <c r="K198" s="269"/>
      <c r="L198" s="269"/>
      <c r="M198" s="269"/>
      <c r="N198" s="269"/>
      <c r="O198" s="269"/>
      <c r="P198" s="269"/>
      <c r="Q198" s="269"/>
      <c r="R198" s="269"/>
      <c r="S198" s="269"/>
      <c r="T198" s="269"/>
      <c r="U198" s="269"/>
      <c r="V198" s="269"/>
      <c r="W198" s="269"/>
      <c r="X198" s="269"/>
      <c r="Y198" s="269"/>
      <c r="Z198" s="269"/>
      <c r="AA198" s="269"/>
      <c r="AB198" s="269"/>
      <c r="AC198" s="269"/>
      <c r="AD198" s="269"/>
      <c r="AE198" s="269"/>
      <c r="AF198" s="269"/>
      <c r="AG198" s="269"/>
      <c r="AH198" s="269"/>
      <c r="AI198" s="269"/>
      <c r="AJ198" s="269"/>
      <c r="AK198" s="269"/>
      <c r="AL198" s="269"/>
      <c r="AM198" s="269"/>
      <c r="AN198" s="269"/>
      <c r="AO198" s="269"/>
      <c r="AP198" s="269"/>
      <c r="AQ198" s="269"/>
      <c r="AR198" s="269"/>
      <c r="AS198" s="269"/>
      <c r="AT198" s="269"/>
      <c r="AU198" s="283"/>
    </row>
    <row r="199" spans="1:47" ht="60" customHeight="1" x14ac:dyDescent="0.35">
      <c r="A199" s="279" t="s">
        <v>6754</v>
      </c>
      <c r="B199" s="257" t="s">
        <v>6882</v>
      </c>
      <c r="C199" s="258" t="s">
        <v>6919</v>
      </c>
      <c r="D199" s="261" t="s">
        <v>6920</v>
      </c>
      <c r="E199" s="262" t="s">
        <v>6522</v>
      </c>
      <c r="F199" s="265" t="s">
        <v>6914</v>
      </c>
      <c r="G199" s="268" t="str">
        <f>IF(COUNTIF(H199:AU199,"&lt;&gt;")=0,"",SUMPRODUCT(((Recommendations[ImplStatus]="Implemented")+(Recommendations[ImplStatus]="Compensated"))*ISNUMBER(MATCH(Recommendations[Id],H199:AU199,0)))/COUNTIF(H199:AU199,"&lt;&gt;"))</f>
        <v/>
      </c>
      <c r="H199" s="269"/>
      <c r="I199" s="269"/>
      <c r="J199" s="269"/>
      <c r="K199" s="269"/>
      <c r="L199" s="269"/>
      <c r="M199" s="269"/>
      <c r="N199" s="269"/>
      <c r="O199" s="269"/>
      <c r="P199" s="269"/>
      <c r="Q199" s="269"/>
      <c r="R199" s="269"/>
      <c r="S199" s="269"/>
      <c r="T199" s="269"/>
      <c r="U199" s="269"/>
      <c r="V199" s="269"/>
      <c r="W199" s="269"/>
      <c r="X199" s="269"/>
      <c r="Y199" s="269"/>
      <c r="Z199" s="269"/>
      <c r="AA199" s="269"/>
      <c r="AB199" s="269"/>
      <c r="AC199" s="269"/>
      <c r="AD199" s="269"/>
      <c r="AE199" s="269"/>
      <c r="AF199" s="269"/>
      <c r="AG199" s="269"/>
      <c r="AH199" s="269"/>
      <c r="AI199" s="269"/>
      <c r="AJ199" s="269"/>
      <c r="AK199" s="269"/>
      <c r="AL199" s="269"/>
      <c r="AM199" s="269"/>
      <c r="AN199" s="269"/>
      <c r="AO199" s="269"/>
      <c r="AP199" s="269"/>
      <c r="AQ199" s="269"/>
      <c r="AR199" s="269"/>
      <c r="AS199" s="269"/>
      <c r="AT199" s="269"/>
      <c r="AU199" s="283"/>
    </row>
    <row r="200" spans="1:47" ht="60" customHeight="1" outlineLevel="1" x14ac:dyDescent="0.35">
      <c r="A200" s="277" t="s">
        <v>6921</v>
      </c>
      <c r="B200" s="255"/>
      <c r="C200" s="255"/>
      <c r="D200" s="259"/>
      <c r="E200" s="255"/>
      <c r="F200" s="263"/>
      <c r="G200" s="266" t="str">
        <f>IF(COUNTIF(H200:AU200,"&lt;&gt;")=0,"",SUMPRODUCT(((Recommendations[ImplStatus]="Implemented")+(Recommendations[ImplStatus]="Compensated"))*ISNUMBER(MATCH(Recommendations[Id],H200:AU200,0)))/COUNTIF(H200:AU200,"&lt;&gt;"))</f>
        <v/>
      </c>
      <c r="H200" s="263"/>
      <c r="I200" s="263"/>
      <c r="J200" s="263"/>
      <c r="K200" s="263"/>
      <c r="L200" s="263"/>
      <c r="M200" s="263"/>
      <c r="N200" s="263"/>
      <c r="O200" s="263"/>
      <c r="P200" s="263"/>
      <c r="Q200" s="263"/>
      <c r="R200" s="263"/>
      <c r="S200" s="263"/>
      <c r="T200" s="263"/>
      <c r="U200" s="263"/>
      <c r="V200" s="263"/>
      <c r="W200" s="263"/>
      <c r="X200" s="263"/>
      <c r="Y200" s="263"/>
      <c r="Z200" s="263"/>
      <c r="AA200" s="263"/>
      <c r="AB200" s="263"/>
      <c r="AC200" s="263"/>
      <c r="AD200" s="263"/>
      <c r="AE200" s="263"/>
      <c r="AF200" s="263"/>
      <c r="AG200" s="263"/>
      <c r="AH200" s="263"/>
      <c r="AI200" s="263"/>
      <c r="AJ200" s="263"/>
      <c r="AK200" s="263"/>
      <c r="AL200" s="263"/>
      <c r="AM200" s="263"/>
      <c r="AN200" s="263"/>
      <c r="AO200" s="263"/>
      <c r="AP200" s="263"/>
      <c r="AQ200" s="263"/>
      <c r="AR200" s="263"/>
      <c r="AS200" s="263"/>
      <c r="AT200" s="263"/>
      <c r="AU200" s="281"/>
    </row>
    <row r="201" spans="1:47" ht="60" customHeight="1" outlineLevel="2" x14ac:dyDescent="0.35">
      <c r="A201" s="278" t="s">
        <v>6921</v>
      </c>
      <c r="B201" s="256" t="s">
        <v>6922</v>
      </c>
      <c r="C201" s="256"/>
      <c r="D201" s="260"/>
      <c r="E201" s="256"/>
      <c r="F201" s="264"/>
      <c r="G201" s="267" t="str">
        <f>IF(COUNTIF(H201:AU201,"&lt;&gt;")=0,"",SUMPRODUCT(((Recommendations[ImplStatus]="Implemented")+(Recommendations[ImplStatus]="Compensated"))*ISNUMBER(MATCH(Recommendations[Id],H201:AU201,0)))/COUNTIF(H201:AU201,"&lt;&gt;"))</f>
        <v/>
      </c>
      <c r="H201" s="264"/>
      <c r="I201" s="264"/>
      <c r="J201" s="264"/>
      <c r="K201" s="264"/>
      <c r="L201" s="264"/>
      <c r="M201" s="264"/>
      <c r="N201" s="264"/>
      <c r="O201" s="264"/>
      <c r="P201" s="264"/>
      <c r="Q201" s="264"/>
      <c r="R201" s="264"/>
      <c r="S201" s="264"/>
      <c r="T201" s="264"/>
      <c r="U201" s="264"/>
      <c r="V201" s="264"/>
      <c r="W201" s="264"/>
      <c r="X201" s="264"/>
      <c r="Y201" s="264"/>
      <c r="Z201" s="264"/>
      <c r="AA201" s="264"/>
      <c r="AB201" s="264"/>
      <c r="AC201" s="264"/>
      <c r="AD201" s="264"/>
      <c r="AE201" s="264"/>
      <c r="AF201" s="264"/>
      <c r="AG201" s="264"/>
      <c r="AH201" s="264"/>
      <c r="AI201" s="264"/>
      <c r="AJ201" s="264"/>
      <c r="AK201" s="264"/>
      <c r="AL201" s="264"/>
      <c r="AM201" s="264"/>
      <c r="AN201" s="264"/>
      <c r="AO201" s="264"/>
      <c r="AP201" s="264"/>
      <c r="AQ201" s="264"/>
      <c r="AR201" s="264"/>
      <c r="AS201" s="264"/>
      <c r="AT201" s="264"/>
      <c r="AU201" s="282"/>
    </row>
    <row r="202" spans="1:47" ht="60" customHeight="1" x14ac:dyDescent="0.35">
      <c r="A202" s="279" t="s">
        <v>6921</v>
      </c>
      <c r="B202" s="257" t="s">
        <v>6922</v>
      </c>
      <c r="C202" s="258" t="s">
        <v>6923</v>
      </c>
      <c r="D202" s="261" t="s">
        <v>6924</v>
      </c>
      <c r="E202" s="262" t="s">
        <v>6801</v>
      </c>
      <c r="F202" s="265" t="s">
        <v>6925</v>
      </c>
      <c r="G202" s="268">
        <f>IF(COUNTIF(H202:AU202,"&lt;&gt;")=0,"",SUMPRODUCT(((Recommendations[ImplStatus]="Implemented")+(Recommendations[ImplStatus]="Compensated"))*ISNUMBER(MATCH(Recommendations[Id],H202:AU202,0)))/COUNTIF(H202:AU202,"&lt;&gt;"))</f>
        <v>0</v>
      </c>
      <c r="H202" s="269" t="s">
        <v>230</v>
      </c>
      <c r="I202" s="269" t="s">
        <v>1593</v>
      </c>
      <c r="J202" s="269" t="s">
        <v>1598</v>
      </c>
      <c r="K202" s="269" t="s">
        <v>1670</v>
      </c>
      <c r="L202" s="269"/>
      <c r="M202" s="269"/>
      <c r="N202" s="269"/>
      <c r="O202" s="269"/>
      <c r="P202" s="269"/>
      <c r="Q202" s="269"/>
      <c r="R202" s="269"/>
      <c r="S202" s="269"/>
      <c r="T202" s="269"/>
      <c r="U202" s="269"/>
      <c r="V202" s="269"/>
      <c r="W202" s="269"/>
      <c r="X202" s="269"/>
      <c r="Y202" s="269"/>
      <c r="Z202" s="269"/>
      <c r="AA202" s="269"/>
      <c r="AB202" s="269"/>
      <c r="AC202" s="269"/>
      <c r="AD202" s="269"/>
      <c r="AE202" s="269"/>
      <c r="AF202" s="269"/>
      <c r="AG202" s="269"/>
      <c r="AH202" s="269"/>
      <c r="AI202" s="269"/>
      <c r="AJ202" s="269"/>
      <c r="AK202" s="269"/>
      <c r="AL202" s="269"/>
      <c r="AM202" s="269"/>
      <c r="AN202" s="269"/>
      <c r="AO202" s="269"/>
      <c r="AP202" s="269"/>
      <c r="AQ202" s="269"/>
      <c r="AR202" s="269"/>
      <c r="AS202" s="269"/>
      <c r="AT202" s="269"/>
      <c r="AU202" s="283"/>
    </row>
    <row r="203" spans="1:47" ht="60" customHeight="1" x14ac:dyDescent="0.35">
      <c r="A203" s="279" t="s">
        <v>6921</v>
      </c>
      <c r="B203" s="257" t="s">
        <v>6922</v>
      </c>
      <c r="C203" s="258" t="s">
        <v>6926</v>
      </c>
      <c r="D203" s="261" t="s">
        <v>6927</v>
      </c>
      <c r="E203" s="262" t="s">
        <v>6801</v>
      </c>
      <c r="F203" s="265" t="s">
        <v>6925</v>
      </c>
      <c r="G203" s="268" t="str">
        <f>IF(COUNTIF(H203:AU203,"&lt;&gt;")=0,"",SUMPRODUCT(((Recommendations[ImplStatus]="Implemented")+(Recommendations[ImplStatus]="Compensated"))*ISNUMBER(MATCH(Recommendations[Id],H203:AU203,0)))/COUNTIF(H203:AU203,"&lt;&gt;"))</f>
        <v/>
      </c>
      <c r="H203" s="269"/>
      <c r="I203" s="269"/>
      <c r="J203" s="269"/>
      <c r="K203" s="269"/>
      <c r="L203" s="269"/>
      <c r="M203" s="269"/>
      <c r="N203" s="269"/>
      <c r="O203" s="269"/>
      <c r="P203" s="269"/>
      <c r="Q203" s="269"/>
      <c r="R203" s="269"/>
      <c r="S203" s="269"/>
      <c r="T203" s="269"/>
      <c r="U203" s="269"/>
      <c r="V203" s="269"/>
      <c r="W203" s="269"/>
      <c r="X203" s="269"/>
      <c r="Y203" s="269"/>
      <c r="Z203" s="269"/>
      <c r="AA203" s="269"/>
      <c r="AB203" s="269"/>
      <c r="AC203" s="269"/>
      <c r="AD203" s="269"/>
      <c r="AE203" s="269"/>
      <c r="AF203" s="269"/>
      <c r="AG203" s="269"/>
      <c r="AH203" s="269"/>
      <c r="AI203" s="269"/>
      <c r="AJ203" s="269"/>
      <c r="AK203" s="269"/>
      <c r="AL203" s="269"/>
      <c r="AM203" s="269"/>
      <c r="AN203" s="269"/>
      <c r="AO203" s="269"/>
      <c r="AP203" s="269"/>
      <c r="AQ203" s="269"/>
      <c r="AR203" s="269"/>
      <c r="AS203" s="269"/>
      <c r="AT203" s="269"/>
      <c r="AU203" s="283"/>
    </row>
    <row r="204" spans="1:47" ht="60" customHeight="1" x14ac:dyDescent="0.35">
      <c r="A204" s="279" t="s">
        <v>6921</v>
      </c>
      <c r="B204" s="257" t="s">
        <v>6922</v>
      </c>
      <c r="C204" s="258" t="s">
        <v>6928</v>
      </c>
      <c r="D204" s="261" t="s">
        <v>6929</v>
      </c>
      <c r="E204" s="262" t="s">
        <v>6801</v>
      </c>
      <c r="F204" s="265" t="s">
        <v>6925</v>
      </c>
      <c r="G204" s="268" t="str">
        <f>IF(COUNTIF(H204:AU204,"&lt;&gt;")=0,"",SUMPRODUCT(((Recommendations[ImplStatus]="Implemented")+(Recommendations[ImplStatus]="Compensated"))*ISNUMBER(MATCH(Recommendations[Id],H204:AU204,0)))/COUNTIF(H204:AU204,"&lt;&gt;"))</f>
        <v/>
      </c>
      <c r="H204" s="269"/>
      <c r="I204" s="269"/>
      <c r="J204" s="269"/>
      <c r="K204" s="269"/>
      <c r="L204" s="269"/>
      <c r="M204" s="269"/>
      <c r="N204" s="269"/>
      <c r="O204" s="269"/>
      <c r="P204" s="269"/>
      <c r="Q204" s="269"/>
      <c r="R204" s="269"/>
      <c r="S204" s="269"/>
      <c r="T204" s="269"/>
      <c r="U204" s="269"/>
      <c r="V204" s="269"/>
      <c r="W204" s="269"/>
      <c r="X204" s="269"/>
      <c r="Y204" s="269"/>
      <c r="Z204" s="269"/>
      <c r="AA204" s="269"/>
      <c r="AB204" s="269"/>
      <c r="AC204" s="269"/>
      <c r="AD204" s="269"/>
      <c r="AE204" s="269"/>
      <c r="AF204" s="269"/>
      <c r="AG204" s="269"/>
      <c r="AH204" s="269"/>
      <c r="AI204" s="269"/>
      <c r="AJ204" s="269"/>
      <c r="AK204" s="269"/>
      <c r="AL204" s="269"/>
      <c r="AM204" s="269"/>
      <c r="AN204" s="269"/>
      <c r="AO204" s="269"/>
      <c r="AP204" s="269"/>
      <c r="AQ204" s="269"/>
      <c r="AR204" s="269"/>
      <c r="AS204" s="269"/>
      <c r="AT204" s="269"/>
      <c r="AU204" s="283"/>
    </row>
    <row r="205" spans="1:47" ht="60" customHeight="1" x14ac:dyDescent="0.35">
      <c r="A205" s="279" t="s">
        <v>6921</v>
      </c>
      <c r="B205" s="257" t="s">
        <v>6922</v>
      </c>
      <c r="C205" s="258" t="s">
        <v>6930</v>
      </c>
      <c r="D205" s="261" t="s">
        <v>6931</v>
      </c>
      <c r="E205" s="262" t="s">
        <v>6801</v>
      </c>
      <c r="F205" s="265" t="s">
        <v>6925</v>
      </c>
      <c r="G205" s="268">
        <f>IF(COUNTIF(H205:AU205,"&lt;&gt;")=0,"",SUMPRODUCT(((Recommendations[ImplStatus]="Implemented")+(Recommendations[ImplStatus]="Compensated"))*ISNUMBER(MATCH(Recommendations[Id],H205:AU205,0)))/COUNTIF(H205:AU205,"&lt;&gt;"))</f>
        <v>0</v>
      </c>
      <c r="H205" s="269" t="s">
        <v>43</v>
      </c>
      <c r="I205" s="269"/>
      <c r="J205" s="269"/>
      <c r="K205" s="269"/>
      <c r="L205" s="269"/>
      <c r="M205" s="269"/>
      <c r="N205" s="269"/>
      <c r="O205" s="269"/>
      <c r="P205" s="269"/>
      <c r="Q205" s="269"/>
      <c r="R205" s="269"/>
      <c r="S205" s="269"/>
      <c r="T205" s="269"/>
      <c r="U205" s="269"/>
      <c r="V205" s="269"/>
      <c r="W205" s="269"/>
      <c r="X205" s="269"/>
      <c r="Y205" s="269"/>
      <c r="Z205" s="269"/>
      <c r="AA205" s="269"/>
      <c r="AB205" s="269"/>
      <c r="AC205" s="269"/>
      <c r="AD205" s="269"/>
      <c r="AE205" s="269"/>
      <c r="AF205" s="269"/>
      <c r="AG205" s="269"/>
      <c r="AH205" s="269"/>
      <c r="AI205" s="269"/>
      <c r="AJ205" s="269"/>
      <c r="AK205" s="269"/>
      <c r="AL205" s="269"/>
      <c r="AM205" s="269"/>
      <c r="AN205" s="269"/>
      <c r="AO205" s="269"/>
      <c r="AP205" s="269"/>
      <c r="AQ205" s="269"/>
      <c r="AR205" s="269"/>
      <c r="AS205" s="269"/>
      <c r="AT205" s="269"/>
      <c r="AU205" s="283"/>
    </row>
    <row r="206" spans="1:47" ht="60" customHeight="1" x14ac:dyDescent="0.35">
      <c r="A206" s="279" t="s">
        <v>6921</v>
      </c>
      <c r="B206" s="257" t="s">
        <v>6922</v>
      </c>
      <c r="C206" s="258" t="s">
        <v>6932</v>
      </c>
      <c r="D206" s="261" t="s">
        <v>6933</v>
      </c>
      <c r="E206" s="262" t="s">
        <v>6801</v>
      </c>
      <c r="F206" s="265" t="s">
        <v>6925</v>
      </c>
      <c r="G206" s="268" t="str">
        <f>IF(COUNTIF(H206:AU206,"&lt;&gt;")=0,"",SUMPRODUCT(((Recommendations[ImplStatus]="Implemented")+(Recommendations[ImplStatus]="Compensated"))*ISNUMBER(MATCH(Recommendations[Id],H206:AU206,0)))/COUNTIF(H206:AU206,"&lt;&gt;"))</f>
        <v/>
      </c>
      <c r="H206" s="269"/>
      <c r="I206" s="269"/>
      <c r="J206" s="269"/>
      <c r="K206" s="269"/>
      <c r="L206" s="269"/>
      <c r="M206" s="269"/>
      <c r="N206" s="269"/>
      <c r="O206" s="269"/>
      <c r="P206" s="269"/>
      <c r="Q206" s="269"/>
      <c r="R206" s="269"/>
      <c r="S206" s="269"/>
      <c r="T206" s="269"/>
      <c r="U206" s="269"/>
      <c r="V206" s="269"/>
      <c r="W206" s="269"/>
      <c r="X206" s="269"/>
      <c r="Y206" s="269"/>
      <c r="Z206" s="269"/>
      <c r="AA206" s="269"/>
      <c r="AB206" s="269"/>
      <c r="AC206" s="269"/>
      <c r="AD206" s="269"/>
      <c r="AE206" s="269"/>
      <c r="AF206" s="269"/>
      <c r="AG206" s="269"/>
      <c r="AH206" s="269"/>
      <c r="AI206" s="269"/>
      <c r="AJ206" s="269"/>
      <c r="AK206" s="269"/>
      <c r="AL206" s="269"/>
      <c r="AM206" s="269"/>
      <c r="AN206" s="269"/>
      <c r="AO206" s="269"/>
      <c r="AP206" s="269"/>
      <c r="AQ206" s="269"/>
      <c r="AR206" s="269"/>
      <c r="AS206" s="269"/>
      <c r="AT206" s="269"/>
      <c r="AU206" s="283"/>
    </row>
    <row r="207" spans="1:47" ht="60" customHeight="1" x14ac:dyDescent="0.35">
      <c r="A207" s="279" t="s">
        <v>6921</v>
      </c>
      <c r="B207" s="257" t="s">
        <v>6922</v>
      </c>
      <c r="C207" s="258" t="s">
        <v>6934</v>
      </c>
      <c r="D207" s="261" t="s">
        <v>6935</v>
      </c>
      <c r="E207" s="262" t="s">
        <v>6666</v>
      </c>
      <c r="F207" s="265" t="s">
        <v>6925</v>
      </c>
      <c r="G207" s="268" t="str">
        <f>IF(COUNTIF(H207:AU207,"&lt;&gt;")=0,"",SUMPRODUCT(((Recommendations[ImplStatus]="Implemented")+(Recommendations[ImplStatus]="Compensated"))*ISNUMBER(MATCH(Recommendations[Id],H207:AU207,0)))/COUNTIF(H207:AU207,"&lt;&gt;"))</f>
        <v/>
      </c>
      <c r="H207" s="269"/>
      <c r="I207" s="269"/>
      <c r="J207" s="269"/>
      <c r="K207" s="269"/>
      <c r="L207" s="269"/>
      <c r="M207" s="269"/>
      <c r="N207" s="269"/>
      <c r="O207" s="269"/>
      <c r="P207" s="269"/>
      <c r="Q207" s="269"/>
      <c r="R207" s="269"/>
      <c r="S207" s="269"/>
      <c r="T207" s="269"/>
      <c r="U207" s="269"/>
      <c r="V207" s="269"/>
      <c r="W207" s="269"/>
      <c r="X207" s="269"/>
      <c r="Y207" s="269"/>
      <c r="Z207" s="269"/>
      <c r="AA207" s="269"/>
      <c r="AB207" s="269"/>
      <c r="AC207" s="269"/>
      <c r="AD207" s="269"/>
      <c r="AE207" s="269"/>
      <c r="AF207" s="269"/>
      <c r="AG207" s="269"/>
      <c r="AH207" s="269"/>
      <c r="AI207" s="269"/>
      <c r="AJ207" s="269"/>
      <c r="AK207" s="269"/>
      <c r="AL207" s="269"/>
      <c r="AM207" s="269"/>
      <c r="AN207" s="269"/>
      <c r="AO207" s="269"/>
      <c r="AP207" s="269"/>
      <c r="AQ207" s="269"/>
      <c r="AR207" s="269"/>
      <c r="AS207" s="269"/>
      <c r="AT207" s="269"/>
      <c r="AU207" s="283"/>
    </row>
    <row r="208" spans="1:47" ht="60" customHeight="1" x14ac:dyDescent="0.35">
      <c r="A208" s="279" t="s">
        <v>6921</v>
      </c>
      <c r="B208" s="257" t="s">
        <v>6922</v>
      </c>
      <c r="C208" s="258" t="s">
        <v>6936</v>
      </c>
      <c r="D208" s="261" t="s">
        <v>6937</v>
      </c>
      <c r="E208" s="262" t="s">
        <v>6666</v>
      </c>
      <c r="F208" s="265" t="s">
        <v>6925</v>
      </c>
      <c r="G208" s="268" t="str">
        <f>IF(COUNTIF(H208:AU208,"&lt;&gt;")=0,"",SUMPRODUCT(((Recommendations[ImplStatus]="Implemented")+(Recommendations[ImplStatus]="Compensated"))*ISNUMBER(MATCH(Recommendations[Id],H208:AU208,0)))/COUNTIF(H208:AU208,"&lt;&gt;"))</f>
        <v/>
      </c>
      <c r="H208" s="269"/>
      <c r="I208" s="269"/>
      <c r="J208" s="269"/>
      <c r="K208" s="269"/>
      <c r="L208" s="269"/>
      <c r="M208" s="269"/>
      <c r="N208" s="269"/>
      <c r="O208" s="269"/>
      <c r="P208" s="269"/>
      <c r="Q208" s="269"/>
      <c r="R208" s="269"/>
      <c r="S208" s="269"/>
      <c r="T208" s="269"/>
      <c r="U208" s="269"/>
      <c r="V208" s="269"/>
      <c r="W208" s="269"/>
      <c r="X208" s="269"/>
      <c r="Y208" s="269"/>
      <c r="Z208" s="269"/>
      <c r="AA208" s="269"/>
      <c r="AB208" s="269"/>
      <c r="AC208" s="269"/>
      <c r="AD208" s="269"/>
      <c r="AE208" s="269"/>
      <c r="AF208" s="269"/>
      <c r="AG208" s="269"/>
      <c r="AH208" s="269"/>
      <c r="AI208" s="269"/>
      <c r="AJ208" s="269"/>
      <c r="AK208" s="269"/>
      <c r="AL208" s="269"/>
      <c r="AM208" s="269"/>
      <c r="AN208" s="269"/>
      <c r="AO208" s="269"/>
      <c r="AP208" s="269"/>
      <c r="AQ208" s="269"/>
      <c r="AR208" s="269"/>
      <c r="AS208" s="269"/>
      <c r="AT208" s="269"/>
      <c r="AU208" s="283"/>
    </row>
    <row r="209" spans="1:47" ht="60" customHeight="1" x14ac:dyDescent="0.35">
      <c r="A209" s="279" t="s">
        <v>6921</v>
      </c>
      <c r="B209" s="257" t="s">
        <v>6922</v>
      </c>
      <c r="C209" s="258" t="s">
        <v>6938</v>
      </c>
      <c r="D209" s="261" t="s">
        <v>6939</v>
      </c>
      <c r="E209" s="262" t="s">
        <v>6801</v>
      </c>
      <c r="F209" s="265" t="s">
        <v>6925</v>
      </c>
      <c r="G209" s="268">
        <f>IF(COUNTIF(H209:AU209,"&lt;&gt;")=0,"",SUMPRODUCT(((Recommendations[ImplStatus]="Implemented")+(Recommendations[ImplStatus]="Compensated"))*ISNUMBER(MATCH(Recommendations[Id],H209:AU209,0)))/COUNTIF(H209:AU209,"&lt;&gt;"))</f>
        <v>0</v>
      </c>
      <c r="H209" s="269" t="s">
        <v>1422</v>
      </c>
      <c r="I209" s="269" t="s">
        <v>1427</v>
      </c>
      <c r="J209" s="269" t="s">
        <v>1431</v>
      </c>
      <c r="K209" s="269"/>
      <c r="L209" s="269"/>
      <c r="M209" s="269"/>
      <c r="N209" s="269"/>
      <c r="O209" s="269"/>
      <c r="P209" s="269"/>
      <c r="Q209" s="269"/>
      <c r="R209" s="269"/>
      <c r="S209" s="269"/>
      <c r="T209" s="269"/>
      <c r="U209" s="269"/>
      <c r="V209" s="269"/>
      <c r="W209" s="269"/>
      <c r="X209" s="269"/>
      <c r="Y209" s="269"/>
      <c r="Z209" s="269"/>
      <c r="AA209" s="269"/>
      <c r="AB209" s="269"/>
      <c r="AC209" s="269"/>
      <c r="AD209" s="269"/>
      <c r="AE209" s="269"/>
      <c r="AF209" s="269"/>
      <c r="AG209" s="269"/>
      <c r="AH209" s="269"/>
      <c r="AI209" s="269"/>
      <c r="AJ209" s="269"/>
      <c r="AK209" s="269"/>
      <c r="AL209" s="269"/>
      <c r="AM209" s="269"/>
      <c r="AN209" s="269"/>
      <c r="AO209" s="269"/>
      <c r="AP209" s="269"/>
      <c r="AQ209" s="269"/>
      <c r="AR209" s="269"/>
      <c r="AS209" s="269"/>
      <c r="AT209" s="269"/>
      <c r="AU209" s="283"/>
    </row>
    <row r="210" spans="1:47" ht="60" customHeight="1" x14ac:dyDescent="0.35">
      <c r="A210" s="279" t="s">
        <v>6921</v>
      </c>
      <c r="B210" s="257" t="s">
        <v>6922</v>
      </c>
      <c r="C210" s="258" t="s">
        <v>6940</v>
      </c>
      <c r="D210" s="261" t="s">
        <v>6941</v>
      </c>
      <c r="E210" s="262" t="s">
        <v>6551</v>
      </c>
      <c r="F210" s="265" t="s">
        <v>6942</v>
      </c>
      <c r="G210" s="268">
        <f>IF(COUNTIF(H210:AU210,"&lt;&gt;")=0,"",SUMPRODUCT(((Recommendations[ImplStatus]="Implemented")+(Recommendations[ImplStatus]="Compensated"))*ISNUMBER(MATCH(Recommendations[Id],H210:AU210,0)))/COUNTIF(H210:AU210,"&lt;&gt;"))</f>
        <v>0</v>
      </c>
      <c r="H210" s="269" t="s">
        <v>1337</v>
      </c>
      <c r="I210" s="269" t="s">
        <v>1342</v>
      </c>
      <c r="J210" s="269" t="s">
        <v>1347</v>
      </c>
      <c r="K210" s="269" t="s">
        <v>1449</v>
      </c>
      <c r="L210" s="269" t="s">
        <v>1608</v>
      </c>
      <c r="M210" s="269"/>
      <c r="N210" s="269"/>
      <c r="O210" s="269"/>
      <c r="P210" s="269"/>
      <c r="Q210" s="269"/>
      <c r="R210" s="269"/>
      <c r="S210" s="269"/>
      <c r="T210" s="269"/>
      <c r="U210" s="269"/>
      <c r="V210" s="269"/>
      <c r="W210" s="269"/>
      <c r="X210" s="269"/>
      <c r="Y210" s="269"/>
      <c r="Z210" s="269"/>
      <c r="AA210" s="269"/>
      <c r="AB210" s="269"/>
      <c r="AC210" s="269"/>
      <c r="AD210" s="269"/>
      <c r="AE210" s="269"/>
      <c r="AF210" s="269"/>
      <c r="AG210" s="269"/>
      <c r="AH210" s="269"/>
      <c r="AI210" s="269"/>
      <c r="AJ210" s="269"/>
      <c r="AK210" s="269"/>
      <c r="AL210" s="269"/>
      <c r="AM210" s="269"/>
      <c r="AN210" s="269"/>
      <c r="AO210" s="269"/>
      <c r="AP210" s="269"/>
      <c r="AQ210" s="269"/>
      <c r="AR210" s="269"/>
      <c r="AS210" s="269"/>
      <c r="AT210" s="269"/>
      <c r="AU210" s="283"/>
    </row>
    <row r="211" spans="1:47" ht="60" customHeight="1" x14ac:dyDescent="0.35">
      <c r="A211" s="279" t="s">
        <v>6921</v>
      </c>
      <c r="B211" s="257" t="s">
        <v>6922</v>
      </c>
      <c r="C211" s="258" t="s">
        <v>6943</v>
      </c>
      <c r="D211" s="261" t="s">
        <v>6944</v>
      </c>
      <c r="E211" s="262" t="s">
        <v>6551</v>
      </c>
      <c r="F211" s="265" t="s">
        <v>6942</v>
      </c>
      <c r="G211" s="268">
        <f>IF(COUNTIF(H211:AU211,"&lt;&gt;")=0,"",SUMPRODUCT(((Recommendations[ImplStatus]="Implemented")+(Recommendations[ImplStatus]="Compensated"))*ISNUMBER(MATCH(Recommendations[Id],H211:AU211,0)))/COUNTIF(H211:AU211,"&lt;&gt;"))</f>
        <v>0</v>
      </c>
      <c r="H211" s="269" t="s">
        <v>1337</v>
      </c>
      <c r="I211" s="269" t="s">
        <v>1449</v>
      </c>
      <c r="J211" s="269"/>
      <c r="K211" s="269"/>
      <c r="L211" s="269"/>
      <c r="M211" s="269"/>
      <c r="N211" s="269"/>
      <c r="O211" s="269"/>
      <c r="P211" s="269"/>
      <c r="Q211" s="269"/>
      <c r="R211" s="269"/>
      <c r="S211" s="269"/>
      <c r="T211" s="269"/>
      <c r="U211" s="269"/>
      <c r="V211" s="269"/>
      <c r="W211" s="269"/>
      <c r="X211" s="269"/>
      <c r="Y211" s="269"/>
      <c r="Z211" s="269"/>
      <c r="AA211" s="269"/>
      <c r="AB211" s="269"/>
      <c r="AC211" s="269"/>
      <c r="AD211" s="269"/>
      <c r="AE211" s="269"/>
      <c r="AF211" s="269"/>
      <c r="AG211" s="269"/>
      <c r="AH211" s="269"/>
      <c r="AI211" s="269"/>
      <c r="AJ211" s="269"/>
      <c r="AK211" s="269"/>
      <c r="AL211" s="269"/>
      <c r="AM211" s="269"/>
      <c r="AN211" s="269"/>
      <c r="AO211" s="269"/>
      <c r="AP211" s="269"/>
      <c r="AQ211" s="269"/>
      <c r="AR211" s="269"/>
      <c r="AS211" s="269"/>
      <c r="AT211" s="269"/>
      <c r="AU211" s="283"/>
    </row>
    <row r="212" spans="1:47" ht="60" customHeight="1" x14ac:dyDescent="0.35">
      <c r="A212" s="279" t="s">
        <v>6921</v>
      </c>
      <c r="B212" s="257" t="s">
        <v>6922</v>
      </c>
      <c r="C212" s="258" t="s">
        <v>6945</v>
      </c>
      <c r="D212" s="261" t="s">
        <v>6946</v>
      </c>
      <c r="E212" s="262" t="s">
        <v>6618</v>
      </c>
      <c r="F212" s="265" t="s">
        <v>6947</v>
      </c>
      <c r="G212" s="268" t="str">
        <f>IF(COUNTIF(H212:AU212,"&lt;&gt;")=0,"",SUMPRODUCT(((Recommendations[ImplStatus]="Implemented")+(Recommendations[ImplStatus]="Compensated"))*ISNUMBER(MATCH(Recommendations[Id],H212:AU212,0)))/COUNTIF(H212:AU212,"&lt;&gt;"))</f>
        <v/>
      </c>
      <c r="H212" s="269"/>
      <c r="I212" s="269"/>
      <c r="J212" s="269"/>
      <c r="K212" s="269"/>
      <c r="L212" s="269"/>
      <c r="M212" s="269"/>
      <c r="N212" s="269"/>
      <c r="O212" s="269"/>
      <c r="P212" s="269"/>
      <c r="Q212" s="269"/>
      <c r="R212" s="269"/>
      <c r="S212" s="269"/>
      <c r="T212" s="269"/>
      <c r="U212" s="269"/>
      <c r="V212" s="269"/>
      <c r="W212" s="269"/>
      <c r="X212" s="269"/>
      <c r="Y212" s="269"/>
      <c r="Z212" s="269"/>
      <c r="AA212" s="269"/>
      <c r="AB212" s="269"/>
      <c r="AC212" s="269"/>
      <c r="AD212" s="269"/>
      <c r="AE212" s="269"/>
      <c r="AF212" s="269"/>
      <c r="AG212" s="269"/>
      <c r="AH212" s="269"/>
      <c r="AI212" s="269"/>
      <c r="AJ212" s="269"/>
      <c r="AK212" s="269"/>
      <c r="AL212" s="269"/>
      <c r="AM212" s="269"/>
      <c r="AN212" s="269"/>
      <c r="AO212" s="269"/>
      <c r="AP212" s="269"/>
      <c r="AQ212" s="269"/>
      <c r="AR212" s="269"/>
      <c r="AS212" s="269"/>
      <c r="AT212" s="269"/>
      <c r="AU212" s="283"/>
    </row>
    <row r="213" spans="1:47" ht="60" customHeight="1" x14ac:dyDescent="0.35">
      <c r="A213" s="279" t="s">
        <v>6921</v>
      </c>
      <c r="B213" s="257" t="s">
        <v>6922</v>
      </c>
      <c r="C213" s="258" t="s">
        <v>6948</v>
      </c>
      <c r="D213" s="261" t="s">
        <v>6949</v>
      </c>
      <c r="E213" s="262" t="s">
        <v>6551</v>
      </c>
      <c r="F213" s="265" t="s">
        <v>6950</v>
      </c>
      <c r="G213" s="268" t="str">
        <f>IF(COUNTIF(H213:AU213,"&lt;&gt;")=0,"",SUMPRODUCT(((Recommendations[ImplStatus]="Implemented")+(Recommendations[ImplStatus]="Compensated"))*ISNUMBER(MATCH(Recommendations[Id],H213:AU213,0)))/COUNTIF(H213:AU213,"&lt;&gt;"))</f>
        <v/>
      </c>
      <c r="H213" s="269"/>
      <c r="I213" s="269"/>
      <c r="J213" s="269"/>
      <c r="K213" s="269"/>
      <c r="L213" s="269"/>
      <c r="M213" s="269"/>
      <c r="N213" s="269"/>
      <c r="O213" s="269"/>
      <c r="P213" s="269"/>
      <c r="Q213" s="269"/>
      <c r="R213" s="269"/>
      <c r="S213" s="269"/>
      <c r="T213" s="269"/>
      <c r="U213" s="269"/>
      <c r="V213" s="269"/>
      <c r="W213" s="269"/>
      <c r="X213" s="269"/>
      <c r="Y213" s="269"/>
      <c r="Z213" s="269"/>
      <c r="AA213" s="269"/>
      <c r="AB213" s="269"/>
      <c r="AC213" s="269"/>
      <c r="AD213" s="269"/>
      <c r="AE213" s="269"/>
      <c r="AF213" s="269"/>
      <c r="AG213" s="269"/>
      <c r="AH213" s="269"/>
      <c r="AI213" s="269"/>
      <c r="AJ213" s="269"/>
      <c r="AK213" s="269"/>
      <c r="AL213" s="269"/>
      <c r="AM213" s="269"/>
      <c r="AN213" s="269"/>
      <c r="AO213" s="269"/>
      <c r="AP213" s="269"/>
      <c r="AQ213" s="269"/>
      <c r="AR213" s="269"/>
      <c r="AS213" s="269"/>
      <c r="AT213" s="269"/>
      <c r="AU213" s="283"/>
    </row>
    <row r="214" spans="1:47" ht="60" customHeight="1" x14ac:dyDescent="0.35">
      <c r="A214" s="279" t="s">
        <v>6921</v>
      </c>
      <c r="B214" s="257" t="s">
        <v>6922</v>
      </c>
      <c r="C214" s="258" t="s">
        <v>6951</v>
      </c>
      <c r="D214" s="261" t="s">
        <v>6952</v>
      </c>
      <c r="E214" s="262" t="s">
        <v>6618</v>
      </c>
      <c r="F214" s="265" t="s">
        <v>6953</v>
      </c>
      <c r="G214" s="268" t="str">
        <f>IF(COUNTIF(H214:AU214,"&lt;&gt;")=0,"",SUMPRODUCT(((Recommendations[ImplStatus]="Implemented")+(Recommendations[ImplStatus]="Compensated"))*ISNUMBER(MATCH(Recommendations[Id],H214:AU214,0)))/COUNTIF(H214:AU214,"&lt;&gt;"))</f>
        <v/>
      </c>
      <c r="H214" s="269"/>
      <c r="I214" s="269"/>
      <c r="J214" s="269"/>
      <c r="K214" s="269"/>
      <c r="L214" s="269"/>
      <c r="M214" s="269"/>
      <c r="N214" s="269"/>
      <c r="O214" s="269"/>
      <c r="P214" s="269"/>
      <c r="Q214" s="269"/>
      <c r="R214" s="269"/>
      <c r="S214" s="269"/>
      <c r="T214" s="269"/>
      <c r="U214" s="269"/>
      <c r="V214" s="269"/>
      <c r="W214" s="269"/>
      <c r="X214" s="269"/>
      <c r="Y214" s="269"/>
      <c r="Z214" s="269"/>
      <c r="AA214" s="269"/>
      <c r="AB214" s="269"/>
      <c r="AC214" s="269"/>
      <c r="AD214" s="269"/>
      <c r="AE214" s="269"/>
      <c r="AF214" s="269"/>
      <c r="AG214" s="269"/>
      <c r="AH214" s="269"/>
      <c r="AI214" s="269"/>
      <c r="AJ214" s="269"/>
      <c r="AK214" s="269"/>
      <c r="AL214" s="269"/>
      <c r="AM214" s="269"/>
      <c r="AN214" s="269"/>
      <c r="AO214" s="269"/>
      <c r="AP214" s="269"/>
      <c r="AQ214" s="269"/>
      <c r="AR214" s="269"/>
      <c r="AS214" s="269"/>
      <c r="AT214" s="269"/>
      <c r="AU214" s="283"/>
    </row>
    <row r="215" spans="1:47" ht="60" customHeight="1" x14ac:dyDescent="0.35">
      <c r="A215" s="279" t="s">
        <v>6921</v>
      </c>
      <c r="B215" s="257" t="s">
        <v>6922</v>
      </c>
      <c r="C215" s="258" t="s">
        <v>6954</v>
      </c>
      <c r="D215" s="261" t="s">
        <v>6955</v>
      </c>
      <c r="E215" s="262" t="s">
        <v>6522</v>
      </c>
      <c r="F215" s="265" t="s">
        <v>6953</v>
      </c>
      <c r="G215" s="268" t="str">
        <f>IF(COUNTIF(H215:AU215,"&lt;&gt;")=0,"",SUMPRODUCT(((Recommendations[ImplStatus]="Implemented")+(Recommendations[ImplStatus]="Compensated"))*ISNUMBER(MATCH(Recommendations[Id],H215:AU215,0)))/COUNTIF(H215:AU215,"&lt;&gt;"))</f>
        <v/>
      </c>
      <c r="H215" s="269"/>
      <c r="I215" s="269"/>
      <c r="J215" s="269"/>
      <c r="K215" s="269"/>
      <c r="L215" s="269"/>
      <c r="M215" s="269"/>
      <c r="N215" s="269"/>
      <c r="O215" s="269"/>
      <c r="P215" s="269"/>
      <c r="Q215" s="269"/>
      <c r="R215" s="269"/>
      <c r="S215" s="269"/>
      <c r="T215" s="269"/>
      <c r="U215" s="269"/>
      <c r="V215" s="269"/>
      <c r="W215" s="269"/>
      <c r="X215" s="269"/>
      <c r="Y215" s="269"/>
      <c r="Z215" s="269"/>
      <c r="AA215" s="269"/>
      <c r="AB215" s="269"/>
      <c r="AC215" s="269"/>
      <c r="AD215" s="269"/>
      <c r="AE215" s="269"/>
      <c r="AF215" s="269"/>
      <c r="AG215" s="269"/>
      <c r="AH215" s="269"/>
      <c r="AI215" s="269"/>
      <c r="AJ215" s="269"/>
      <c r="AK215" s="269"/>
      <c r="AL215" s="269"/>
      <c r="AM215" s="269"/>
      <c r="AN215" s="269"/>
      <c r="AO215" s="269"/>
      <c r="AP215" s="269"/>
      <c r="AQ215" s="269"/>
      <c r="AR215" s="269"/>
      <c r="AS215" s="269"/>
      <c r="AT215" s="269"/>
      <c r="AU215" s="283"/>
    </row>
    <row r="216" spans="1:47" ht="60" customHeight="1" x14ac:dyDescent="0.35">
      <c r="A216" s="279" t="s">
        <v>6921</v>
      </c>
      <c r="B216" s="257" t="s">
        <v>6922</v>
      </c>
      <c r="C216" s="258" t="s">
        <v>6956</v>
      </c>
      <c r="D216" s="261" t="s">
        <v>6957</v>
      </c>
      <c r="E216" s="262" t="s">
        <v>6522</v>
      </c>
      <c r="F216" s="265" t="s">
        <v>6953</v>
      </c>
      <c r="G216" s="268" t="str">
        <f>IF(COUNTIF(H216:AU216,"&lt;&gt;")=0,"",SUMPRODUCT(((Recommendations[ImplStatus]="Implemented")+(Recommendations[ImplStatus]="Compensated"))*ISNUMBER(MATCH(Recommendations[Id],H216:AU216,0)))/COUNTIF(H216:AU216,"&lt;&gt;"))</f>
        <v/>
      </c>
      <c r="H216" s="269"/>
      <c r="I216" s="269"/>
      <c r="J216" s="269"/>
      <c r="K216" s="269"/>
      <c r="L216" s="269"/>
      <c r="M216" s="269"/>
      <c r="N216" s="269"/>
      <c r="O216" s="269"/>
      <c r="P216" s="269"/>
      <c r="Q216" s="269"/>
      <c r="R216" s="269"/>
      <c r="S216" s="269"/>
      <c r="T216" s="269"/>
      <c r="U216" s="269"/>
      <c r="V216" s="269"/>
      <c r="W216" s="269"/>
      <c r="X216" s="269"/>
      <c r="Y216" s="269"/>
      <c r="Z216" s="269"/>
      <c r="AA216" s="269"/>
      <c r="AB216" s="269"/>
      <c r="AC216" s="269"/>
      <c r="AD216" s="269"/>
      <c r="AE216" s="269"/>
      <c r="AF216" s="269"/>
      <c r="AG216" s="269"/>
      <c r="AH216" s="269"/>
      <c r="AI216" s="269"/>
      <c r="AJ216" s="269"/>
      <c r="AK216" s="269"/>
      <c r="AL216" s="269"/>
      <c r="AM216" s="269"/>
      <c r="AN216" s="269"/>
      <c r="AO216" s="269"/>
      <c r="AP216" s="269"/>
      <c r="AQ216" s="269"/>
      <c r="AR216" s="269"/>
      <c r="AS216" s="269"/>
      <c r="AT216" s="269"/>
      <c r="AU216" s="283"/>
    </row>
    <row r="217" spans="1:47" ht="60" customHeight="1" x14ac:dyDescent="0.35">
      <c r="A217" s="279" t="s">
        <v>6921</v>
      </c>
      <c r="B217" s="257" t="s">
        <v>6922</v>
      </c>
      <c r="C217" s="258" t="s">
        <v>6958</v>
      </c>
      <c r="D217" s="261" t="s">
        <v>6959</v>
      </c>
      <c r="E217" s="262" t="s">
        <v>6551</v>
      </c>
      <c r="F217" s="265" t="s">
        <v>6953</v>
      </c>
      <c r="G217" s="268">
        <f>IF(COUNTIF(H217:AU217,"&lt;&gt;")=0,"",SUMPRODUCT(((Recommendations[ImplStatus]="Implemented")+(Recommendations[ImplStatus]="Compensated"))*ISNUMBER(MATCH(Recommendations[Id],H217:AU217,0)))/COUNTIF(H217:AU217,"&lt;&gt;"))</f>
        <v>0</v>
      </c>
      <c r="H217" s="269" t="s">
        <v>1327</v>
      </c>
      <c r="I217" s="269" t="s">
        <v>1332</v>
      </c>
      <c r="J217" s="269" t="s">
        <v>1435</v>
      </c>
      <c r="K217" s="269" t="s">
        <v>1440</v>
      </c>
      <c r="L217" s="269" t="s">
        <v>1445</v>
      </c>
      <c r="M217" s="269"/>
      <c r="N217" s="269"/>
      <c r="O217" s="269"/>
      <c r="P217" s="269"/>
      <c r="Q217" s="269"/>
      <c r="R217" s="269"/>
      <c r="S217" s="269"/>
      <c r="T217" s="269"/>
      <c r="U217" s="269"/>
      <c r="V217" s="269"/>
      <c r="W217" s="269"/>
      <c r="X217" s="269"/>
      <c r="Y217" s="269"/>
      <c r="Z217" s="269"/>
      <c r="AA217" s="269"/>
      <c r="AB217" s="269"/>
      <c r="AC217" s="269"/>
      <c r="AD217" s="269"/>
      <c r="AE217" s="269"/>
      <c r="AF217" s="269"/>
      <c r="AG217" s="269"/>
      <c r="AH217" s="269"/>
      <c r="AI217" s="269"/>
      <c r="AJ217" s="269"/>
      <c r="AK217" s="269"/>
      <c r="AL217" s="269"/>
      <c r="AM217" s="269"/>
      <c r="AN217" s="269"/>
      <c r="AO217" s="269"/>
      <c r="AP217" s="269"/>
      <c r="AQ217" s="269"/>
      <c r="AR217" s="269"/>
      <c r="AS217" s="269"/>
      <c r="AT217" s="269"/>
      <c r="AU217" s="283"/>
    </row>
    <row r="218" spans="1:47" ht="60" customHeight="1" x14ac:dyDescent="0.35">
      <c r="A218" s="279" t="s">
        <v>6921</v>
      </c>
      <c r="B218" s="257" t="s">
        <v>6922</v>
      </c>
      <c r="C218" s="258" t="s">
        <v>6960</v>
      </c>
      <c r="D218" s="261" t="s">
        <v>6961</v>
      </c>
      <c r="E218" s="262" t="s">
        <v>6551</v>
      </c>
      <c r="F218" s="265" t="s">
        <v>6953</v>
      </c>
      <c r="G218" s="268" t="str">
        <f>IF(COUNTIF(H218:AU218,"&lt;&gt;")=0,"",SUMPRODUCT(((Recommendations[ImplStatus]="Implemented")+(Recommendations[ImplStatus]="Compensated"))*ISNUMBER(MATCH(Recommendations[Id],H218:AU218,0)))/COUNTIF(H218:AU218,"&lt;&gt;"))</f>
        <v/>
      </c>
      <c r="H218" s="269"/>
      <c r="I218" s="269"/>
      <c r="J218" s="269"/>
      <c r="K218" s="269"/>
      <c r="L218" s="269"/>
      <c r="M218" s="269"/>
      <c r="N218" s="269"/>
      <c r="O218" s="269"/>
      <c r="P218" s="269"/>
      <c r="Q218" s="269"/>
      <c r="R218" s="269"/>
      <c r="S218" s="269"/>
      <c r="T218" s="269"/>
      <c r="U218" s="269"/>
      <c r="V218" s="269"/>
      <c r="W218" s="269"/>
      <c r="X218" s="269"/>
      <c r="Y218" s="269"/>
      <c r="Z218" s="269"/>
      <c r="AA218" s="269"/>
      <c r="AB218" s="269"/>
      <c r="AC218" s="269"/>
      <c r="AD218" s="269"/>
      <c r="AE218" s="269"/>
      <c r="AF218" s="269"/>
      <c r="AG218" s="269"/>
      <c r="AH218" s="269"/>
      <c r="AI218" s="269"/>
      <c r="AJ218" s="269"/>
      <c r="AK218" s="269"/>
      <c r="AL218" s="269"/>
      <c r="AM218" s="269"/>
      <c r="AN218" s="269"/>
      <c r="AO218" s="269"/>
      <c r="AP218" s="269"/>
      <c r="AQ218" s="269"/>
      <c r="AR218" s="269"/>
      <c r="AS218" s="269"/>
      <c r="AT218" s="269"/>
      <c r="AU218" s="283"/>
    </row>
    <row r="219" spans="1:47" ht="60" customHeight="1" x14ac:dyDescent="0.35">
      <c r="A219" s="279" t="s">
        <v>6921</v>
      </c>
      <c r="B219" s="257" t="s">
        <v>6922</v>
      </c>
      <c r="C219" s="258" t="s">
        <v>6962</v>
      </c>
      <c r="D219" s="261" t="s">
        <v>6963</v>
      </c>
      <c r="E219" s="262" t="s">
        <v>6551</v>
      </c>
      <c r="F219" s="265" t="s">
        <v>6953</v>
      </c>
      <c r="G219" s="268" t="str">
        <f>IF(COUNTIF(H219:AU219,"&lt;&gt;")=0,"",SUMPRODUCT(((Recommendations[ImplStatus]="Implemented")+(Recommendations[ImplStatus]="Compensated"))*ISNUMBER(MATCH(Recommendations[Id],H219:AU219,0)))/COUNTIF(H219:AU219,"&lt;&gt;"))</f>
        <v/>
      </c>
      <c r="H219" s="269"/>
      <c r="I219" s="269"/>
      <c r="J219" s="269"/>
      <c r="K219" s="269"/>
      <c r="L219" s="269"/>
      <c r="M219" s="269"/>
      <c r="N219" s="269"/>
      <c r="O219" s="269"/>
      <c r="P219" s="269"/>
      <c r="Q219" s="269"/>
      <c r="R219" s="269"/>
      <c r="S219" s="269"/>
      <c r="T219" s="269"/>
      <c r="U219" s="269"/>
      <c r="V219" s="269"/>
      <c r="W219" s="269"/>
      <c r="X219" s="269"/>
      <c r="Y219" s="269"/>
      <c r="Z219" s="269"/>
      <c r="AA219" s="269"/>
      <c r="AB219" s="269"/>
      <c r="AC219" s="269"/>
      <c r="AD219" s="269"/>
      <c r="AE219" s="269"/>
      <c r="AF219" s="269"/>
      <c r="AG219" s="269"/>
      <c r="AH219" s="269"/>
      <c r="AI219" s="269"/>
      <c r="AJ219" s="269"/>
      <c r="AK219" s="269"/>
      <c r="AL219" s="269"/>
      <c r="AM219" s="269"/>
      <c r="AN219" s="269"/>
      <c r="AO219" s="269"/>
      <c r="AP219" s="269"/>
      <c r="AQ219" s="269"/>
      <c r="AR219" s="269"/>
      <c r="AS219" s="269"/>
      <c r="AT219" s="269"/>
      <c r="AU219" s="283"/>
    </row>
    <row r="220" spans="1:47" ht="60" customHeight="1" x14ac:dyDescent="0.35">
      <c r="A220" s="279" t="s">
        <v>6921</v>
      </c>
      <c r="B220" s="257" t="s">
        <v>6922</v>
      </c>
      <c r="C220" s="258" t="s">
        <v>6964</v>
      </c>
      <c r="D220" s="261" t="s">
        <v>6965</v>
      </c>
      <c r="E220" s="262" t="s">
        <v>6551</v>
      </c>
      <c r="F220" s="265" t="s">
        <v>6953</v>
      </c>
      <c r="G220" s="268" t="str">
        <f>IF(COUNTIF(H220:AU220,"&lt;&gt;")=0,"",SUMPRODUCT(((Recommendations[ImplStatus]="Implemented")+(Recommendations[ImplStatus]="Compensated"))*ISNUMBER(MATCH(Recommendations[Id],H220:AU220,0)))/COUNTIF(H220:AU220,"&lt;&gt;"))</f>
        <v/>
      </c>
      <c r="H220" s="269"/>
      <c r="I220" s="269"/>
      <c r="J220" s="269"/>
      <c r="K220" s="269"/>
      <c r="L220" s="269"/>
      <c r="M220" s="269"/>
      <c r="N220" s="269"/>
      <c r="O220" s="269"/>
      <c r="P220" s="269"/>
      <c r="Q220" s="269"/>
      <c r="R220" s="269"/>
      <c r="S220" s="269"/>
      <c r="T220" s="269"/>
      <c r="U220" s="269"/>
      <c r="V220" s="269"/>
      <c r="W220" s="269"/>
      <c r="X220" s="269"/>
      <c r="Y220" s="269"/>
      <c r="Z220" s="269"/>
      <c r="AA220" s="269"/>
      <c r="AB220" s="269"/>
      <c r="AC220" s="269"/>
      <c r="AD220" s="269"/>
      <c r="AE220" s="269"/>
      <c r="AF220" s="269"/>
      <c r="AG220" s="269"/>
      <c r="AH220" s="269"/>
      <c r="AI220" s="269"/>
      <c r="AJ220" s="269"/>
      <c r="AK220" s="269"/>
      <c r="AL220" s="269"/>
      <c r="AM220" s="269"/>
      <c r="AN220" s="269"/>
      <c r="AO220" s="269"/>
      <c r="AP220" s="269"/>
      <c r="AQ220" s="269"/>
      <c r="AR220" s="269"/>
      <c r="AS220" s="269"/>
      <c r="AT220" s="269"/>
      <c r="AU220" s="283"/>
    </row>
    <row r="221" spans="1:47" ht="60" customHeight="1" outlineLevel="2" x14ac:dyDescent="0.35">
      <c r="A221" s="278" t="s">
        <v>6921</v>
      </c>
      <c r="B221" s="256" t="s">
        <v>6966</v>
      </c>
      <c r="C221" s="256"/>
      <c r="D221" s="260"/>
      <c r="E221" s="256"/>
      <c r="F221" s="264"/>
      <c r="G221" s="267" t="str">
        <f>IF(COUNTIF(H221:AU221,"&lt;&gt;")=0,"",SUMPRODUCT(((Recommendations[ImplStatus]="Implemented")+(Recommendations[ImplStatus]="Compensated"))*ISNUMBER(MATCH(Recommendations[Id],H221:AU221,0)))/COUNTIF(H221:AU221,"&lt;&gt;"))</f>
        <v/>
      </c>
      <c r="H221" s="264"/>
      <c r="I221" s="264"/>
      <c r="J221" s="264"/>
      <c r="K221" s="264"/>
      <c r="L221" s="264"/>
      <c r="M221" s="264"/>
      <c r="N221" s="264"/>
      <c r="O221" s="264"/>
      <c r="P221" s="264"/>
      <c r="Q221" s="264"/>
      <c r="R221" s="264"/>
      <c r="S221" s="264"/>
      <c r="T221" s="264"/>
      <c r="U221" s="264"/>
      <c r="V221" s="264"/>
      <c r="W221" s="264"/>
      <c r="X221" s="264"/>
      <c r="Y221" s="264"/>
      <c r="Z221" s="264"/>
      <c r="AA221" s="264"/>
      <c r="AB221" s="264"/>
      <c r="AC221" s="264"/>
      <c r="AD221" s="264"/>
      <c r="AE221" s="264"/>
      <c r="AF221" s="264"/>
      <c r="AG221" s="264"/>
      <c r="AH221" s="264"/>
      <c r="AI221" s="264"/>
      <c r="AJ221" s="264"/>
      <c r="AK221" s="264"/>
      <c r="AL221" s="264"/>
      <c r="AM221" s="264"/>
      <c r="AN221" s="264"/>
      <c r="AO221" s="264"/>
      <c r="AP221" s="264"/>
      <c r="AQ221" s="264"/>
      <c r="AR221" s="264"/>
      <c r="AS221" s="264"/>
      <c r="AT221" s="264"/>
      <c r="AU221" s="282"/>
    </row>
    <row r="222" spans="1:47" ht="60" customHeight="1" x14ac:dyDescent="0.35">
      <c r="A222" s="279" t="s">
        <v>6921</v>
      </c>
      <c r="B222" s="257" t="s">
        <v>6966</v>
      </c>
      <c r="C222" s="258" t="s">
        <v>6967</v>
      </c>
      <c r="D222" s="261" t="s">
        <v>6968</v>
      </c>
      <c r="E222" s="262" t="s">
        <v>6618</v>
      </c>
      <c r="F222" s="265" t="s">
        <v>6969</v>
      </c>
      <c r="G222" s="268" t="str">
        <f>IF(COUNTIF(H222:AU222,"&lt;&gt;")=0,"",SUMPRODUCT(((Recommendations[ImplStatus]="Implemented")+(Recommendations[ImplStatus]="Compensated"))*ISNUMBER(MATCH(Recommendations[Id],H222:AU222,0)))/COUNTIF(H222:AU222,"&lt;&gt;"))</f>
        <v/>
      </c>
      <c r="H222" s="269"/>
      <c r="I222" s="269"/>
      <c r="J222" s="269"/>
      <c r="K222" s="269"/>
      <c r="L222" s="269"/>
      <c r="M222" s="269"/>
      <c r="N222" s="269"/>
      <c r="O222" s="269"/>
      <c r="P222" s="269"/>
      <c r="Q222" s="269"/>
      <c r="R222" s="269"/>
      <c r="S222" s="269"/>
      <c r="T222" s="269"/>
      <c r="U222" s="269"/>
      <c r="V222" s="269"/>
      <c r="W222" s="269"/>
      <c r="X222" s="269"/>
      <c r="Y222" s="269"/>
      <c r="Z222" s="269"/>
      <c r="AA222" s="269"/>
      <c r="AB222" s="269"/>
      <c r="AC222" s="269"/>
      <c r="AD222" s="269"/>
      <c r="AE222" s="269"/>
      <c r="AF222" s="269"/>
      <c r="AG222" s="269"/>
      <c r="AH222" s="269"/>
      <c r="AI222" s="269"/>
      <c r="AJ222" s="269"/>
      <c r="AK222" s="269"/>
      <c r="AL222" s="269"/>
      <c r="AM222" s="269"/>
      <c r="AN222" s="269"/>
      <c r="AO222" s="269"/>
      <c r="AP222" s="269"/>
      <c r="AQ222" s="269"/>
      <c r="AR222" s="269"/>
      <c r="AS222" s="269"/>
      <c r="AT222" s="269"/>
      <c r="AU222" s="283"/>
    </row>
    <row r="223" spans="1:47" ht="60" customHeight="1" x14ac:dyDescent="0.35">
      <c r="A223" s="279" t="s">
        <v>6921</v>
      </c>
      <c r="B223" s="257" t="s">
        <v>6966</v>
      </c>
      <c r="C223" s="258" t="s">
        <v>6970</v>
      </c>
      <c r="D223" s="261" t="s">
        <v>6971</v>
      </c>
      <c r="E223" s="262" t="s">
        <v>6618</v>
      </c>
      <c r="F223" s="265" t="s">
        <v>6969</v>
      </c>
      <c r="G223" s="268" t="str">
        <f>IF(COUNTIF(H223:AU223,"&lt;&gt;")=0,"",SUMPRODUCT(((Recommendations[ImplStatus]="Implemented")+(Recommendations[ImplStatus]="Compensated"))*ISNUMBER(MATCH(Recommendations[Id],H223:AU223,0)))/COUNTIF(H223:AU223,"&lt;&gt;"))</f>
        <v/>
      </c>
      <c r="H223" s="269"/>
      <c r="I223" s="269"/>
      <c r="J223" s="269"/>
      <c r="K223" s="269"/>
      <c r="L223" s="269"/>
      <c r="M223" s="269"/>
      <c r="N223" s="269"/>
      <c r="O223" s="269"/>
      <c r="P223" s="269"/>
      <c r="Q223" s="269"/>
      <c r="R223" s="269"/>
      <c r="S223" s="269"/>
      <c r="T223" s="269"/>
      <c r="U223" s="269"/>
      <c r="V223" s="269"/>
      <c r="W223" s="269"/>
      <c r="X223" s="269"/>
      <c r="Y223" s="269"/>
      <c r="Z223" s="269"/>
      <c r="AA223" s="269"/>
      <c r="AB223" s="269"/>
      <c r="AC223" s="269"/>
      <c r="AD223" s="269"/>
      <c r="AE223" s="269"/>
      <c r="AF223" s="269"/>
      <c r="AG223" s="269"/>
      <c r="AH223" s="269"/>
      <c r="AI223" s="269"/>
      <c r="AJ223" s="269"/>
      <c r="AK223" s="269"/>
      <c r="AL223" s="269"/>
      <c r="AM223" s="269"/>
      <c r="AN223" s="269"/>
      <c r="AO223" s="269"/>
      <c r="AP223" s="269"/>
      <c r="AQ223" s="269"/>
      <c r="AR223" s="269"/>
      <c r="AS223" s="269"/>
      <c r="AT223" s="269"/>
      <c r="AU223" s="283"/>
    </row>
    <row r="224" spans="1:47" ht="60" customHeight="1" x14ac:dyDescent="0.35">
      <c r="A224" s="279" t="s">
        <v>6921</v>
      </c>
      <c r="B224" s="257" t="s">
        <v>6966</v>
      </c>
      <c r="C224" s="258" t="s">
        <v>6972</v>
      </c>
      <c r="D224" s="261" t="s">
        <v>6973</v>
      </c>
      <c r="E224" s="262" t="s">
        <v>6618</v>
      </c>
      <c r="F224" s="265" t="s">
        <v>6969</v>
      </c>
      <c r="G224" s="268" t="str">
        <f>IF(COUNTIF(H224:AU224,"&lt;&gt;")=0,"",SUMPRODUCT(((Recommendations[ImplStatus]="Implemented")+(Recommendations[ImplStatus]="Compensated"))*ISNUMBER(MATCH(Recommendations[Id],H224:AU224,0)))/COUNTIF(H224:AU224,"&lt;&gt;"))</f>
        <v/>
      </c>
      <c r="H224" s="269"/>
      <c r="I224" s="269"/>
      <c r="J224" s="269"/>
      <c r="K224" s="269"/>
      <c r="L224" s="269"/>
      <c r="M224" s="269"/>
      <c r="N224" s="269"/>
      <c r="O224" s="269"/>
      <c r="P224" s="269"/>
      <c r="Q224" s="269"/>
      <c r="R224" s="269"/>
      <c r="S224" s="269"/>
      <c r="T224" s="269"/>
      <c r="U224" s="269"/>
      <c r="V224" s="269"/>
      <c r="W224" s="269"/>
      <c r="X224" s="269"/>
      <c r="Y224" s="269"/>
      <c r="Z224" s="269"/>
      <c r="AA224" s="269"/>
      <c r="AB224" s="269"/>
      <c r="AC224" s="269"/>
      <c r="AD224" s="269"/>
      <c r="AE224" s="269"/>
      <c r="AF224" s="269"/>
      <c r="AG224" s="269"/>
      <c r="AH224" s="269"/>
      <c r="AI224" s="269"/>
      <c r="AJ224" s="269"/>
      <c r="AK224" s="269"/>
      <c r="AL224" s="269"/>
      <c r="AM224" s="269"/>
      <c r="AN224" s="269"/>
      <c r="AO224" s="269"/>
      <c r="AP224" s="269"/>
      <c r="AQ224" s="269"/>
      <c r="AR224" s="269"/>
      <c r="AS224" s="269"/>
      <c r="AT224" s="269"/>
      <c r="AU224" s="283"/>
    </row>
    <row r="225" spans="1:47" ht="60" customHeight="1" x14ac:dyDescent="0.35">
      <c r="A225" s="279" t="s">
        <v>6921</v>
      </c>
      <c r="B225" s="257" t="s">
        <v>6966</v>
      </c>
      <c r="C225" s="258" t="s">
        <v>6974</v>
      </c>
      <c r="D225" s="261" t="s">
        <v>6975</v>
      </c>
      <c r="E225" s="262" t="s">
        <v>6618</v>
      </c>
      <c r="F225" s="265" t="s">
        <v>6969</v>
      </c>
      <c r="G225" s="268" t="str">
        <f>IF(COUNTIF(H225:AU225,"&lt;&gt;")=0,"",SUMPRODUCT(((Recommendations[ImplStatus]="Implemented")+(Recommendations[ImplStatus]="Compensated"))*ISNUMBER(MATCH(Recommendations[Id],H225:AU225,0)))/COUNTIF(H225:AU225,"&lt;&gt;"))</f>
        <v/>
      </c>
      <c r="H225" s="269"/>
      <c r="I225" s="269"/>
      <c r="J225" s="269"/>
      <c r="K225" s="269"/>
      <c r="L225" s="269"/>
      <c r="M225" s="269"/>
      <c r="N225" s="269"/>
      <c r="O225" s="269"/>
      <c r="P225" s="269"/>
      <c r="Q225" s="269"/>
      <c r="R225" s="269"/>
      <c r="S225" s="269"/>
      <c r="T225" s="269"/>
      <c r="U225" s="269"/>
      <c r="V225" s="269"/>
      <c r="W225" s="269"/>
      <c r="X225" s="269"/>
      <c r="Y225" s="269"/>
      <c r="Z225" s="269"/>
      <c r="AA225" s="269"/>
      <c r="AB225" s="269"/>
      <c r="AC225" s="269"/>
      <c r="AD225" s="269"/>
      <c r="AE225" s="269"/>
      <c r="AF225" s="269"/>
      <c r="AG225" s="269"/>
      <c r="AH225" s="269"/>
      <c r="AI225" s="269"/>
      <c r="AJ225" s="269"/>
      <c r="AK225" s="269"/>
      <c r="AL225" s="269"/>
      <c r="AM225" s="269"/>
      <c r="AN225" s="269"/>
      <c r="AO225" s="269"/>
      <c r="AP225" s="269"/>
      <c r="AQ225" s="269"/>
      <c r="AR225" s="269"/>
      <c r="AS225" s="269"/>
      <c r="AT225" s="269"/>
      <c r="AU225" s="283"/>
    </row>
    <row r="226" spans="1:47" ht="60" customHeight="1" x14ac:dyDescent="0.35">
      <c r="A226" s="279" t="s">
        <v>6921</v>
      </c>
      <c r="B226" s="257" t="s">
        <v>6966</v>
      </c>
      <c r="C226" s="258" t="s">
        <v>6976</v>
      </c>
      <c r="D226" s="261" t="s">
        <v>6977</v>
      </c>
      <c r="E226" s="262" t="s">
        <v>6618</v>
      </c>
      <c r="F226" s="265" t="s">
        <v>6969</v>
      </c>
      <c r="G226" s="268">
        <f>IF(COUNTIF(H226:AU226,"&lt;&gt;")=0,"",SUMPRODUCT(((Recommendations[ImplStatus]="Implemented")+(Recommendations[ImplStatus]="Compensated"))*ISNUMBER(MATCH(Recommendations[Id],H226:AU226,0)))/COUNTIF(H226:AU226,"&lt;&gt;"))</f>
        <v>0</v>
      </c>
      <c r="H226" s="269" t="s">
        <v>235</v>
      </c>
      <c r="I226" s="269"/>
      <c r="J226" s="269"/>
      <c r="K226" s="269"/>
      <c r="L226" s="269"/>
      <c r="M226" s="269"/>
      <c r="N226" s="269"/>
      <c r="O226" s="269"/>
      <c r="P226" s="269"/>
      <c r="Q226" s="269"/>
      <c r="R226" s="269"/>
      <c r="S226" s="269"/>
      <c r="T226" s="269"/>
      <c r="U226" s="269"/>
      <c r="V226" s="269"/>
      <c r="W226" s="269"/>
      <c r="X226" s="269"/>
      <c r="Y226" s="269"/>
      <c r="Z226" s="269"/>
      <c r="AA226" s="269"/>
      <c r="AB226" s="269"/>
      <c r="AC226" s="269"/>
      <c r="AD226" s="269"/>
      <c r="AE226" s="269"/>
      <c r="AF226" s="269"/>
      <c r="AG226" s="269"/>
      <c r="AH226" s="269"/>
      <c r="AI226" s="269"/>
      <c r="AJ226" s="269"/>
      <c r="AK226" s="269"/>
      <c r="AL226" s="269"/>
      <c r="AM226" s="269"/>
      <c r="AN226" s="269"/>
      <c r="AO226" s="269"/>
      <c r="AP226" s="269"/>
      <c r="AQ226" s="269"/>
      <c r="AR226" s="269"/>
      <c r="AS226" s="269"/>
      <c r="AT226" s="269"/>
      <c r="AU226" s="283"/>
    </row>
    <row r="227" spans="1:47" ht="60" customHeight="1" x14ac:dyDescent="0.35">
      <c r="A227" s="279" t="s">
        <v>6921</v>
      </c>
      <c r="B227" s="257" t="s">
        <v>6966</v>
      </c>
      <c r="C227" s="258" t="s">
        <v>6978</v>
      </c>
      <c r="D227" s="261" t="s">
        <v>6979</v>
      </c>
      <c r="E227" s="262" t="s">
        <v>6618</v>
      </c>
      <c r="F227" s="265" t="s">
        <v>6969</v>
      </c>
      <c r="G227" s="268">
        <f>IF(COUNTIF(H227:AU227,"&lt;&gt;")=0,"",SUMPRODUCT(((Recommendations[ImplStatus]="Implemented")+(Recommendations[ImplStatus]="Compensated"))*ISNUMBER(MATCH(Recommendations[Id],H227:AU227,0)))/COUNTIF(H227:AU227,"&lt;&gt;"))</f>
        <v>0</v>
      </c>
      <c r="H227" s="269" t="s">
        <v>33</v>
      </c>
      <c r="I227" s="269" t="s">
        <v>153</v>
      </c>
      <c r="J227" s="269"/>
      <c r="K227" s="269"/>
      <c r="L227" s="269"/>
      <c r="M227" s="269"/>
      <c r="N227" s="269"/>
      <c r="O227" s="269"/>
      <c r="P227" s="269"/>
      <c r="Q227" s="269"/>
      <c r="R227" s="269"/>
      <c r="S227" s="269"/>
      <c r="T227" s="269"/>
      <c r="U227" s="269"/>
      <c r="V227" s="269"/>
      <c r="W227" s="269"/>
      <c r="X227" s="269"/>
      <c r="Y227" s="269"/>
      <c r="Z227" s="269"/>
      <c r="AA227" s="269"/>
      <c r="AB227" s="269"/>
      <c r="AC227" s="269"/>
      <c r="AD227" s="269"/>
      <c r="AE227" s="269"/>
      <c r="AF227" s="269"/>
      <c r="AG227" s="269"/>
      <c r="AH227" s="269"/>
      <c r="AI227" s="269"/>
      <c r="AJ227" s="269"/>
      <c r="AK227" s="269"/>
      <c r="AL227" s="269"/>
      <c r="AM227" s="269"/>
      <c r="AN227" s="269"/>
      <c r="AO227" s="269"/>
      <c r="AP227" s="269"/>
      <c r="AQ227" s="269"/>
      <c r="AR227" s="269"/>
      <c r="AS227" s="269"/>
      <c r="AT227" s="269"/>
      <c r="AU227" s="283"/>
    </row>
    <row r="228" spans="1:47" ht="60" customHeight="1" x14ac:dyDescent="0.35">
      <c r="A228" s="279" t="s">
        <v>6921</v>
      </c>
      <c r="B228" s="257" t="s">
        <v>6966</v>
      </c>
      <c r="C228" s="258" t="s">
        <v>6980</v>
      </c>
      <c r="D228" s="261" t="s">
        <v>6981</v>
      </c>
      <c r="E228" s="262" t="s">
        <v>6618</v>
      </c>
      <c r="F228" s="265" t="s">
        <v>6969</v>
      </c>
      <c r="G228" s="268" t="str">
        <f>IF(COUNTIF(H228:AU228,"&lt;&gt;")=0,"",SUMPRODUCT(((Recommendations[ImplStatus]="Implemented")+(Recommendations[ImplStatus]="Compensated"))*ISNUMBER(MATCH(Recommendations[Id],H228:AU228,0)))/COUNTIF(H228:AU228,"&lt;&gt;"))</f>
        <v/>
      </c>
      <c r="H228" s="269"/>
      <c r="I228" s="269"/>
      <c r="J228" s="269"/>
      <c r="K228" s="269"/>
      <c r="L228" s="269"/>
      <c r="M228" s="269"/>
      <c r="N228" s="269"/>
      <c r="O228" s="269"/>
      <c r="P228" s="269"/>
      <c r="Q228" s="269"/>
      <c r="R228" s="269"/>
      <c r="S228" s="269"/>
      <c r="T228" s="269"/>
      <c r="U228" s="269"/>
      <c r="V228" s="269"/>
      <c r="W228" s="269"/>
      <c r="X228" s="269"/>
      <c r="Y228" s="269"/>
      <c r="Z228" s="269"/>
      <c r="AA228" s="269"/>
      <c r="AB228" s="269"/>
      <c r="AC228" s="269"/>
      <c r="AD228" s="269"/>
      <c r="AE228" s="269"/>
      <c r="AF228" s="269"/>
      <c r="AG228" s="269"/>
      <c r="AH228" s="269"/>
      <c r="AI228" s="269"/>
      <c r="AJ228" s="269"/>
      <c r="AK228" s="269"/>
      <c r="AL228" s="269"/>
      <c r="AM228" s="269"/>
      <c r="AN228" s="269"/>
      <c r="AO228" s="269"/>
      <c r="AP228" s="269"/>
      <c r="AQ228" s="269"/>
      <c r="AR228" s="269"/>
      <c r="AS228" s="269"/>
      <c r="AT228" s="269"/>
      <c r="AU228" s="283"/>
    </row>
    <row r="229" spans="1:47" ht="60" customHeight="1" x14ac:dyDescent="0.35">
      <c r="A229" s="279" t="s">
        <v>6921</v>
      </c>
      <c r="B229" s="257" t="s">
        <v>6966</v>
      </c>
      <c r="C229" s="258" t="s">
        <v>6982</v>
      </c>
      <c r="D229" s="261" t="s">
        <v>6983</v>
      </c>
      <c r="E229" s="262" t="s">
        <v>6522</v>
      </c>
      <c r="F229" s="265" t="s">
        <v>6969</v>
      </c>
      <c r="G229" s="268" t="str">
        <f>IF(COUNTIF(H229:AU229,"&lt;&gt;")=0,"",SUMPRODUCT(((Recommendations[ImplStatus]="Implemented")+(Recommendations[ImplStatus]="Compensated"))*ISNUMBER(MATCH(Recommendations[Id],H229:AU229,0)))/COUNTIF(H229:AU229,"&lt;&gt;"))</f>
        <v/>
      </c>
      <c r="H229" s="269"/>
      <c r="I229" s="269"/>
      <c r="J229" s="269"/>
      <c r="K229" s="269"/>
      <c r="L229" s="269"/>
      <c r="M229" s="269"/>
      <c r="N229" s="269"/>
      <c r="O229" s="269"/>
      <c r="P229" s="269"/>
      <c r="Q229" s="269"/>
      <c r="R229" s="269"/>
      <c r="S229" s="269"/>
      <c r="T229" s="269"/>
      <c r="U229" s="269"/>
      <c r="V229" s="269"/>
      <c r="W229" s="269"/>
      <c r="X229" s="269"/>
      <c r="Y229" s="269"/>
      <c r="Z229" s="269"/>
      <c r="AA229" s="269"/>
      <c r="AB229" s="269"/>
      <c r="AC229" s="269"/>
      <c r="AD229" s="269"/>
      <c r="AE229" s="269"/>
      <c r="AF229" s="269"/>
      <c r="AG229" s="269"/>
      <c r="AH229" s="269"/>
      <c r="AI229" s="269"/>
      <c r="AJ229" s="269"/>
      <c r="AK229" s="269"/>
      <c r="AL229" s="269"/>
      <c r="AM229" s="269"/>
      <c r="AN229" s="269"/>
      <c r="AO229" s="269"/>
      <c r="AP229" s="269"/>
      <c r="AQ229" s="269"/>
      <c r="AR229" s="269"/>
      <c r="AS229" s="269"/>
      <c r="AT229" s="269"/>
      <c r="AU229" s="283"/>
    </row>
    <row r="230" spans="1:47" ht="60" customHeight="1" x14ac:dyDescent="0.35">
      <c r="A230" s="279" t="s">
        <v>6921</v>
      </c>
      <c r="B230" s="257" t="s">
        <v>6966</v>
      </c>
      <c r="C230" s="258" t="s">
        <v>6984</v>
      </c>
      <c r="D230" s="261" t="s">
        <v>6985</v>
      </c>
      <c r="E230" s="262" t="s">
        <v>6522</v>
      </c>
      <c r="F230" s="265" t="s">
        <v>6969</v>
      </c>
      <c r="G230" s="268" t="str">
        <f>IF(COUNTIF(H230:AU230,"&lt;&gt;")=0,"",SUMPRODUCT(((Recommendations[ImplStatus]="Implemented")+(Recommendations[ImplStatus]="Compensated"))*ISNUMBER(MATCH(Recommendations[Id],H230:AU230,0)))/COUNTIF(H230:AU230,"&lt;&gt;"))</f>
        <v/>
      </c>
      <c r="H230" s="269"/>
      <c r="I230" s="269"/>
      <c r="J230" s="269"/>
      <c r="K230" s="269"/>
      <c r="L230" s="269"/>
      <c r="M230" s="269"/>
      <c r="N230" s="269"/>
      <c r="O230" s="269"/>
      <c r="P230" s="269"/>
      <c r="Q230" s="269"/>
      <c r="R230" s="269"/>
      <c r="S230" s="269"/>
      <c r="T230" s="269"/>
      <c r="U230" s="269"/>
      <c r="V230" s="269"/>
      <c r="W230" s="269"/>
      <c r="X230" s="269"/>
      <c r="Y230" s="269"/>
      <c r="Z230" s="269"/>
      <c r="AA230" s="269"/>
      <c r="AB230" s="269"/>
      <c r="AC230" s="269"/>
      <c r="AD230" s="269"/>
      <c r="AE230" s="269"/>
      <c r="AF230" s="269"/>
      <c r="AG230" s="269"/>
      <c r="AH230" s="269"/>
      <c r="AI230" s="269"/>
      <c r="AJ230" s="269"/>
      <c r="AK230" s="269"/>
      <c r="AL230" s="269"/>
      <c r="AM230" s="269"/>
      <c r="AN230" s="269"/>
      <c r="AO230" s="269"/>
      <c r="AP230" s="269"/>
      <c r="AQ230" s="269"/>
      <c r="AR230" s="269"/>
      <c r="AS230" s="269"/>
      <c r="AT230" s="269"/>
      <c r="AU230" s="283"/>
    </row>
    <row r="231" spans="1:47" ht="60" customHeight="1" x14ac:dyDescent="0.35">
      <c r="A231" s="279" t="s">
        <v>6921</v>
      </c>
      <c r="B231" s="257" t="s">
        <v>6966</v>
      </c>
      <c r="C231" s="258" t="s">
        <v>6986</v>
      </c>
      <c r="D231" s="261" t="s">
        <v>6987</v>
      </c>
      <c r="E231" s="262" t="s">
        <v>6618</v>
      </c>
      <c r="F231" s="265" t="s">
        <v>6988</v>
      </c>
      <c r="G231" s="268" t="str">
        <f>IF(COUNTIF(H231:AU231,"&lt;&gt;")=0,"",SUMPRODUCT(((Recommendations[ImplStatus]="Implemented")+(Recommendations[ImplStatus]="Compensated"))*ISNUMBER(MATCH(Recommendations[Id],H231:AU231,0)))/COUNTIF(H231:AU231,"&lt;&gt;"))</f>
        <v/>
      </c>
      <c r="H231" s="269"/>
      <c r="I231" s="269"/>
      <c r="J231" s="269"/>
      <c r="K231" s="269"/>
      <c r="L231" s="269"/>
      <c r="M231" s="269"/>
      <c r="N231" s="269"/>
      <c r="O231" s="269"/>
      <c r="P231" s="269"/>
      <c r="Q231" s="269"/>
      <c r="R231" s="269"/>
      <c r="S231" s="269"/>
      <c r="T231" s="269"/>
      <c r="U231" s="269"/>
      <c r="V231" s="269"/>
      <c r="W231" s="269"/>
      <c r="X231" s="269"/>
      <c r="Y231" s="269"/>
      <c r="Z231" s="269"/>
      <c r="AA231" s="269"/>
      <c r="AB231" s="269"/>
      <c r="AC231" s="269"/>
      <c r="AD231" s="269"/>
      <c r="AE231" s="269"/>
      <c r="AF231" s="269"/>
      <c r="AG231" s="269"/>
      <c r="AH231" s="269"/>
      <c r="AI231" s="269"/>
      <c r="AJ231" s="269"/>
      <c r="AK231" s="269"/>
      <c r="AL231" s="269"/>
      <c r="AM231" s="269"/>
      <c r="AN231" s="269"/>
      <c r="AO231" s="269"/>
      <c r="AP231" s="269"/>
      <c r="AQ231" s="269"/>
      <c r="AR231" s="269"/>
      <c r="AS231" s="269"/>
      <c r="AT231" s="269"/>
      <c r="AU231" s="283"/>
    </row>
    <row r="232" spans="1:47" ht="60" customHeight="1" x14ac:dyDescent="0.35">
      <c r="A232" s="279" t="s">
        <v>6921</v>
      </c>
      <c r="B232" s="257" t="s">
        <v>6966</v>
      </c>
      <c r="C232" s="258" t="s">
        <v>6989</v>
      </c>
      <c r="D232" s="261" t="s">
        <v>6990</v>
      </c>
      <c r="E232" s="262" t="s">
        <v>6618</v>
      </c>
      <c r="F232" s="265" t="s">
        <v>6988</v>
      </c>
      <c r="G232" s="268" t="str">
        <f>IF(COUNTIF(H232:AU232,"&lt;&gt;")=0,"",SUMPRODUCT(((Recommendations[ImplStatus]="Implemented")+(Recommendations[ImplStatus]="Compensated"))*ISNUMBER(MATCH(Recommendations[Id],H232:AU232,0)))/COUNTIF(H232:AU232,"&lt;&gt;"))</f>
        <v/>
      </c>
      <c r="H232" s="269"/>
      <c r="I232" s="269"/>
      <c r="J232" s="269"/>
      <c r="K232" s="269"/>
      <c r="L232" s="269"/>
      <c r="M232" s="269"/>
      <c r="N232" s="269"/>
      <c r="O232" s="269"/>
      <c r="P232" s="269"/>
      <c r="Q232" s="269"/>
      <c r="R232" s="269"/>
      <c r="S232" s="269"/>
      <c r="T232" s="269"/>
      <c r="U232" s="269"/>
      <c r="V232" s="269"/>
      <c r="W232" s="269"/>
      <c r="X232" s="269"/>
      <c r="Y232" s="269"/>
      <c r="Z232" s="269"/>
      <c r="AA232" s="269"/>
      <c r="AB232" s="269"/>
      <c r="AC232" s="269"/>
      <c r="AD232" s="269"/>
      <c r="AE232" s="269"/>
      <c r="AF232" s="269"/>
      <c r="AG232" s="269"/>
      <c r="AH232" s="269"/>
      <c r="AI232" s="269"/>
      <c r="AJ232" s="269"/>
      <c r="AK232" s="269"/>
      <c r="AL232" s="269"/>
      <c r="AM232" s="269"/>
      <c r="AN232" s="269"/>
      <c r="AO232" s="269"/>
      <c r="AP232" s="269"/>
      <c r="AQ232" s="269"/>
      <c r="AR232" s="269"/>
      <c r="AS232" s="269"/>
      <c r="AT232" s="269"/>
      <c r="AU232" s="283"/>
    </row>
    <row r="233" spans="1:47" ht="60" customHeight="1" x14ac:dyDescent="0.35">
      <c r="A233" s="279" t="s">
        <v>6921</v>
      </c>
      <c r="B233" s="257" t="s">
        <v>6966</v>
      </c>
      <c r="C233" s="258" t="s">
        <v>6991</v>
      </c>
      <c r="D233" s="261" t="s">
        <v>6992</v>
      </c>
      <c r="E233" s="262" t="s">
        <v>6551</v>
      </c>
      <c r="F233" s="265" t="s">
        <v>6988</v>
      </c>
      <c r="G233" s="268" t="str">
        <f>IF(COUNTIF(H233:AU233,"&lt;&gt;")=0,"",SUMPRODUCT(((Recommendations[ImplStatus]="Implemented")+(Recommendations[ImplStatus]="Compensated"))*ISNUMBER(MATCH(Recommendations[Id],H233:AU233,0)))/COUNTIF(H233:AU233,"&lt;&gt;"))</f>
        <v/>
      </c>
      <c r="H233" s="269"/>
      <c r="I233" s="269"/>
      <c r="J233" s="269"/>
      <c r="K233" s="269"/>
      <c r="L233" s="269"/>
      <c r="M233" s="269"/>
      <c r="N233" s="269"/>
      <c r="O233" s="269"/>
      <c r="P233" s="269"/>
      <c r="Q233" s="269"/>
      <c r="R233" s="269"/>
      <c r="S233" s="269"/>
      <c r="T233" s="269"/>
      <c r="U233" s="269"/>
      <c r="V233" s="269"/>
      <c r="W233" s="269"/>
      <c r="X233" s="269"/>
      <c r="Y233" s="269"/>
      <c r="Z233" s="269"/>
      <c r="AA233" s="269"/>
      <c r="AB233" s="269"/>
      <c r="AC233" s="269"/>
      <c r="AD233" s="269"/>
      <c r="AE233" s="269"/>
      <c r="AF233" s="269"/>
      <c r="AG233" s="269"/>
      <c r="AH233" s="269"/>
      <c r="AI233" s="269"/>
      <c r="AJ233" s="269"/>
      <c r="AK233" s="269"/>
      <c r="AL233" s="269"/>
      <c r="AM233" s="269"/>
      <c r="AN233" s="269"/>
      <c r="AO233" s="269"/>
      <c r="AP233" s="269"/>
      <c r="AQ233" s="269"/>
      <c r="AR233" s="269"/>
      <c r="AS233" s="269"/>
      <c r="AT233" s="269"/>
      <c r="AU233" s="283"/>
    </row>
    <row r="234" spans="1:47" ht="60" customHeight="1" x14ac:dyDescent="0.35">
      <c r="A234" s="279" t="s">
        <v>6921</v>
      </c>
      <c r="B234" s="257" t="s">
        <v>6966</v>
      </c>
      <c r="C234" s="258" t="s">
        <v>6993</v>
      </c>
      <c r="D234" s="261" t="s">
        <v>6994</v>
      </c>
      <c r="E234" s="262" t="s">
        <v>6551</v>
      </c>
      <c r="F234" s="265" t="s">
        <v>6988</v>
      </c>
      <c r="G234" s="268" t="str">
        <f>IF(COUNTIF(H234:AU234,"&lt;&gt;")=0,"",SUMPRODUCT(((Recommendations[ImplStatus]="Implemented")+(Recommendations[ImplStatus]="Compensated"))*ISNUMBER(MATCH(Recommendations[Id],H234:AU234,0)))/COUNTIF(H234:AU234,"&lt;&gt;"))</f>
        <v/>
      </c>
      <c r="H234" s="269"/>
      <c r="I234" s="269"/>
      <c r="J234" s="269"/>
      <c r="K234" s="269"/>
      <c r="L234" s="269"/>
      <c r="M234" s="269"/>
      <c r="N234" s="269"/>
      <c r="O234" s="269"/>
      <c r="P234" s="269"/>
      <c r="Q234" s="269"/>
      <c r="R234" s="269"/>
      <c r="S234" s="269"/>
      <c r="T234" s="269"/>
      <c r="U234" s="269"/>
      <c r="V234" s="269"/>
      <c r="W234" s="269"/>
      <c r="X234" s="269"/>
      <c r="Y234" s="269"/>
      <c r="Z234" s="269"/>
      <c r="AA234" s="269"/>
      <c r="AB234" s="269"/>
      <c r="AC234" s="269"/>
      <c r="AD234" s="269"/>
      <c r="AE234" s="269"/>
      <c r="AF234" s="269"/>
      <c r="AG234" s="269"/>
      <c r="AH234" s="269"/>
      <c r="AI234" s="269"/>
      <c r="AJ234" s="269"/>
      <c r="AK234" s="269"/>
      <c r="AL234" s="269"/>
      <c r="AM234" s="269"/>
      <c r="AN234" s="269"/>
      <c r="AO234" s="269"/>
      <c r="AP234" s="269"/>
      <c r="AQ234" s="269"/>
      <c r="AR234" s="269"/>
      <c r="AS234" s="269"/>
      <c r="AT234" s="269"/>
      <c r="AU234" s="283"/>
    </row>
    <row r="235" spans="1:47" ht="60" customHeight="1" x14ac:dyDescent="0.35">
      <c r="A235" s="279" t="s">
        <v>6921</v>
      </c>
      <c r="B235" s="257" t="s">
        <v>6966</v>
      </c>
      <c r="C235" s="258" t="s">
        <v>6995</v>
      </c>
      <c r="D235" s="261" t="s">
        <v>6996</v>
      </c>
      <c r="E235" s="262" t="s">
        <v>6618</v>
      </c>
      <c r="F235" s="265" t="s">
        <v>6988</v>
      </c>
      <c r="G235" s="268" t="str">
        <f>IF(COUNTIF(H235:AU235,"&lt;&gt;")=0,"",SUMPRODUCT(((Recommendations[ImplStatus]="Implemented")+(Recommendations[ImplStatus]="Compensated"))*ISNUMBER(MATCH(Recommendations[Id],H235:AU235,0)))/COUNTIF(H235:AU235,"&lt;&gt;"))</f>
        <v/>
      </c>
      <c r="H235" s="269"/>
      <c r="I235" s="269"/>
      <c r="J235" s="269"/>
      <c r="K235" s="269"/>
      <c r="L235" s="269"/>
      <c r="M235" s="269"/>
      <c r="N235" s="269"/>
      <c r="O235" s="269"/>
      <c r="P235" s="269"/>
      <c r="Q235" s="269"/>
      <c r="R235" s="269"/>
      <c r="S235" s="269"/>
      <c r="T235" s="269"/>
      <c r="U235" s="269"/>
      <c r="V235" s="269"/>
      <c r="W235" s="269"/>
      <c r="X235" s="269"/>
      <c r="Y235" s="269"/>
      <c r="Z235" s="269"/>
      <c r="AA235" s="269"/>
      <c r="AB235" s="269"/>
      <c r="AC235" s="269"/>
      <c r="AD235" s="269"/>
      <c r="AE235" s="269"/>
      <c r="AF235" s="269"/>
      <c r="AG235" s="269"/>
      <c r="AH235" s="269"/>
      <c r="AI235" s="269"/>
      <c r="AJ235" s="269"/>
      <c r="AK235" s="269"/>
      <c r="AL235" s="269"/>
      <c r="AM235" s="269"/>
      <c r="AN235" s="269"/>
      <c r="AO235" s="269"/>
      <c r="AP235" s="269"/>
      <c r="AQ235" s="269"/>
      <c r="AR235" s="269"/>
      <c r="AS235" s="269"/>
      <c r="AT235" s="269"/>
      <c r="AU235" s="283"/>
    </row>
    <row r="236" spans="1:47" ht="60" customHeight="1" x14ac:dyDescent="0.35">
      <c r="A236" s="279" t="s">
        <v>6921</v>
      </c>
      <c r="B236" s="257" t="s">
        <v>6966</v>
      </c>
      <c r="C236" s="258" t="s">
        <v>6997</v>
      </c>
      <c r="D236" s="261" t="s">
        <v>6998</v>
      </c>
      <c r="E236" s="262" t="s">
        <v>6551</v>
      </c>
      <c r="F236" s="265" t="s">
        <v>6988</v>
      </c>
      <c r="G236" s="268" t="str">
        <f>IF(COUNTIF(H236:AU236,"&lt;&gt;")=0,"",SUMPRODUCT(((Recommendations[ImplStatus]="Implemented")+(Recommendations[ImplStatus]="Compensated"))*ISNUMBER(MATCH(Recommendations[Id],H236:AU236,0)))/COUNTIF(H236:AU236,"&lt;&gt;"))</f>
        <v/>
      </c>
      <c r="H236" s="269"/>
      <c r="I236" s="269"/>
      <c r="J236" s="269"/>
      <c r="K236" s="269"/>
      <c r="L236" s="269"/>
      <c r="M236" s="269"/>
      <c r="N236" s="269"/>
      <c r="O236" s="269"/>
      <c r="P236" s="269"/>
      <c r="Q236" s="269"/>
      <c r="R236" s="269"/>
      <c r="S236" s="269"/>
      <c r="T236" s="269"/>
      <c r="U236" s="269"/>
      <c r="V236" s="269"/>
      <c r="W236" s="269"/>
      <c r="X236" s="269"/>
      <c r="Y236" s="269"/>
      <c r="Z236" s="269"/>
      <c r="AA236" s="269"/>
      <c r="AB236" s="269"/>
      <c r="AC236" s="269"/>
      <c r="AD236" s="269"/>
      <c r="AE236" s="269"/>
      <c r="AF236" s="269"/>
      <c r="AG236" s="269"/>
      <c r="AH236" s="269"/>
      <c r="AI236" s="269"/>
      <c r="AJ236" s="269"/>
      <c r="AK236" s="269"/>
      <c r="AL236" s="269"/>
      <c r="AM236" s="269"/>
      <c r="AN236" s="269"/>
      <c r="AO236" s="269"/>
      <c r="AP236" s="269"/>
      <c r="AQ236" s="269"/>
      <c r="AR236" s="269"/>
      <c r="AS236" s="269"/>
      <c r="AT236" s="269"/>
      <c r="AU236" s="283"/>
    </row>
    <row r="237" spans="1:47" ht="60" customHeight="1" outlineLevel="2" x14ac:dyDescent="0.35">
      <c r="A237" s="278" t="s">
        <v>6921</v>
      </c>
      <c r="B237" s="256" t="s">
        <v>3155</v>
      </c>
      <c r="C237" s="256"/>
      <c r="D237" s="260"/>
      <c r="E237" s="256"/>
      <c r="F237" s="264"/>
      <c r="G237" s="267" t="str">
        <f>IF(COUNTIF(H237:AU237,"&lt;&gt;")=0,"",SUMPRODUCT(((Recommendations[ImplStatus]="Implemented")+(Recommendations[ImplStatus]="Compensated"))*ISNUMBER(MATCH(Recommendations[Id],H237:AU237,0)))/COUNTIF(H237:AU237,"&lt;&gt;"))</f>
        <v/>
      </c>
      <c r="H237" s="264"/>
      <c r="I237" s="264"/>
      <c r="J237" s="264"/>
      <c r="K237" s="264"/>
      <c r="L237" s="264"/>
      <c r="M237" s="264"/>
      <c r="N237" s="264"/>
      <c r="O237" s="264"/>
      <c r="P237" s="264"/>
      <c r="Q237" s="264"/>
      <c r="R237" s="264"/>
      <c r="S237" s="264"/>
      <c r="T237" s="264"/>
      <c r="U237" s="264"/>
      <c r="V237" s="264"/>
      <c r="W237" s="264"/>
      <c r="X237" s="264"/>
      <c r="Y237" s="264"/>
      <c r="Z237" s="264"/>
      <c r="AA237" s="264"/>
      <c r="AB237" s="264"/>
      <c r="AC237" s="264"/>
      <c r="AD237" s="264"/>
      <c r="AE237" s="264"/>
      <c r="AF237" s="264"/>
      <c r="AG237" s="264"/>
      <c r="AH237" s="264"/>
      <c r="AI237" s="264"/>
      <c r="AJ237" s="264"/>
      <c r="AK237" s="264"/>
      <c r="AL237" s="264"/>
      <c r="AM237" s="264"/>
      <c r="AN237" s="264"/>
      <c r="AO237" s="264"/>
      <c r="AP237" s="264"/>
      <c r="AQ237" s="264"/>
      <c r="AR237" s="264"/>
      <c r="AS237" s="264"/>
      <c r="AT237" s="264"/>
      <c r="AU237" s="282"/>
    </row>
    <row r="238" spans="1:47" ht="60" customHeight="1" x14ac:dyDescent="0.35">
      <c r="A238" s="279" t="s">
        <v>6921</v>
      </c>
      <c r="B238" s="257" t="s">
        <v>3155</v>
      </c>
      <c r="C238" s="258" t="s">
        <v>6999</v>
      </c>
      <c r="D238" s="261" t="s">
        <v>7000</v>
      </c>
      <c r="E238" s="262" t="s">
        <v>6522</v>
      </c>
      <c r="F238" s="265" t="s">
        <v>7001</v>
      </c>
      <c r="G238" s="268" t="str">
        <f>IF(COUNTIF(H238:AU238,"&lt;&gt;")=0,"",SUMPRODUCT(((Recommendations[ImplStatus]="Implemented")+(Recommendations[ImplStatus]="Compensated"))*ISNUMBER(MATCH(Recommendations[Id],H238:AU238,0)))/COUNTIF(H238:AU238,"&lt;&gt;"))</f>
        <v/>
      </c>
      <c r="H238" s="269"/>
      <c r="I238" s="269"/>
      <c r="J238" s="269"/>
      <c r="K238" s="269"/>
      <c r="L238" s="269"/>
      <c r="M238" s="269"/>
      <c r="N238" s="269"/>
      <c r="O238" s="269"/>
      <c r="P238" s="269"/>
      <c r="Q238" s="269"/>
      <c r="R238" s="269"/>
      <c r="S238" s="269"/>
      <c r="T238" s="269"/>
      <c r="U238" s="269"/>
      <c r="V238" s="269"/>
      <c r="W238" s="269"/>
      <c r="X238" s="269"/>
      <c r="Y238" s="269"/>
      <c r="Z238" s="269"/>
      <c r="AA238" s="269"/>
      <c r="AB238" s="269"/>
      <c r="AC238" s="269"/>
      <c r="AD238" s="269"/>
      <c r="AE238" s="269"/>
      <c r="AF238" s="269"/>
      <c r="AG238" s="269"/>
      <c r="AH238" s="269"/>
      <c r="AI238" s="269"/>
      <c r="AJ238" s="269"/>
      <c r="AK238" s="269"/>
      <c r="AL238" s="269"/>
      <c r="AM238" s="269"/>
      <c r="AN238" s="269"/>
      <c r="AO238" s="269"/>
      <c r="AP238" s="269"/>
      <c r="AQ238" s="269"/>
      <c r="AR238" s="269"/>
      <c r="AS238" s="269"/>
      <c r="AT238" s="269"/>
      <c r="AU238" s="283"/>
    </row>
    <row r="239" spans="1:47" ht="60" customHeight="1" x14ac:dyDescent="0.35">
      <c r="A239" s="279" t="s">
        <v>6921</v>
      </c>
      <c r="B239" s="257" t="s">
        <v>3155</v>
      </c>
      <c r="C239" s="258" t="s">
        <v>7002</v>
      </c>
      <c r="D239" s="261" t="s">
        <v>7003</v>
      </c>
      <c r="E239" s="262" t="s">
        <v>6522</v>
      </c>
      <c r="F239" s="265" t="s">
        <v>7001</v>
      </c>
      <c r="G239" s="268">
        <f>IF(COUNTIF(H239:AU239,"&lt;&gt;")=0,"",SUMPRODUCT(((Recommendations[ImplStatus]="Implemented")+(Recommendations[ImplStatus]="Compensated"))*ISNUMBER(MATCH(Recommendations[Id],H239:AU239,0)))/COUNTIF(H239:AU239,"&lt;&gt;"))</f>
        <v>0</v>
      </c>
      <c r="H239" s="269" t="s">
        <v>148</v>
      </c>
      <c r="I239" s="269" t="s">
        <v>343</v>
      </c>
      <c r="J239" s="269" t="s">
        <v>667</v>
      </c>
      <c r="K239" s="269" t="s">
        <v>672</v>
      </c>
      <c r="L239" s="269"/>
      <c r="M239" s="269"/>
      <c r="N239" s="269"/>
      <c r="O239" s="269"/>
      <c r="P239" s="269"/>
      <c r="Q239" s="269"/>
      <c r="R239" s="269"/>
      <c r="S239" s="269"/>
      <c r="T239" s="269"/>
      <c r="U239" s="269"/>
      <c r="V239" s="269"/>
      <c r="W239" s="269"/>
      <c r="X239" s="269"/>
      <c r="Y239" s="269"/>
      <c r="Z239" s="269"/>
      <c r="AA239" s="269"/>
      <c r="AB239" s="269"/>
      <c r="AC239" s="269"/>
      <c r="AD239" s="269"/>
      <c r="AE239" s="269"/>
      <c r="AF239" s="269"/>
      <c r="AG239" s="269"/>
      <c r="AH239" s="269"/>
      <c r="AI239" s="269"/>
      <c r="AJ239" s="269"/>
      <c r="AK239" s="269"/>
      <c r="AL239" s="269"/>
      <c r="AM239" s="269"/>
      <c r="AN239" s="269"/>
      <c r="AO239" s="269"/>
      <c r="AP239" s="269"/>
      <c r="AQ239" s="269"/>
      <c r="AR239" s="269"/>
      <c r="AS239" s="269"/>
      <c r="AT239" s="269"/>
      <c r="AU239" s="283"/>
    </row>
    <row r="240" spans="1:47" ht="60" customHeight="1" x14ac:dyDescent="0.35">
      <c r="A240" s="279" t="s">
        <v>6921</v>
      </c>
      <c r="B240" s="257" t="s">
        <v>3155</v>
      </c>
      <c r="C240" s="258" t="s">
        <v>7004</v>
      </c>
      <c r="D240" s="261" t="s">
        <v>7005</v>
      </c>
      <c r="E240" s="262" t="s">
        <v>6522</v>
      </c>
      <c r="F240" s="265" t="s">
        <v>7001</v>
      </c>
      <c r="G240" s="268" t="str">
        <f>IF(COUNTIF(H240:AU240,"&lt;&gt;")=0,"",SUMPRODUCT(((Recommendations[ImplStatus]="Implemented")+(Recommendations[ImplStatus]="Compensated"))*ISNUMBER(MATCH(Recommendations[Id],H240:AU240,0)))/COUNTIF(H240:AU240,"&lt;&gt;"))</f>
        <v/>
      </c>
      <c r="H240" s="269"/>
      <c r="I240" s="269"/>
      <c r="J240" s="269"/>
      <c r="K240" s="269"/>
      <c r="L240" s="269"/>
      <c r="M240" s="269"/>
      <c r="N240" s="269"/>
      <c r="O240" s="269"/>
      <c r="P240" s="269"/>
      <c r="Q240" s="269"/>
      <c r="R240" s="269"/>
      <c r="S240" s="269"/>
      <c r="T240" s="269"/>
      <c r="U240" s="269"/>
      <c r="V240" s="269"/>
      <c r="W240" s="269"/>
      <c r="X240" s="269"/>
      <c r="Y240" s="269"/>
      <c r="Z240" s="269"/>
      <c r="AA240" s="269"/>
      <c r="AB240" s="269"/>
      <c r="AC240" s="269"/>
      <c r="AD240" s="269"/>
      <c r="AE240" s="269"/>
      <c r="AF240" s="269"/>
      <c r="AG240" s="269"/>
      <c r="AH240" s="269"/>
      <c r="AI240" s="269"/>
      <c r="AJ240" s="269"/>
      <c r="AK240" s="269"/>
      <c r="AL240" s="269"/>
      <c r="AM240" s="269"/>
      <c r="AN240" s="269"/>
      <c r="AO240" s="269"/>
      <c r="AP240" s="269"/>
      <c r="AQ240" s="269"/>
      <c r="AR240" s="269"/>
      <c r="AS240" s="269"/>
      <c r="AT240" s="269"/>
      <c r="AU240" s="283"/>
    </row>
    <row r="241" spans="1:47" ht="60" customHeight="1" x14ac:dyDescent="0.35">
      <c r="A241" s="279" t="s">
        <v>6921</v>
      </c>
      <c r="B241" s="257" t="s">
        <v>3155</v>
      </c>
      <c r="C241" s="258" t="s">
        <v>7006</v>
      </c>
      <c r="D241" s="261" t="s">
        <v>7007</v>
      </c>
      <c r="E241" s="262" t="s">
        <v>6522</v>
      </c>
      <c r="F241" s="265" t="s">
        <v>7001</v>
      </c>
      <c r="G241" s="268">
        <f>IF(COUNTIF(H241:AU241,"&lt;&gt;")=0,"",SUMPRODUCT(((Recommendations[ImplStatus]="Implemented")+(Recommendations[ImplStatus]="Compensated"))*ISNUMBER(MATCH(Recommendations[Id],H241:AU241,0)))/COUNTIF(H241:AU241,"&lt;&gt;"))</f>
        <v>0</v>
      </c>
      <c r="H241" s="269" t="s">
        <v>38</v>
      </c>
      <c r="I241" s="269" t="s">
        <v>48</v>
      </c>
      <c r="J241" s="269" t="s">
        <v>58</v>
      </c>
      <c r="K241" s="269" t="s">
        <v>63</v>
      </c>
      <c r="L241" s="269" t="s">
        <v>82</v>
      </c>
      <c r="M241" s="269" t="s">
        <v>87</v>
      </c>
      <c r="N241" s="269" t="s">
        <v>92</v>
      </c>
      <c r="O241" s="269" t="s">
        <v>97</v>
      </c>
      <c r="P241" s="269" t="s">
        <v>112</v>
      </c>
      <c r="Q241" s="269" t="s">
        <v>121</v>
      </c>
      <c r="R241" s="269" t="s">
        <v>125</v>
      </c>
      <c r="S241" s="269" t="s">
        <v>130</v>
      </c>
      <c r="T241" s="269" t="s">
        <v>134</v>
      </c>
      <c r="U241" s="269" t="s">
        <v>164</v>
      </c>
      <c r="V241" s="269" t="s">
        <v>169</v>
      </c>
      <c r="W241" s="269" t="s">
        <v>199</v>
      </c>
      <c r="X241" s="269" t="s">
        <v>244</v>
      </c>
      <c r="Y241" s="269" t="s">
        <v>249</v>
      </c>
      <c r="Z241" s="269" t="s">
        <v>254</v>
      </c>
      <c r="AA241" s="269" t="s">
        <v>259</v>
      </c>
      <c r="AB241" s="269" t="s">
        <v>264</v>
      </c>
      <c r="AC241" s="269" t="s">
        <v>308</v>
      </c>
      <c r="AD241" s="269" t="s">
        <v>313</v>
      </c>
      <c r="AE241" s="269" t="s">
        <v>323</v>
      </c>
      <c r="AF241" s="269" t="s">
        <v>333</v>
      </c>
      <c r="AG241" s="269" t="s">
        <v>338</v>
      </c>
      <c r="AH241" s="269" t="s">
        <v>348</v>
      </c>
      <c r="AI241" s="269" t="s">
        <v>353</v>
      </c>
      <c r="AJ241" s="269" t="s">
        <v>358</v>
      </c>
      <c r="AK241" s="269" t="s">
        <v>363</v>
      </c>
      <c r="AL241" s="269" t="s">
        <v>368</v>
      </c>
      <c r="AM241" s="269" t="s">
        <v>373</v>
      </c>
      <c r="AN241" s="269" t="s">
        <v>383</v>
      </c>
      <c r="AO241" s="269" t="s">
        <v>388</v>
      </c>
      <c r="AP241" s="269" t="s">
        <v>392</v>
      </c>
      <c r="AQ241" s="269" t="s">
        <v>396</v>
      </c>
      <c r="AR241" s="269" t="s">
        <v>401</v>
      </c>
      <c r="AS241" s="269" t="s">
        <v>409</v>
      </c>
      <c r="AT241" s="269" t="s">
        <v>413</v>
      </c>
      <c r="AU241" s="283" t="s">
        <v>432</v>
      </c>
    </row>
    <row r="242" spans="1:47" ht="60" customHeight="1" x14ac:dyDescent="0.35">
      <c r="A242" s="279" t="s">
        <v>6921</v>
      </c>
      <c r="B242" s="257" t="s">
        <v>3155</v>
      </c>
      <c r="C242" s="258" t="s">
        <v>7008</v>
      </c>
      <c r="D242" s="261" t="s">
        <v>7009</v>
      </c>
      <c r="E242" s="262" t="s">
        <v>6522</v>
      </c>
      <c r="F242" s="265" t="s">
        <v>7001</v>
      </c>
      <c r="G242" s="268" t="str">
        <f>IF(COUNTIF(H242:AU242,"&lt;&gt;")=0,"",SUMPRODUCT(((Recommendations[ImplStatus]="Implemented")+(Recommendations[ImplStatus]="Compensated"))*ISNUMBER(MATCH(Recommendations[Id],H242:AU242,0)))/COUNTIF(H242:AU242,"&lt;&gt;"))</f>
        <v/>
      </c>
      <c r="H242" s="269"/>
      <c r="I242" s="269"/>
      <c r="J242" s="269"/>
      <c r="K242" s="269"/>
      <c r="L242" s="269"/>
      <c r="M242" s="269"/>
      <c r="N242" s="269"/>
      <c r="O242" s="269"/>
      <c r="P242" s="269"/>
      <c r="Q242" s="269"/>
      <c r="R242" s="269"/>
      <c r="S242" s="269"/>
      <c r="T242" s="269"/>
      <c r="U242" s="269"/>
      <c r="V242" s="269"/>
      <c r="W242" s="269"/>
      <c r="X242" s="269"/>
      <c r="Y242" s="269"/>
      <c r="Z242" s="269"/>
      <c r="AA242" s="269"/>
      <c r="AB242" s="269"/>
      <c r="AC242" s="269"/>
      <c r="AD242" s="269"/>
      <c r="AE242" s="269"/>
      <c r="AF242" s="269"/>
      <c r="AG242" s="269"/>
      <c r="AH242" s="269"/>
      <c r="AI242" s="269"/>
      <c r="AJ242" s="269"/>
      <c r="AK242" s="269"/>
      <c r="AL242" s="269"/>
      <c r="AM242" s="269"/>
      <c r="AN242" s="269"/>
      <c r="AO242" s="269"/>
      <c r="AP242" s="269"/>
      <c r="AQ242" s="269"/>
      <c r="AR242" s="269"/>
      <c r="AS242" s="269"/>
      <c r="AT242" s="269"/>
      <c r="AU242" s="283"/>
    </row>
    <row r="243" spans="1:47" ht="60" customHeight="1" x14ac:dyDescent="0.35">
      <c r="A243" s="279" t="s">
        <v>6921</v>
      </c>
      <c r="B243" s="257" t="s">
        <v>3155</v>
      </c>
      <c r="C243" s="258" t="s">
        <v>7010</v>
      </c>
      <c r="D243" s="261" t="s">
        <v>7011</v>
      </c>
      <c r="E243" s="262" t="s">
        <v>6522</v>
      </c>
      <c r="F243" s="265" t="s">
        <v>7001</v>
      </c>
      <c r="G243" s="268" t="str">
        <f>IF(COUNTIF(H243:AU243,"&lt;&gt;")=0,"",SUMPRODUCT(((Recommendations[ImplStatus]="Implemented")+(Recommendations[ImplStatus]="Compensated"))*ISNUMBER(MATCH(Recommendations[Id],H243:AU243,0)))/COUNTIF(H243:AU243,"&lt;&gt;"))</f>
        <v/>
      </c>
      <c r="H243" s="269"/>
      <c r="I243" s="269"/>
      <c r="J243" s="269"/>
      <c r="K243" s="269"/>
      <c r="L243" s="269"/>
      <c r="M243" s="269"/>
      <c r="N243" s="269"/>
      <c r="O243" s="269"/>
      <c r="P243" s="269"/>
      <c r="Q243" s="269"/>
      <c r="R243" s="269"/>
      <c r="S243" s="269"/>
      <c r="T243" s="269"/>
      <c r="U243" s="269"/>
      <c r="V243" s="269"/>
      <c r="W243" s="269"/>
      <c r="X243" s="269"/>
      <c r="Y243" s="269"/>
      <c r="Z243" s="269"/>
      <c r="AA243" s="269"/>
      <c r="AB243" s="269"/>
      <c r="AC243" s="269"/>
      <c r="AD243" s="269"/>
      <c r="AE243" s="269"/>
      <c r="AF243" s="269"/>
      <c r="AG243" s="269"/>
      <c r="AH243" s="269"/>
      <c r="AI243" s="269"/>
      <c r="AJ243" s="269"/>
      <c r="AK243" s="269"/>
      <c r="AL243" s="269"/>
      <c r="AM243" s="269"/>
      <c r="AN243" s="269"/>
      <c r="AO243" s="269"/>
      <c r="AP243" s="269"/>
      <c r="AQ243" s="269"/>
      <c r="AR243" s="269"/>
      <c r="AS243" s="269"/>
      <c r="AT243" s="269"/>
      <c r="AU243" s="283"/>
    </row>
    <row r="244" spans="1:47" ht="60" customHeight="1" x14ac:dyDescent="0.35">
      <c r="A244" s="279" t="s">
        <v>6921</v>
      </c>
      <c r="B244" s="257" t="s">
        <v>3155</v>
      </c>
      <c r="C244" s="258" t="s">
        <v>7012</v>
      </c>
      <c r="D244" s="261" t="s">
        <v>7013</v>
      </c>
      <c r="E244" s="262" t="s">
        <v>6522</v>
      </c>
      <c r="F244" s="265" t="s">
        <v>7001</v>
      </c>
      <c r="G244" s="268" t="str">
        <f>IF(COUNTIF(H244:AU244,"&lt;&gt;")=0,"",SUMPRODUCT(((Recommendations[ImplStatus]="Implemented")+(Recommendations[ImplStatus]="Compensated"))*ISNUMBER(MATCH(Recommendations[Id],H244:AU244,0)))/COUNTIF(H244:AU244,"&lt;&gt;"))</f>
        <v/>
      </c>
      <c r="H244" s="269"/>
      <c r="I244" s="269"/>
      <c r="J244" s="269"/>
      <c r="K244" s="269"/>
      <c r="L244" s="269"/>
      <c r="M244" s="269"/>
      <c r="N244" s="269"/>
      <c r="O244" s="269"/>
      <c r="P244" s="269"/>
      <c r="Q244" s="269"/>
      <c r="R244" s="269"/>
      <c r="S244" s="269"/>
      <c r="T244" s="269"/>
      <c r="U244" s="269"/>
      <c r="V244" s="269"/>
      <c r="W244" s="269"/>
      <c r="X244" s="269"/>
      <c r="Y244" s="269"/>
      <c r="Z244" s="269"/>
      <c r="AA244" s="269"/>
      <c r="AB244" s="269"/>
      <c r="AC244" s="269"/>
      <c r="AD244" s="269"/>
      <c r="AE244" s="269"/>
      <c r="AF244" s="269"/>
      <c r="AG244" s="269"/>
      <c r="AH244" s="269"/>
      <c r="AI244" s="269"/>
      <c r="AJ244" s="269"/>
      <c r="AK244" s="269"/>
      <c r="AL244" s="269"/>
      <c r="AM244" s="269"/>
      <c r="AN244" s="269"/>
      <c r="AO244" s="269"/>
      <c r="AP244" s="269"/>
      <c r="AQ244" s="269"/>
      <c r="AR244" s="269"/>
      <c r="AS244" s="269"/>
      <c r="AT244" s="269"/>
      <c r="AU244" s="283"/>
    </row>
    <row r="245" spans="1:47" ht="60" customHeight="1" x14ac:dyDescent="0.35">
      <c r="A245" s="279" t="s">
        <v>6921</v>
      </c>
      <c r="B245" s="257" t="s">
        <v>3155</v>
      </c>
      <c r="C245" s="258" t="s">
        <v>7014</v>
      </c>
      <c r="D245" s="261" t="s">
        <v>7015</v>
      </c>
      <c r="E245" s="262" t="s">
        <v>6522</v>
      </c>
      <c r="F245" s="265" t="s">
        <v>7001</v>
      </c>
      <c r="G245" s="268" t="str">
        <f>IF(COUNTIF(H245:AU245,"&lt;&gt;")=0,"",SUMPRODUCT(((Recommendations[ImplStatus]="Implemented")+(Recommendations[ImplStatus]="Compensated"))*ISNUMBER(MATCH(Recommendations[Id],H245:AU245,0)))/COUNTIF(H245:AU245,"&lt;&gt;"))</f>
        <v/>
      </c>
      <c r="H245" s="269"/>
      <c r="I245" s="269"/>
      <c r="J245" s="269"/>
      <c r="K245" s="269"/>
      <c r="L245" s="269"/>
      <c r="M245" s="269"/>
      <c r="N245" s="269"/>
      <c r="O245" s="269"/>
      <c r="P245" s="269"/>
      <c r="Q245" s="269"/>
      <c r="R245" s="269"/>
      <c r="S245" s="269"/>
      <c r="T245" s="269"/>
      <c r="U245" s="269"/>
      <c r="V245" s="269"/>
      <c r="W245" s="269"/>
      <c r="X245" s="269"/>
      <c r="Y245" s="269"/>
      <c r="Z245" s="269"/>
      <c r="AA245" s="269"/>
      <c r="AB245" s="269"/>
      <c r="AC245" s="269"/>
      <c r="AD245" s="269"/>
      <c r="AE245" s="269"/>
      <c r="AF245" s="269"/>
      <c r="AG245" s="269"/>
      <c r="AH245" s="269"/>
      <c r="AI245" s="269"/>
      <c r="AJ245" s="269"/>
      <c r="AK245" s="269"/>
      <c r="AL245" s="269"/>
      <c r="AM245" s="269"/>
      <c r="AN245" s="269"/>
      <c r="AO245" s="269"/>
      <c r="AP245" s="269"/>
      <c r="AQ245" s="269"/>
      <c r="AR245" s="269"/>
      <c r="AS245" s="269"/>
      <c r="AT245" s="269"/>
      <c r="AU245" s="283"/>
    </row>
    <row r="246" spans="1:47" ht="60" customHeight="1" x14ac:dyDescent="0.35">
      <c r="A246" s="279" t="s">
        <v>6921</v>
      </c>
      <c r="B246" s="257" t="s">
        <v>3155</v>
      </c>
      <c r="C246" s="258" t="s">
        <v>7016</v>
      </c>
      <c r="D246" s="261" t="s">
        <v>7017</v>
      </c>
      <c r="E246" s="262" t="s">
        <v>6522</v>
      </c>
      <c r="F246" s="265" t="s">
        <v>7001</v>
      </c>
      <c r="G246" s="268" t="str">
        <f>IF(COUNTIF(H246:AU246,"&lt;&gt;")=0,"",SUMPRODUCT(((Recommendations[ImplStatus]="Implemented")+(Recommendations[ImplStatus]="Compensated"))*ISNUMBER(MATCH(Recommendations[Id],H246:AU246,0)))/COUNTIF(H246:AU246,"&lt;&gt;"))</f>
        <v/>
      </c>
      <c r="H246" s="269"/>
      <c r="I246" s="269"/>
      <c r="J246" s="269"/>
      <c r="K246" s="269"/>
      <c r="L246" s="269"/>
      <c r="M246" s="269"/>
      <c r="N246" s="269"/>
      <c r="O246" s="269"/>
      <c r="P246" s="269"/>
      <c r="Q246" s="269"/>
      <c r="R246" s="269"/>
      <c r="S246" s="269"/>
      <c r="T246" s="269"/>
      <c r="U246" s="269"/>
      <c r="V246" s="269"/>
      <c r="W246" s="269"/>
      <c r="X246" s="269"/>
      <c r="Y246" s="269"/>
      <c r="Z246" s="269"/>
      <c r="AA246" s="269"/>
      <c r="AB246" s="269"/>
      <c r="AC246" s="269"/>
      <c r="AD246" s="269"/>
      <c r="AE246" s="269"/>
      <c r="AF246" s="269"/>
      <c r="AG246" s="269"/>
      <c r="AH246" s="269"/>
      <c r="AI246" s="269"/>
      <c r="AJ246" s="269"/>
      <c r="AK246" s="269"/>
      <c r="AL246" s="269"/>
      <c r="AM246" s="269"/>
      <c r="AN246" s="269"/>
      <c r="AO246" s="269"/>
      <c r="AP246" s="269"/>
      <c r="AQ246" s="269"/>
      <c r="AR246" s="269"/>
      <c r="AS246" s="269"/>
      <c r="AT246" s="269"/>
      <c r="AU246" s="283"/>
    </row>
    <row r="247" spans="1:47" ht="60" customHeight="1" x14ac:dyDescent="0.35">
      <c r="A247" s="279" t="s">
        <v>6921</v>
      </c>
      <c r="B247" s="257" t="s">
        <v>3155</v>
      </c>
      <c r="C247" s="258" t="s">
        <v>7018</v>
      </c>
      <c r="D247" s="261" t="s">
        <v>7019</v>
      </c>
      <c r="E247" s="262" t="s">
        <v>6522</v>
      </c>
      <c r="F247" s="265" t="s">
        <v>7001</v>
      </c>
      <c r="G247" s="268" t="str">
        <f>IF(COUNTIF(H247:AU247,"&lt;&gt;")=0,"",SUMPRODUCT(((Recommendations[ImplStatus]="Implemented")+(Recommendations[ImplStatus]="Compensated"))*ISNUMBER(MATCH(Recommendations[Id],H247:AU247,0)))/COUNTIF(H247:AU247,"&lt;&gt;"))</f>
        <v/>
      </c>
      <c r="H247" s="269"/>
      <c r="I247" s="269"/>
      <c r="J247" s="269"/>
      <c r="K247" s="269"/>
      <c r="L247" s="269"/>
      <c r="M247" s="269"/>
      <c r="N247" s="269"/>
      <c r="O247" s="269"/>
      <c r="P247" s="269"/>
      <c r="Q247" s="269"/>
      <c r="R247" s="269"/>
      <c r="S247" s="269"/>
      <c r="T247" s="269"/>
      <c r="U247" s="269"/>
      <c r="V247" s="269"/>
      <c r="W247" s="269"/>
      <c r="X247" s="269"/>
      <c r="Y247" s="269"/>
      <c r="Z247" s="269"/>
      <c r="AA247" s="269"/>
      <c r="AB247" s="269"/>
      <c r="AC247" s="269"/>
      <c r="AD247" s="269"/>
      <c r="AE247" s="269"/>
      <c r="AF247" s="269"/>
      <c r="AG247" s="269"/>
      <c r="AH247" s="269"/>
      <c r="AI247" s="269"/>
      <c r="AJ247" s="269"/>
      <c r="AK247" s="269"/>
      <c r="AL247" s="269"/>
      <c r="AM247" s="269"/>
      <c r="AN247" s="269"/>
      <c r="AO247" s="269"/>
      <c r="AP247" s="269"/>
      <c r="AQ247" s="269"/>
      <c r="AR247" s="269"/>
      <c r="AS247" s="269"/>
      <c r="AT247" s="269"/>
      <c r="AU247" s="283"/>
    </row>
    <row r="248" spans="1:47" ht="60" customHeight="1" x14ac:dyDescent="0.35">
      <c r="A248" s="279" t="s">
        <v>6921</v>
      </c>
      <c r="B248" s="257" t="s">
        <v>3155</v>
      </c>
      <c r="C248" s="258" t="s">
        <v>7020</v>
      </c>
      <c r="D248" s="261" t="s">
        <v>7021</v>
      </c>
      <c r="E248" s="262" t="s">
        <v>6551</v>
      </c>
      <c r="F248" s="265" t="s">
        <v>7001</v>
      </c>
      <c r="G248" s="268" t="str">
        <f>IF(COUNTIF(H248:AU248,"&lt;&gt;")=0,"",SUMPRODUCT(((Recommendations[ImplStatus]="Implemented")+(Recommendations[ImplStatus]="Compensated"))*ISNUMBER(MATCH(Recommendations[Id],H248:AU248,0)))/COUNTIF(H248:AU248,"&lt;&gt;"))</f>
        <v/>
      </c>
      <c r="H248" s="269"/>
      <c r="I248" s="269"/>
      <c r="J248" s="269"/>
      <c r="K248" s="269"/>
      <c r="L248" s="269"/>
      <c r="M248" s="269"/>
      <c r="N248" s="269"/>
      <c r="O248" s="269"/>
      <c r="P248" s="269"/>
      <c r="Q248" s="269"/>
      <c r="R248" s="269"/>
      <c r="S248" s="269"/>
      <c r="T248" s="269"/>
      <c r="U248" s="269"/>
      <c r="V248" s="269"/>
      <c r="W248" s="269"/>
      <c r="X248" s="269"/>
      <c r="Y248" s="269"/>
      <c r="Z248" s="269"/>
      <c r="AA248" s="269"/>
      <c r="AB248" s="269"/>
      <c r="AC248" s="269"/>
      <c r="AD248" s="269"/>
      <c r="AE248" s="269"/>
      <c r="AF248" s="269"/>
      <c r="AG248" s="269"/>
      <c r="AH248" s="269"/>
      <c r="AI248" s="269"/>
      <c r="AJ248" s="269"/>
      <c r="AK248" s="269"/>
      <c r="AL248" s="269"/>
      <c r="AM248" s="269"/>
      <c r="AN248" s="269"/>
      <c r="AO248" s="269"/>
      <c r="AP248" s="269"/>
      <c r="AQ248" s="269"/>
      <c r="AR248" s="269"/>
      <c r="AS248" s="269"/>
      <c r="AT248" s="269"/>
      <c r="AU248" s="283"/>
    </row>
    <row r="249" spans="1:47" ht="60" customHeight="1" x14ac:dyDescent="0.35">
      <c r="A249" s="279" t="s">
        <v>6921</v>
      </c>
      <c r="B249" s="257" t="s">
        <v>3155</v>
      </c>
      <c r="C249" s="258" t="s">
        <v>7022</v>
      </c>
      <c r="D249" s="261" t="s">
        <v>7023</v>
      </c>
      <c r="E249" s="262" t="s">
        <v>6551</v>
      </c>
      <c r="F249" s="265" t="s">
        <v>7024</v>
      </c>
      <c r="G249" s="268" t="str">
        <f>IF(COUNTIF(H249:AU249,"&lt;&gt;")=0,"",SUMPRODUCT(((Recommendations[ImplStatus]="Implemented")+(Recommendations[ImplStatus]="Compensated"))*ISNUMBER(MATCH(Recommendations[Id],H249:AU249,0)))/COUNTIF(H249:AU249,"&lt;&gt;"))</f>
        <v/>
      </c>
      <c r="H249" s="269"/>
      <c r="I249" s="269"/>
      <c r="J249" s="269"/>
      <c r="K249" s="269"/>
      <c r="L249" s="269"/>
      <c r="M249" s="269"/>
      <c r="N249" s="269"/>
      <c r="O249" s="269"/>
      <c r="P249" s="269"/>
      <c r="Q249" s="269"/>
      <c r="R249" s="269"/>
      <c r="S249" s="269"/>
      <c r="T249" s="269"/>
      <c r="U249" s="269"/>
      <c r="V249" s="269"/>
      <c r="W249" s="269"/>
      <c r="X249" s="269"/>
      <c r="Y249" s="269"/>
      <c r="Z249" s="269"/>
      <c r="AA249" s="269"/>
      <c r="AB249" s="269"/>
      <c r="AC249" s="269"/>
      <c r="AD249" s="269"/>
      <c r="AE249" s="269"/>
      <c r="AF249" s="269"/>
      <c r="AG249" s="269"/>
      <c r="AH249" s="269"/>
      <c r="AI249" s="269"/>
      <c r="AJ249" s="269"/>
      <c r="AK249" s="269"/>
      <c r="AL249" s="269"/>
      <c r="AM249" s="269"/>
      <c r="AN249" s="269"/>
      <c r="AO249" s="269"/>
      <c r="AP249" s="269"/>
      <c r="AQ249" s="269"/>
      <c r="AR249" s="269"/>
      <c r="AS249" s="269"/>
      <c r="AT249" s="269"/>
      <c r="AU249" s="283"/>
    </row>
    <row r="250" spans="1:47" ht="60" customHeight="1" x14ac:dyDescent="0.35">
      <c r="A250" s="279" t="s">
        <v>6921</v>
      </c>
      <c r="B250" s="257" t="s">
        <v>3155</v>
      </c>
      <c r="C250" s="258" t="s">
        <v>7025</v>
      </c>
      <c r="D250" s="261" t="s">
        <v>7026</v>
      </c>
      <c r="E250" s="262" t="s">
        <v>6551</v>
      </c>
      <c r="F250" s="265" t="s">
        <v>7024</v>
      </c>
      <c r="G250" s="268" t="str">
        <f>IF(COUNTIF(H250:AU250,"&lt;&gt;")=0,"",SUMPRODUCT(((Recommendations[ImplStatus]="Implemented")+(Recommendations[ImplStatus]="Compensated"))*ISNUMBER(MATCH(Recommendations[Id],H250:AU250,0)))/COUNTIF(H250:AU250,"&lt;&gt;"))</f>
        <v/>
      </c>
      <c r="H250" s="269"/>
      <c r="I250" s="269"/>
      <c r="J250" s="269"/>
      <c r="K250" s="269"/>
      <c r="L250" s="269"/>
      <c r="M250" s="269"/>
      <c r="N250" s="269"/>
      <c r="O250" s="269"/>
      <c r="P250" s="269"/>
      <c r="Q250" s="269"/>
      <c r="R250" s="269"/>
      <c r="S250" s="269"/>
      <c r="T250" s="269"/>
      <c r="U250" s="269"/>
      <c r="V250" s="269"/>
      <c r="W250" s="269"/>
      <c r="X250" s="269"/>
      <c r="Y250" s="269"/>
      <c r="Z250" s="269"/>
      <c r="AA250" s="269"/>
      <c r="AB250" s="269"/>
      <c r="AC250" s="269"/>
      <c r="AD250" s="269"/>
      <c r="AE250" s="269"/>
      <c r="AF250" s="269"/>
      <c r="AG250" s="269"/>
      <c r="AH250" s="269"/>
      <c r="AI250" s="269"/>
      <c r="AJ250" s="269"/>
      <c r="AK250" s="269"/>
      <c r="AL250" s="269"/>
      <c r="AM250" s="269"/>
      <c r="AN250" s="269"/>
      <c r="AO250" s="269"/>
      <c r="AP250" s="269"/>
      <c r="AQ250" s="269"/>
      <c r="AR250" s="269"/>
      <c r="AS250" s="269"/>
      <c r="AT250" s="269"/>
      <c r="AU250" s="283"/>
    </row>
    <row r="251" spans="1:47" ht="60" customHeight="1" outlineLevel="2" x14ac:dyDescent="0.35">
      <c r="A251" s="278" t="s">
        <v>6921</v>
      </c>
      <c r="B251" s="256" t="s">
        <v>7027</v>
      </c>
      <c r="C251" s="256"/>
      <c r="D251" s="260"/>
      <c r="E251" s="256"/>
      <c r="F251" s="264"/>
      <c r="G251" s="267" t="str">
        <f>IF(COUNTIF(H251:AU251,"&lt;&gt;")=0,"",SUMPRODUCT(((Recommendations[ImplStatus]="Implemented")+(Recommendations[ImplStatus]="Compensated"))*ISNUMBER(MATCH(Recommendations[Id],H251:AU251,0)))/COUNTIF(H251:AU251,"&lt;&gt;"))</f>
        <v/>
      </c>
      <c r="H251" s="264"/>
      <c r="I251" s="264"/>
      <c r="J251" s="264"/>
      <c r="K251" s="264"/>
      <c r="L251" s="264"/>
      <c r="M251" s="264"/>
      <c r="N251" s="264"/>
      <c r="O251" s="264"/>
      <c r="P251" s="264"/>
      <c r="Q251" s="264"/>
      <c r="R251" s="264"/>
      <c r="S251" s="264"/>
      <c r="T251" s="264"/>
      <c r="U251" s="264"/>
      <c r="V251" s="264"/>
      <c r="W251" s="264"/>
      <c r="X251" s="264"/>
      <c r="Y251" s="264"/>
      <c r="Z251" s="264"/>
      <c r="AA251" s="264"/>
      <c r="AB251" s="264"/>
      <c r="AC251" s="264"/>
      <c r="AD251" s="264"/>
      <c r="AE251" s="264"/>
      <c r="AF251" s="264"/>
      <c r="AG251" s="264"/>
      <c r="AH251" s="264"/>
      <c r="AI251" s="264"/>
      <c r="AJ251" s="264"/>
      <c r="AK251" s="264"/>
      <c r="AL251" s="264"/>
      <c r="AM251" s="264"/>
      <c r="AN251" s="264"/>
      <c r="AO251" s="264"/>
      <c r="AP251" s="264"/>
      <c r="AQ251" s="264"/>
      <c r="AR251" s="264"/>
      <c r="AS251" s="264"/>
      <c r="AT251" s="264"/>
      <c r="AU251" s="282"/>
    </row>
    <row r="252" spans="1:47" ht="60" customHeight="1" x14ac:dyDescent="0.35">
      <c r="A252" s="279" t="s">
        <v>6921</v>
      </c>
      <c r="B252" s="257" t="s">
        <v>7027</v>
      </c>
      <c r="C252" s="258" t="s">
        <v>7028</v>
      </c>
      <c r="D252" s="261" t="s">
        <v>7029</v>
      </c>
      <c r="E252" s="262" t="s">
        <v>6618</v>
      </c>
      <c r="F252" s="265" t="s">
        <v>7030</v>
      </c>
      <c r="G252" s="268" t="str">
        <f>IF(COUNTIF(H252:AU252,"&lt;&gt;")=0,"",SUMPRODUCT(((Recommendations[ImplStatus]="Implemented")+(Recommendations[ImplStatus]="Compensated"))*ISNUMBER(MATCH(Recommendations[Id],H252:AU252,0)))/COUNTIF(H252:AU252,"&lt;&gt;"))</f>
        <v/>
      </c>
      <c r="H252" s="269"/>
      <c r="I252" s="269"/>
      <c r="J252" s="269"/>
      <c r="K252" s="269"/>
      <c r="L252" s="269"/>
      <c r="M252" s="269"/>
      <c r="N252" s="269"/>
      <c r="O252" s="269"/>
      <c r="P252" s="269"/>
      <c r="Q252" s="269"/>
      <c r="R252" s="269"/>
      <c r="S252" s="269"/>
      <c r="T252" s="269"/>
      <c r="U252" s="269"/>
      <c r="V252" s="269"/>
      <c r="W252" s="269"/>
      <c r="X252" s="269"/>
      <c r="Y252" s="269"/>
      <c r="Z252" s="269"/>
      <c r="AA252" s="269"/>
      <c r="AB252" s="269"/>
      <c r="AC252" s="269"/>
      <c r="AD252" s="269"/>
      <c r="AE252" s="269"/>
      <c r="AF252" s="269"/>
      <c r="AG252" s="269"/>
      <c r="AH252" s="269"/>
      <c r="AI252" s="269"/>
      <c r="AJ252" s="269"/>
      <c r="AK252" s="269"/>
      <c r="AL252" s="269"/>
      <c r="AM252" s="269"/>
      <c r="AN252" s="269"/>
      <c r="AO252" s="269"/>
      <c r="AP252" s="269"/>
      <c r="AQ252" s="269"/>
      <c r="AR252" s="269"/>
      <c r="AS252" s="269"/>
      <c r="AT252" s="269"/>
      <c r="AU252" s="283"/>
    </row>
    <row r="253" spans="1:47" ht="60" customHeight="1" x14ac:dyDescent="0.35">
      <c r="A253" s="279" t="s">
        <v>6921</v>
      </c>
      <c r="B253" s="257" t="s">
        <v>7027</v>
      </c>
      <c r="C253" s="258" t="s">
        <v>7031</v>
      </c>
      <c r="D253" s="261" t="s">
        <v>7032</v>
      </c>
      <c r="E253" s="262" t="s">
        <v>6618</v>
      </c>
      <c r="F253" s="265" t="s">
        <v>7030</v>
      </c>
      <c r="G253" s="268" t="str">
        <f>IF(COUNTIF(H253:AU253,"&lt;&gt;")=0,"",SUMPRODUCT(((Recommendations[ImplStatus]="Implemented")+(Recommendations[ImplStatus]="Compensated"))*ISNUMBER(MATCH(Recommendations[Id],H253:AU253,0)))/COUNTIF(H253:AU253,"&lt;&gt;"))</f>
        <v/>
      </c>
      <c r="H253" s="269"/>
      <c r="I253" s="269"/>
      <c r="J253" s="269"/>
      <c r="K253" s="269"/>
      <c r="L253" s="269"/>
      <c r="M253" s="269"/>
      <c r="N253" s="269"/>
      <c r="O253" s="269"/>
      <c r="P253" s="269"/>
      <c r="Q253" s="269"/>
      <c r="R253" s="269"/>
      <c r="S253" s="269"/>
      <c r="T253" s="269"/>
      <c r="U253" s="269"/>
      <c r="V253" s="269"/>
      <c r="W253" s="269"/>
      <c r="X253" s="269"/>
      <c r="Y253" s="269"/>
      <c r="Z253" s="269"/>
      <c r="AA253" s="269"/>
      <c r="AB253" s="269"/>
      <c r="AC253" s="269"/>
      <c r="AD253" s="269"/>
      <c r="AE253" s="269"/>
      <c r="AF253" s="269"/>
      <c r="AG253" s="269"/>
      <c r="AH253" s="269"/>
      <c r="AI253" s="269"/>
      <c r="AJ253" s="269"/>
      <c r="AK253" s="269"/>
      <c r="AL253" s="269"/>
      <c r="AM253" s="269"/>
      <c r="AN253" s="269"/>
      <c r="AO253" s="269"/>
      <c r="AP253" s="269"/>
      <c r="AQ253" s="269"/>
      <c r="AR253" s="269"/>
      <c r="AS253" s="269"/>
      <c r="AT253" s="269"/>
      <c r="AU253" s="283"/>
    </row>
    <row r="254" spans="1:47" ht="60" customHeight="1" x14ac:dyDescent="0.35">
      <c r="A254" s="279" t="s">
        <v>6921</v>
      </c>
      <c r="B254" s="257" t="s">
        <v>7027</v>
      </c>
      <c r="C254" s="258" t="s">
        <v>7033</v>
      </c>
      <c r="D254" s="261" t="s">
        <v>7034</v>
      </c>
      <c r="E254" s="262" t="s">
        <v>6618</v>
      </c>
      <c r="F254" s="265" t="s">
        <v>7030</v>
      </c>
      <c r="G254" s="268" t="str">
        <f>IF(COUNTIF(H254:AU254,"&lt;&gt;")=0,"",SUMPRODUCT(((Recommendations[ImplStatus]="Implemented")+(Recommendations[ImplStatus]="Compensated"))*ISNUMBER(MATCH(Recommendations[Id],H254:AU254,0)))/COUNTIF(H254:AU254,"&lt;&gt;"))</f>
        <v/>
      </c>
      <c r="H254" s="269"/>
      <c r="I254" s="269"/>
      <c r="J254" s="269"/>
      <c r="K254" s="269"/>
      <c r="L254" s="269"/>
      <c r="M254" s="269"/>
      <c r="N254" s="269"/>
      <c r="O254" s="269"/>
      <c r="P254" s="269"/>
      <c r="Q254" s="269"/>
      <c r="R254" s="269"/>
      <c r="S254" s="269"/>
      <c r="T254" s="269"/>
      <c r="U254" s="269"/>
      <c r="V254" s="269"/>
      <c r="W254" s="269"/>
      <c r="X254" s="269"/>
      <c r="Y254" s="269"/>
      <c r="Z254" s="269"/>
      <c r="AA254" s="269"/>
      <c r="AB254" s="269"/>
      <c r="AC254" s="269"/>
      <c r="AD254" s="269"/>
      <c r="AE254" s="269"/>
      <c r="AF254" s="269"/>
      <c r="AG254" s="269"/>
      <c r="AH254" s="269"/>
      <c r="AI254" s="269"/>
      <c r="AJ254" s="269"/>
      <c r="AK254" s="269"/>
      <c r="AL254" s="269"/>
      <c r="AM254" s="269"/>
      <c r="AN254" s="269"/>
      <c r="AO254" s="269"/>
      <c r="AP254" s="269"/>
      <c r="AQ254" s="269"/>
      <c r="AR254" s="269"/>
      <c r="AS254" s="269"/>
      <c r="AT254" s="269"/>
      <c r="AU254" s="283"/>
    </row>
    <row r="255" spans="1:47" ht="60" customHeight="1" x14ac:dyDescent="0.35">
      <c r="A255" s="279" t="s">
        <v>6921</v>
      </c>
      <c r="B255" s="257" t="s">
        <v>7027</v>
      </c>
      <c r="C255" s="258" t="s">
        <v>7035</v>
      </c>
      <c r="D255" s="261" t="s">
        <v>7036</v>
      </c>
      <c r="E255" s="262" t="s">
        <v>6618</v>
      </c>
      <c r="F255" s="265" t="s">
        <v>7030</v>
      </c>
      <c r="G255" s="268" t="str">
        <f>IF(COUNTIF(H255:AU255,"&lt;&gt;")=0,"",SUMPRODUCT(((Recommendations[ImplStatus]="Implemented")+(Recommendations[ImplStatus]="Compensated"))*ISNUMBER(MATCH(Recommendations[Id],H255:AU255,0)))/COUNTIF(H255:AU255,"&lt;&gt;"))</f>
        <v/>
      </c>
      <c r="H255" s="269"/>
      <c r="I255" s="269"/>
      <c r="J255" s="269"/>
      <c r="K255" s="269"/>
      <c r="L255" s="269"/>
      <c r="M255" s="269"/>
      <c r="N255" s="269"/>
      <c r="O255" s="269"/>
      <c r="P255" s="269"/>
      <c r="Q255" s="269"/>
      <c r="R255" s="269"/>
      <c r="S255" s="269"/>
      <c r="T255" s="269"/>
      <c r="U255" s="269"/>
      <c r="V255" s="269"/>
      <c r="W255" s="269"/>
      <c r="X255" s="269"/>
      <c r="Y255" s="269"/>
      <c r="Z255" s="269"/>
      <c r="AA255" s="269"/>
      <c r="AB255" s="269"/>
      <c r="AC255" s="269"/>
      <c r="AD255" s="269"/>
      <c r="AE255" s="269"/>
      <c r="AF255" s="269"/>
      <c r="AG255" s="269"/>
      <c r="AH255" s="269"/>
      <c r="AI255" s="269"/>
      <c r="AJ255" s="269"/>
      <c r="AK255" s="269"/>
      <c r="AL255" s="269"/>
      <c r="AM255" s="269"/>
      <c r="AN255" s="269"/>
      <c r="AO255" s="269"/>
      <c r="AP255" s="269"/>
      <c r="AQ255" s="269"/>
      <c r="AR255" s="269"/>
      <c r="AS255" s="269"/>
      <c r="AT255" s="269"/>
      <c r="AU255" s="283"/>
    </row>
    <row r="256" spans="1:47" ht="60" customHeight="1" x14ac:dyDescent="0.35">
      <c r="A256" s="279" t="s">
        <v>6921</v>
      </c>
      <c r="B256" s="257" t="s">
        <v>7027</v>
      </c>
      <c r="C256" s="258" t="s">
        <v>7037</v>
      </c>
      <c r="D256" s="261" t="s">
        <v>7038</v>
      </c>
      <c r="E256" s="262" t="s">
        <v>6618</v>
      </c>
      <c r="F256" s="265" t="s">
        <v>7030</v>
      </c>
      <c r="G256" s="268" t="str">
        <f>IF(COUNTIF(H256:AU256,"&lt;&gt;")=0,"",SUMPRODUCT(((Recommendations[ImplStatus]="Implemented")+(Recommendations[ImplStatus]="Compensated"))*ISNUMBER(MATCH(Recommendations[Id],H256:AU256,0)))/COUNTIF(H256:AU256,"&lt;&gt;"))</f>
        <v/>
      </c>
      <c r="H256" s="269"/>
      <c r="I256" s="269"/>
      <c r="J256" s="269"/>
      <c r="K256" s="269"/>
      <c r="L256" s="269"/>
      <c r="M256" s="269"/>
      <c r="N256" s="269"/>
      <c r="O256" s="269"/>
      <c r="P256" s="269"/>
      <c r="Q256" s="269"/>
      <c r="R256" s="269"/>
      <c r="S256" s="269"/>
      <c r="T256" s="269"/>
      <c r="U256" s="269"/>
      <c r="V256" s="269"/>
      <c r="W256" s="269"/>
      <c r="X256" s="269"/>
      <c r="Y256" s="269"/>
      <c r="Z256" s="269"/>
      <c r="AA256" s="269"/>
      <c r="AB256" s="269"/>
      <c r="AC256" s="269"/>
      <c r="AD256" s="269"/>
      <c r="AE256" s="269"/>
      <c r="AF256" s="269"/>
      <c r="AG256" s="269"/>
      <c r="AH256" s="269"/>
      <c r="AI256" s="269"/>
      <c r="AJ256" s="269"/>
      <c r="AK256" s="269"/>
      <c r="AL256" s="269"/>
      <c r="AM256" s="269"/>
      <c r="AN256" s="269"/>
      <c r="AO256" s="269"/>
      <c r="AP256" s="269"/>
      <c r="AQ256" s="269"/>
      <c r="AR256" s="269"/>
      <c r="AS256" s="269"/>
      <c r="AT256" s="269"/>
      <c r="AU256" s="283"/>
    </row>
    <row r="257" spans="1:47" ht="60" customHeight="1" x14ac:dyDescent="0.35">
      <c r="A257" s="279" t="s">
        <v>6921</v>
      </c>
      <c r="B257" s="257" t="s">
        <v>7027</v>
      </c>
      <c r="C257" s="258" t="s">
        <v>7039</v>
      </c>
      <c r="D257" s="261" t="s">
        <v>7040</v>
      </c>
      <c r="E257" s="262" t="s">
        <v>6522</v>
      </c>
      <c r="F257" s="265" t="s">
        <v>7030</v>
      </c>
      <c r="G257" s="268" t="str">
        <f>IF(COUNTIF(H257:AU257,"&lt;&gt;")=0,"",SUMPRODUCT(((Recommendations[ImplStatus]="Implemented")+(Recommendations[ImplStatus]="Compensated"))*ISNUMBER(MATCH(Recommendations[Id],H257:AU257,0)))/COUNTIF(H257:AU257,"&lt;&gt;"))</f>
        <v/>
      </c>
      <c r="H257" s="269"/>
      <c r="I257" s="269"/>
      <c r="J257" s="269"/>
      <c r="K257" s="269"/>
      <c r="L257" s="269"/>
      <c r="M257" s="269"/>
      <c r="N257" s="269"/>
      <c r="O257" s="269"/>
      <c r="P257" s="269"/>
      <c r="Q257" s="269"/>
      <c r="R257" s="269"/>
      <c r="S257" s="269"/>
      <c r="T257" s="269"/>
      <c r="U257" s="269"/>
      <c r="V257" s="269"/>
      <c r="W257" s="269"/>
      <c r="X257" s="269"/>
      <c r="Y257" s="269"/>
      <c r="Z257" s="269"/>
      <c r="AA257" s="269"/>
      <c r="AB257" s="269"/>
      <c r="AC257" s="269"/>
      <c r="AD257" s="269"/>
      <c r="AE257" s="269"/>
      <c r="AF257" s="269"/>
      <c r="AG257" s="269"/>
      <c r="AH257" s="269"/>
      <c r="AI257" s="269"/>
      <c r="AJ257" s="269"/>
      <c r="AK257" s="269"/>
      <c r="AL257" s="269"/>
      <c r="AM257" s="269"/>
      <c r="AN257" s="269"/>
      <c r="AO257" s="269"/>
      <c r="AP257" s="269"/>
      <c r="AQ257" s="269"/>
      <c r="AR257" s="269"/>
      <c r="AS257" s="269"/>
      <c r="AT257" s="269"/>
      <c r="AU257" s="283"/>
    </row>
    <row r="258" spans="1:47" ht="60" customHeight="1" x14ac:dyDescent="0.35">
      <c r="A258" s="279" t="s">
        <v>6921</v>
      </c>
      <c r="B258" s="257" t="s">
        <v>7027</v>
      </c>
      <c r="C258" s="258" t="s">
        <v>7041</v>
      </c>
      <c r="D258" s="261" t="s">
        <v>7042</v>
      </c>
      <c r="E258" s="262" t="s">
        <v>6522</v>
      </c>
      <c r="F258" s="265" t="s">
        <v>7030</v>
      </c>
      <c r="G258" s="268">
        <f>IF(COUNTIF(H258:AU258,"&lt;&gt;")=0,"",SUMPRODUCT(((Recommendations[ImplStatus]="Implemented")+(Recommendations[ImplStatus]="Compensated"))*ISNUMBER(MATCH(Recommendations[Id],H258:AU258,0)))/COUNTIF(H258:AU258,"&lt;&gt;"))</f>
        <v>0</v>
      </c>
      <c r="H258" s="269" t="s">
        <v>27</v>
      </c>
      <c r="I258" s="269" t="s">
        <v>33</v>
      </c>
      <c r="J258" s="269"/>
      <c r="K258" s="269"/>
      <c r="L258" s="269"/>
      <c r="M258" s="269"/>
      <c r="N258" s="269"/>
      <c r="O258" s="269"/>
      <c r="P258" s="269"/>
      <c r="Q258" s="269"/>
      <c r="R258" s="269"/>
      <c r="S258" s="269"/>
      <c r="T258" s="269"/>
      <c r="U258" s="269"/>
      <c r="V258" s="269"/>
      <c r="W258" s="269"/>
      <c r="X258" s="269"/>
      <c r="Y258" s="269"/>
      <c r="Z258" s="269"/>
      <c r="AA258" s="269"/>
      <c r="AB258" s="269"/>
      <c r="AC258" s="269"/>
      <c r="AD258" s="269"/>
      <c r="AE258" s="269"/>
      <c r="AF258" s="269"/>
      <c r="AG258" s="269"/>
      <c r="AH258" s="269"/>
      <c r="AI258" s="269"/>
      <c r="AJ258" s="269"/>
      <c r="AK258" s="269"/>
      <c r="AL258" s="269"/>
      <c r="AM258" s="269"/>
      <c r="AN258" s="269"/>
      <c r="AO258" s="269"/>
      <c r="AP258" s="269"/>
      <c r="AQ258" s="269"/>
      <c r="AR258" s="269"/>
      <c r="AS258" s="269"/>
      <c r="AT258" s="269"/>
      <c r="AU258" s="283"/>
    </row>
    <row r="259" spans="1:47" ht="60" customHeight="1" x14ac:dyDescent="0.35">
      <c r="A259" s="279" t="s">
        <v>6921</v>
      </c>
      <c r="B259" s="257" t="s">
        <v>7027</v>
      </c>
      <c r="C259" s="258" t="s">
        <v>7043</v>
      </c>
      <c r="D259" s="261" t="s">
        <v>7044</v>
      </c>
      <c r="E259" s="262" t="s">
        <v>6522</v>
      </c>
      <c r="F259" s="265" t="s">
        <v>7030</v>
      </c>
      <c r="G259" s="268" t="str">
        <f>IF(COUNTIF(H259:AU259,"&lt;&gt;")=0,"",SUMPRODUCT(((Recommendations[ImplStatus]="Implemented")+(Recommendations[ImplStatus]="Compensated"))*ISNUMBER(MATCH(Recommendations[Id],H259:AU259,0)))/COUNTIF(H259:AU259,"&lt;&gt;"))</f>
        <v/>
      </c>
      <c r="H259" s="269"/>
      <c r="I259" s="269"/>
      <c r="J259" s="269"/>
      <c r="K259" s="269"/>
      <c r="L259" s="269"/>
      <c r="M259" s="269"/>
      <c r="N259" s="269"/>
      <c r="O259" s="269"/>
      <c r="P259" s="269"/>
      <c r="Q259" s="269"/>
      <c r="R259" s="269"/>
      <c r="S259" s="269"/>
      <c r="T259" s="269"/>
      <c r="U259" s="269"/>
      <c r="V259" s="269"/>
      <c r="W259" s="269"/>
      <c r="X259" s="269"/>
      <c r="Y259" s="269"/>
      <c r="Z259" s="269"/>
      <c r="AA259" s="269"/>
      <c r="AB259" s="269"/>
      <c r="AC259" s="269"/>
      <c r="AD259" s="269"/>
      <c r="AE259" s="269"/>
      <c r="AF259" s="269"/>
      <c r="AG259" s="269"/>
      <c r="AH259" s="269"/>
      <c r="AI259" s="269"/>
      <c r="AJ259" s="269"/>
      <c r="AK259" s="269"/>
      <c r="AL259" s="269"/>
      <c r="AM259" s="269"/>
      <c r="AN259" s="269"/>
      <c r="AO259" s="269"/>
      <c r="AP259" s="269"/>
      <c r="AQ259" s="269"/>
      <c r="AR259" s="269"/>
      <c r="AS259" s="269"/>
      <c r="AT259" s="269"/>
      <c r="AU259" s="283"/>
    </row>
    <row r="260" spans="1:47" ht="60" customHeight="1" x14ac:dyDescent="0.35">
      <c r="A260" s="279" t="s">
        <v>6921</v>
      </c>
      <c r="B260" s="257" t="s">
        <v>7027</v>
      </c>
      <c r="C260" s="258" t="s">
        <v>7045</v>
      </c>
      <c r="D260" s="261" t="s">
        <v>7046</v>
      </c>
      <c r="E260" s="262" t="s">
        <v>6522</v>
      </c>
      <c r="F260" s="265" t="s">
        <v>7030</v>
      </c>
      <c r="G260" s="268" t="str">
        <f>IF(COUNTIF(H260:AU260,"&lt;&gt;")=0,"",SUMPRODUCT(((Recommendations[ImplStatus]="Implemented")+(Recommendations[ImplStatus]="Compensated"))*ISNUMBER(MATCH(Recommendations[Id],H260:AU260,0)))/COUNTIF(H260:AU260,"&lt;&gt;"))</f>
        <v/>
      </c>
      <c r="H260" s="269"/>
      <c r="I260" s="269"/>
      <c r="J260" s="269"/>
      <c r="K260" s="269"/>
      <c r="L260" s="269"/>
      <c r="M260" s="269"/>
      <c r="N260" s="269"/>
      <c r="O260" s="269"/>
      <c r="P260" s="269"/>
      <c r="Q260" s="269"/>
      <c r="R260" s="269"/>
      <c r="S260" s="269"/>
      <c r="T260" s="269"/>
      <c r="U260" s="269"/>
      <c r="V260" s="269"/>
      <c r="W260" s="269"/>
      <c r="X260" s="269"/>
      <c r="Y260" s="269"/>
      <c r="Z260" s="269"/>
      <c r="AA260" s="269"/>
      <c r="AB260" s="269"/>
      <c r="AC260" s="269"/>
      <c r="AD260" s="269"/>
      <c r="AE260" s="269"/>
      <c r="AF260" s="269"/>
      <c r="AG260" s="269"/>
      <c r="AH260" s="269"/>
      <c r="AI260" s="269"/>
      <c r="AJ260" s="269"/>
      <c r="AK260" s="269"/>
      <c r="AL260" s="269"/>
      <c r="AM260" s="269"/>
      <c r="AN260" s="269"/>
      <c r="AO260" s="269"/>
      <c r="AP260" s="269"/>
      <c r="AQ260" s="269"/>
      <c r="AR260" s="269"/>
      <c r="AS260" s="269"/>
      <c r="AT260" s="269"/>
      <c r="AU260" s="283"/>
    </row>
    <row r="261" spans="1:47" ht="60" customHeight="1" x14ac:dyDescent="0.35">
      <c r="A261" s="279" t="s">
        <v>6921</v>
      </c>
      <c r="B261" s="257" t="s">
        <v>7027</v>
      </c>
      <c r="C261" s="258" t="s">
        <v>7047</v>
      </c>
      <c r="D261" s="261" t="s">
        <v>7048</v>
      </c>
      <c r="E261" s="262" t="s">
        <v>6666</v>
      </c>
      <c r="F261" s="265" t="s">
        <v>7030</v>
      </c>
      <c r="G261" s="268" t="str">
        <f>IF(COUNTIF(H261:AU261,"&lt;&gt;")=0,"",SUMPRODUCT(((Recommendations[ImplStatus]="Implemented")+(Recommendations[ImplStatus]="Compensated"))*ISNUMBER(MATCH(Recommendations[Id],H261:AU261,0)))/COUNTIF(H261:AU261,"&lt;&gt;"))</f>
        <v/>
      </c>
      <c r="H261" s="269"/>
      <c r="I261" s="269"/>
      <c r="J261" s="269"/>
      <c r="K261" s="269"/>
      <c r="L261" s="269"/>
      <c r="M261" s="269"/>
      <c r="N261" s="269"/>
      <c r="O261" s="269"/>
      <c r="P261" s="269"/>
      <c r="Q261" s="269"/>
      <c r="R261" s="269"/>
      <c r="S261" s="269"/>
      <c r="T261" s="269"/>
      <c r="U261" s="269"/>
      <c r="V261" s="269"/>
      <c r="W261" s="269"/>
      <c r="X261" s="269"/>
      <c r="Y261" s="269"/>
      <c r="Z261" s="269"/>
      <c r="AA261" s="269"/>
      <c r="AB261" s="269"/>
      <c r="AC261" s="269"/>
      <c r="AD261" s="269"/>
      <c r="AE261" s="269"/>
      <c r="AF261" s="269"/>
      <c r="AG261" s="269"/>
      <c r="AH261" s="269"/>
      <c r="AI261" s="269"/>
      <c r="AJ261" s="269"/>
      <c r="AK261" s="269"/>
      <c r="AL261" s="269"/>
      <c r="AM261" s="269"/>
      <c r="AN261" s="269"/>
      <c r="AO261" s="269"/>
      <c r="AP261" s="269"/>
      <c r="AQ261" s="269"/>
      <c r="AR261" s="269"/>
      <c r="AS261" s="269"/>
      <c r="AT261" s="269"/>
      <c r="AU261" s="283"/>
    </row>
    <row r="262" spans="1:47" ht="60" customHeight="1" x14ac:dyDescent="0.35">
      <c r="A262" s="279" t="s">
        <v>6921</v>
      </c>
      <c r="B262" s="257" t="s">
        <v>7027</v>
      </c>
      <c r="C262" s="258" t="s">
        <v>7049</v>
      </c>
      <c r="D262" s="261" t="s">
        <v>7050</v>
      </c>
      <c r="E262" s="262" t="s">
        <v>6666</v>
      </c>
      <c r="F262" s="265" t="s">
        <v>7030</v>
      </c>
      <c r="G262" s="268" t="str">
        <f>IF(COUNTIF(H262:AU262,"&lt;&gt;")=0,"",SUMPRODUCT(((Recommendations[ImplStatus]="Implemented")+(Recommendations[ImplStatus]="Compensated"))*ISNUMBER(MATCH(Recommendations[Id],H262:AU262,0)))/COUNTIF(H262:AU262,"&lt;&gt;"))</f>
        <v/>
      </c>
      <c r="H262" s="269"/>
      <c r="I262" s="269"/>
      <c r="J262" s="269"/>
      <c r="K262" s="269"/>
      <c r="L262" s="269"/>
      <c r="M262" s="269"/>
      <c r="N262" s="269"/>
      <c r="O262" s="269"/>
      <c r="P262" s="269"/>
      <c r="Q262" s="269"/>
      <c r="R262" s="269"/>
      <c r="S262" s="269"/>
      <c r="T262" s="269"/>
      <c r="U262" s="269"/>
      <c r="V262" s="269"/>
      <c r="W262" s="269"/>
      <c r="X262" s="269"/>
      <c r="Y262" s="269"/>
      <c r="Z262" s="269"/>
      <c r="AA262" s="269"/>
      <c r="AB262" s="269"/>
      <c r="AC262" s="269"/>
      <c r="AD262" s="269"/>
      <c r="AE262" s="269"/>
      <c r="AF262" s="269"/>
      <c r="AG262" s="269"/>
      <c r="AH262" s="269"/>
      <c r="AI262" s="269"/>
      <c r="AJ262" s="269"/>
      <c r="AK262" s="269"/>
      <c r="AL262" s="269"/>
      <c r="AM262" s="269"/>
      <c r="AN262" s="269"/>
      <c r="AO262" s="269"/>
      <c r="AP262" s="269"/>
      <c r="AQ262" s="269"/>
      <c r="AR262" s="269"/>
      <c r="AS262" s="269"/>
      <c r="AT262" s="269"/>
      <c r="AU262" s="283"/>
    </row>
    <row r="263" spans="1:47" ht="60" customHeight="1" x14ac:dyDescent="0.35">
      <c r="A263" s="279" t="s">
        <v>6921</v>
      </c>
      <c r="B263" s="257" t="s">
        <v>7027</v>
      </c>
      <c r="C263" s="258" t="s">
        <v>7051</v>
      </c>
      <c r="D263" s="261" t="s">
        <v>7052</v>
      </c>
      <c r="E263" s="262" t="s">
        <v>6666</v>
      </c>
      <c r="F263" s="265" t="s">
        <v>7030</v>
      </c>
      <c r="G263" s="268" t="str">
        <f>IF(COUNTIF(H263:AU263,"&lt;&gt;")=0,"",SUMPRODUCT(((Recommendations[ImplStatus]="Implemented")+(Recommendations[ImplStatus]="Compensated"))*ISNUMBER(MATCH(Recommendations[Id],H263:AU263,0)))/COUNTIF(H263:AU263,"&lt;&gt;"))</f>
        <v/>
      </c>
      <c r="H263" s="269"/>
      <c r="I263" s="269"/>
      <c r="J263" s="269"/>
      <c r="K263" s="269"/>
      <c r="L263" s="269"/>
      <c r="M263" s="269"/>
      <c r="N263" s="269"/>
      <c r="O263" s="269"/>
      <c r="P263" s="269"/>
      <c r="Q263" s="269"/>
      <c r="R263" s="269"/>
      <c r="S263" s="269"/>
      <c r="T263" s="269"/>
      <c r="U263" s="269"/>
      <c r="V263" s="269"/>
      <c r="W263" s="269"/>
      <c r="X263" s="269"/>
      <c r="Y263" s="269"/>
      <c r="Z263" s="269"/>
      <c r="AA263" s="269"/>
      <c r="AB263" s="269"/>
      <c r="AC263" s="269"/>
      <c r="AD263" s="269"/>
      <c r="AE263" s="269"/>
      <c r="AF263" s="269"/>
      <c r="AG263" s="269"/>
      <c r="AH263" s="269"/>
      <c r="AI263" s="269"/>
      <c r="AJ263" s="269"/>
      <c r="AK263" s="269"/>
      <c r="AL263" s="269"/>
      <c r="AM263" s="269"/>
      <c r="AN263" s="269"/>
      <c r="AO263" s="269"/>
      <c r="AP263" s="269"/>
      <c r="AQ263" s="269"/>
      <c r="AR263" s="269"/>
      <c r="AS263" s="269"/>
      <c r="AT263" s="269"/>
      <c r="AU263" s="283"/>
    </row>
    <row r="264" spans="1:47" ht="60" customHeight="1" outlineLevel="2" x14ac:dyDescent="0.35">
      <c r="A264" s="278" t="s">
        <v>6921</v>
      </c>
      <c r="B264" s="256" t="s">
        <v>7053</v>
      </c>
      <c r="C264" s="256"/>
      <c r="D264" s="260"/>
      <c r="E264" s="256"/>
      <c r="F264" s="264"/>
      <c r="G264" s="267" t="str">
        <f>IF(COUNTIF(H264:AU264,"&lt;&gt;")=0,"",SUMPRODUCT(((Recommendations[ImplStatus]="Implemented")+(Recommendations[ImplStatus]="Compensated"))*ISNUMBER(MATCH(Recommendations[Id],H264:AU264,0)))/COUNTIF(H264:AU264,"&lt;&gt;"))</f>
        <v/>
      </c>
      <c r="H264" s="264"/>
      <c r="I264" s="264"/>
      <c r="J264" s="264"/>
      <c r="K264" s="264"/>
      <c r="L264" s="264"/>
      <c r="M264" s="264"/>
      <c r="N264" s="264"/>
      <c r="O264" s="264"/>
      <c r="P264" s="264"/>
      <c r="Q264" s="264"/>
      <c r="R264" s="264"/>
      <c r="S264" s="264"/>
      <c r="T264" s="264"/>
      <c r="U264" s="264"/>
      <c r="V264" s="264"/>
      <c r="W264" s="264"/>
      <c r="X264" s="264"/>
      <c r="Y264" s="264"/>
      <c r="Z264" s="264"/>
      <c r="AA264" s="264"/>
      <c r="AB264" s="264"/>
      <c r="AC264" s="264"/>
      <c r="AD264" s="264"/>
      <c r="AE264" s="264"/>
      <c r="AF264" s="264"/>
      <c r="AG264" s="264"/>
      <c r="AH264" s="264"/>
      <c r="AI264" s="264"/>
      <c r="AJ264" s="264"/>
      <c r="AK264" s="264"/>
      <c r="AL264" s="264"/>
      <c r="AM264" s="264"/>
      <c r="AN264" s="264"/>
      <c r="AO264" s="264"/>
      <c r="AP264" s="264"/>
      <c r="AQ264" s="264"/>
      <c r="AR264" s="264"/>
      <c r="AS264" s="264"/>
      <c r="AT264" s="264"/>
      <c r="AU264" s="282"/>
    </row>
    <row r="265" spans="1:47" ht="60" customHeight="1" x14ac:dyDescent="0.35">
      <c r="A265" s="279" t="s">
        <v>6921</v>
      </c>
      <c r="B265" s="257" t="s">
        <v>7053</v>
      </c>
      <c r="C265" s="258" t="s">
        <v>7054</v>
      </c>
      <c r="D265" s="261" t="s">
        <v>7055</v>
      </c>
      <c r="E265" s="262" t="s">
        <v>6551</v>
      </c>
      <c r="F265" s="265" t="s">
        <v>7056</v>
      </c>
      <c r="G265" s="268" t="str">
        <f>IF(COUNTIF(H265:AU265,"&lt;&gt;")=0,"",SUMPRODUCT(((Recommendations[ImplStatus]="Implemented")+(Recommendations[ImplStatus]="Compensated"))*ISNUMBER(MATCH(Recommendations[Id],H265:AU265,0)))/COUNTIF(H265:AU265,"&lt;&gt;"))</f>
        <v/>
      </c>
      <c r="H265" s="269"/>
      <c r="I265" s="269"/>
      <c r="J265" s="269"/>
      <c r="K265" s="269"/>
      <c r="L265" s="269"/>
      <c r="M265" s="269"/>
      <c r="N265" s="269"/>
      <c r="O265" s="269"/>
      <c r="P265" s="269"/>
      <c r="Q265" s="269"/>
      <c r="R265" s="269"/>
      <c r="S265" s="269"/>
      <c r="T265" s="269"/>
      <c r="U265" s="269"/>
      <c r="V265" s="269"/>
      <c r="W265" s="269"/>
      <c r="X265" s="269"/>
      <c r="Y265" s="269"/>
      <c r="Z265" s="269"/>
      <c r="AA265" s="269"/>
      <c r="AB265" s="269"/>
      <c r="AC265" s="269"/>
      <c r="AD265" s="269"/>
      <c r="AE265" s="269"/>
      <c r="AF265" s="269"/>
      <c r="AG265" s="269"/>
      <c r="AH265" s="269"/>
      <c r="AI265" s="269"/>
      <c r="AJ265" s="269"/>
      <c r="AK265" s="269"/>
      <c r="AL265" s="269"/>
      <c r="AM265" s="269"/>
      <c r="AN265" s="269"/>
      <c r="AO265" s="269"/>
      <c r="AP265" s="269"/>
      <c r="AQ265" s="269"/>
      <c r="AR265" s="269"/>
      <c r="AS265" s="269"/>
      <c r="AT265" s="269"/>
      <c r="AU265" s="283"/>
    </row>
    <row r="266" spans="1:47" ht="60" customHeight="1" x14ac:dyDescent="0.35">
      <c r="A266" s="279" t="s">
        <v>6921</v>
      </c>
      <c r="B266" s="257" t="s">
        <v>7053</v>
      </c>
      <c r="C266" s="258" t="s">
        <v>7057</v>
      </c>
      <c r="D266" s="261" t="s">
        <v>7058</v>
      </c>
      <c r="E266" s="262" t="s">
        <v>6551</v>
      </c>
      <c r="F266" s="265" t="s">
        <v>7056</v>
      </c>
      <c r="G266" s="268" t="str">
        <f>IF(COUNTIF(H266:AU266,"&lt;&gt;")=0,"",SUMPRODUCT(((Recommendations[ImplStatus]="Implemented")+(Recommendations[ImplStatus]="Compensated"))*ISNUMBER(MATCH(Recommendations[Id],H266:AU266,0)))/COUNTIF(H266:AU266,"&lt;&gt;"))</f>
        <v/>
      </c>
      <c r="H266" s="269"/>
      <c r="I266" s="269"/>
      <c r="J266" s="269"/>
      <c r="K266" s="269"/>
      <c r="L266" s="269"/>
      <c r="M266" s="269"/>
      <c r="N266" s="269"/>
      <c r="O266" s="269"/>
      <c r="P266" s="269"/>
      <c r="Q266" s="269"/>
      <c r="R266" s="269"/>
      <c r="S266" s="269"/>
      <c r="T266" s="269"/>
      <c r="U266" s="269"/>
      <c r="V266" s="269"/>
      <c r="W266" s="269"/>
      <c r="X266" s="269"/>
      <c r="Y266" s="269"/>
      <c r="Z266" s="269"/>
      <c r="AA266" s="269"/>
      <c r="AB266" s="269"/>
      <c r="AC266" s="269"/>
      <c r="AD266" s="269"/>
      <c r="AE266" s="269"/>
      <c r="AF266" s="269"/>
      <c r="AG266" s="269"/>
      <c r="AH266" s="269"/>
      <c r="AI266" s="269"/>
      <c r="AJ266" s="269"/>
      <c r="AK266" s="269"/>
      <c r="AL266" s="269"/>
      <c r="AM266" s="269"/>
      <c r="AN266" s="269"/>
      <c r="AO266" s="269"/>
      <c r="AP266" s="269"/>
      <c r="AQ266" s="269"/>
      <c r="AR266" s="269"/>
      <c r="AS266" s="269"/>
      <c r="AT266" s="269"/>
      <c r="AU266" s="283"/>
    </row>
    <row r="267" spans="1:47" ht="60" customHeight="1" x14ac:dyDescent="0.35">
      <c r="A267" s="279" t="s">
        <v>6921</v>
      </c>
      <c r="B267" s="257" t="s">
        <v>7053</v>
      </c>
      <c r="C267" s="258" t="s">
        <v>7059</v>
      </c>
      <c r="D267" s="261" t="s">
        <v>7060</v>
      </c>
      <c r="E267" s="262" t="s">
        <v>6551</v>
      </c>
      <c r="F267" s="265" t="s">
        <v>7056</v>
      </c>
      <c r="G267" s="268" t="str">
        <f>IF(COUNTIF(H267:AU267,"&lt;&gt;")=0,"",SUMPRODUCT(((Recommendations[ImplStatus]="Implemented")+(Recommendations[ImplStatus]="Compensated"))*ISNUMBER(MATCH(Recommendations[Id],H267:AU267,0)))/COUNTIF(H267:AU267,"&lt;&gt;"))</f>
        <v/>
      </c>
      <c r="H267" s="269"/>
      <c r="I267" s="269"/>
      <c r="J267" s="269"/>
      <c r="K267" s="269"/>
      <c r="L267" s="269"/>
      <c r="M267" s="269"/>
      <c r="N267" s="269"/>
      <c r="O267" s="269"/>
      <c r="P267" s="269"/>
      <c r="Q267" s="269"/>
      <c r="R267" s="269"/>
      <c r="S267" s="269"/>
      <c r="T267" s="269"/>
      <c r="U267" s="269"/>
      <c r="V267" s="269"/>
      <c r="W267" s="269"/>
      <c r="X267" s="269"/>
      <c r="Y267" s="269"/>
      <c r="Z267" s="269"/>
      <c r="AA267" s="269"/>
      <c r="AB267" s="269"/>
      <c r="AC267" s="269"/>
      <c r="AD267" s="269"/>
      <c r="AE267" s="269"/>
      <c r="AF267" s="269"/>
      <c r="AG267" s="269"/>
      <c r="AH267" s="269"/>
      <c r="AI267" s="269"/>
      <c r="AJ267" s="269"/>
      <c r="AK267" s="269"/>
      <c r="AL267" s="269"/>
      <c r="AM267" s="269"/>
      <c r="AN267" s="269"/>
      <c r="AO267" s="269"/>
      <c r="AP267" s="269"/>
      <c r="AQ267" s="269"/>
      <c r="AR267" s="269"/>
      <c r="AS267" s="269"/>
      <c r="AT267" s="269"/>
      <c r="AU267" s="283"/>
    </row>
    <row r="268" spans="1:47" ht="60" customHeight="1" x14ac:dyDescent="0.35">
      <c r="A268" s="279" t="s">
        <v>6921</v>
      </c>
      <c r="B268" s="257" t="s">
        <v>7053</v>
      </c>
      <c r="C268" s="258" t="s">
        <v>7061</v>
      </c>
      <c r="D268" s="261" t="s">
        <v>7062</v>
      </c>
      <c r="E268" s="262" t="s">
        <v>6551</v>
      </c>
      <c r="F268" s="265" t="s">
        <v>7056</v>
      </c>
      <c r="G268" s="268" t="str">
        <f>IF(COUNTIF(H268:AU268,"&lt;&gt;")=0,"",SUMPRODUCT(((Recommendations[ImplStatus]="Implemented")+(Recommendations[ImplStatus]="Compensated"))*ISNUMBER(MATCH(Recommendations[Id],H268:AU268,0)))/COUNTIF(H268:AU268,"&lt;&gt;"))</f>
        <v/>
      </c>
      <c r="H268" s="269"/>
      <c r="I268" s="269"/>
      <c r="J268" s="269"/>
      <c r="K268" s="269"/>
      <c r="L268" s="269"/>
      <c r="M268" s="269"/>
      <c r="N268" s="269"/>
      <c r="O268" s="269"/>
      <c r="P268" s="269"/>
      <c r="Q268" s="269"/>
      <c r="R268" s="269"/>
      <c r="S268" s="269"/>
      <c r="T268" s="269"/>
      <c r="U268" s="269"/>
      <c r="V268" s="269"/>
      <c r="W268" s="269"/>
      <c r="X268" s="269"/>
      <c r="Y268" s="269"/>
      <c r="Z268" s="269"/>
      <c r="AA268" s="269"/>
      <c r="AB268" s="269"/>
      <c r="AC268" s="269"/>
      <c r="AD268" s="269"/>
      <c r="AE268" s="269"/>
      <c r="AF268" s="269"/>
      <c r="AG268" s="269"/>
      <c r="AH268" s="269"/>
      <c r="AI268" s="269"/>
      <c r="AJ268" s="269"/>
      <c r="AK268" s="269"/>
      <c r="AL268" s="269"/>
      <c r="AM268" s="269"/>
      <c r="AN268" s="269"/>
      <c r="AO268" s="269"/>
      <c r="AP268" s="269"/>
      <c r="AQ268" s="269"/>
      <c r="AR268" s="269"/>
      <c r="AS268" s="269"/>
      <c r="AT268" s="269"/>
      <c r="AU268" s="283"/>
    </row>
    <row r="269" spans="1:47" ht="60" customHeight="1" x14ac:dyDescent="0.35">
      <c r="A269" s="279" t="s">
        <v>6921</v>
      </c>
      <c r="B269" s="257" t="s">
        <v>7053</v>
      </c>
      <c r="C269" s="258" t="s">
        <v>7063</v>
      </c>
      <c r="D269" s="261" t="s">
        <v>7064</v>
      </c>
      <c r="E269" s="262" t="s">
        <v>6551</v>
      </c>
      <c r="F269" s="265" t="s">
        <v>7056</v>
      </c>
      <c r="G269" s="268" t="str">
        <f>IF(COUNTIF(H269:AU269,"&lt;&gt;")=0,"",SUMPRODUCT(((Recommendations[ImplStatus]="Implemented")+(Recommendations[ImplStatus]="Compensated"))*ISNUMBER(MATCH(Recommendations[Id],H269:AU269,0)))/COUNTIF(H269:AU269,"&lt;&gt;"))</f>
        <v/>
      </c>
      <c r="H269" s="269"/>
      <c r="I269" s="269"/>
      <c r="J269" s="269"/>
      <c r="K269" s="269"/>
      <c r="L269" s="269"/>
      <c r="M269" s="269"/>
      <c r="N269" s="269"/>
      <c r="O269" s="269"/>
      <c r="P269" s="269"/>
      <c r="Q269" s="269"/>
      <c r="R269" s="269"/>
      <c r="S269" s="269"/>
      <c r="T269" s="269"/>
      <c r="U269" s="269"/>
      <c r="V269" s="269"/>
      <c r="W269" s="269"/>
      <c r="X269" s="269"/>
      <c r="Y269" s="269"/>
      <c r="Z269" s="269"/>
      <c r="AA269" s="269"/>
      <c r="AB269" s="269"/>
      <c r="AC269" s="269"/>
      <c r="AD269" s="269"/>
      <c r="AE269" s="269"/>
      <c r="AF269" s="269"/>
      <c r="AG269" s="269"/>
      <c r="AH269" s="269"/>
      <c r="AI269" s="269"/>
      <c r="AJ269" s="269"/>
      <c r="AK269" s="269"/>
      <c r="AL269" s="269"/>
      <c r="AM269" s="269"/>
      <c r="AN269" s="269"/>
      <c r="AO269" s="269"/>
      <c r="AP269" s="269"/>
      <c r="AQ269" s="269"/>
      <c r="AR269" s="269"/>
      <c r="AS269" s="269"/>
      <c r="AT269" s="269"/>
      <c r="AU269" s="283"/>
    </row>
    <row r="270" spans="1:47" ht="60" customHeight="1" x14ac:dyDescent="0.35">
      <c r="A270" s="279" t="s">
        <v>6921</v>
      </c>
      <c r="B270" s="257" t="s">
        <v>7053</v>
      </c>
      <c r="C270" s="258" t="s">
        <v>7065</v>
      </c>
      <c r="D270" s="261" t="s">
        <v>7066</v>
      </c>
      <c r="E270" s="262" t="s">
        <v>6551</v>
      </c>
      <c r="F270" s="265" t="s">
        <v>7056</v>
      </c>
      <c r="G270" s="268" t="str">
        <f>IF(COUNTIF(H270:AU270,"&lt;&gt;")=0,"",SUMPRODUCT(((Recommendations[ImplStatus]="Implemented")+(Recommendations[ImplStatus]="Compensated"))*ISNUMBER(MATCH(Recommendations[Id],H270:AU270,0)))/COUNTIF(H270:AU270,"&lt;&gt;"))</f>
        <v/>
      </c>
      <c r="H270" s="269"/>
      <c r="I270" s="269"/>
      <c r="J270" s="269"/>
      <c r="K270" s="269"/>
      <c r="L270" s="269"/>
      <c r="M270" s="269"/>
      <c r="N270" s="269"/>
      <c r="O270" s="269"/>
      <c r="P270" s="269"/>
      <c r="Q270" s="269"/>
      <c r="R270" s="269"/>
      <c r="S270" s="269"/>
      <c r="T270" s="269"/>
      <c r="U270" s="269"/>
      <c r="V270" s="269"/>
      <c r="W270" s="269"/>
      <c r="X270" s="269"/>
      <c r="Y270" s="269"/>
      <c r="Z270" s="269"/>
      <c r="AA270" s="269"/>
      <c r="AB270" s="269"/>
      <c r="AC270" s="269"/>
      <c r="AD270" s="269"/>
      <c r="AE270" s="269"/>
      <c r="AF270" s="269"/>
      <c r="AG270" s="269"/>
      <c r="AH270" s="269"/>
      <c r="AI270" s="269"/>
      <c r="AJ270" s="269"/>
      <c r="AK270" s="269"/>
      <c r="AL270" s="269"/>
      <c r="AM270" s="269"/>
      <c r="AN270" s="269"/>
      <c r="AO270" s="269"/>
      <c r="AP270" s="269"/>
      <c r="AQ270" s="269"/>
      <c r="AR270" s="269"/>
      <c r="AS270" s="269"/>
      <c r="AT270" s="269"/>
      <c r="AU270" s="283"/>
    </row>
    <row r="271" spans="1:47" ht="60" customHeight="1" x14ac:dyDescent="0.35">
      <c r="A271" s="279" t="s">
        <v>6921</v>
      </c>
      <c r="B271" s="257" t="s">
        <v>7053</v>
      </c>
      <c r="C271" s="258" t="s">
        <v>7067</v>
      </c>
      <c r="D271" s="261" t="s">
        <v>7068</v>
      </c>
      <c r="E271" s="262" t="s">
        <v>6551</v>
      </c>
      <c r="F271" s="265" t="s">
        <v>7056</v>
      </c>
      <c r="G271" s="268" t="str">
        <f>IF(COUNTIF(H271:AU271,"&lt;&gt;")=0,"",SUMPRODUCT(((Recommendations[ImplStatus]="Implemented")+(Recommendations[ImplStatus]="Compensated"))*ISNUMBER(MATCH(Recommendations[Id],H271:AU271,0)))/COUNTIF(H271:AU271,"&lt;&gt;"))</f>
        <v/>
      </c>
      <c r="H271" s="269"/>
      <c r="I271" s="269"/>
      <c r="J271" s="269"/>
      <c r="K271" s="269"/>
      <c r="L271" s="269"/>
      <c r="M271" s="269"/>
      <c r="N271" s="269"/>
      <c r="O271" s="269"/>
      <c r="P271" s="269"/>
      <c r="Q271" s="269"/>
      <c r="R271" s="269"/>
      <c r="S271" s="269"/>
      <c r="T271" s="269"/>
      <c r="U271" s="269"/>
      <c r="V271" s="269"/>
      <c r="W271" s="269"/>
      <c r="X271" s="269"/>
      <c r="Y271" s="269"/>
      <c r="Z271" s="269"/>
      <c r="AA271" s="269"/>
      <c r="AB271" s="269"/>
      <c r="AC271" s="269"/>
      <c r="AD271" s="269"/>
      <c r="AE271" s="269"/>
      <c r="AF271" s="269"/>
      <c r="AG271" s="269"/>
      <c r="AH271" s="269"/>
      <c r="AI271" s="269"/>
      <c r="AJ271" s="269"/>
      <c r="AK271" s="269"/>
      <c r="AL271" s="269"/>
      <c r="AM271" s="269"/>
      <c r="AN271" s="269"/>
      <c r="AO271" s="269"/>
      <c r="AP271" s="269"/>
      <c r="AQ271" s="269"/>
      <c r="AR271" s="269"/>
      <c r="AS271" s="269"/>
      <c r="AT271" s="269"/>
      <c r="AU271" s="283"/>
    </row>
    <row r="272" spans="1:47" ht="60" customHeight="1" x14ac:dyDescent="0.35">
      <c r="A272" s="279" t="s">
        <v>6921</v>
      </c>
      <c r="B272" s="257" t="s">
        <v>7053</v>
      </c>
      <c r="C272" s="258" t="s">
        <v>7069</v>
      </c>
      <c r="D272" s="261" t="s">
        <v>7070</v>
      </c>
      <c r="E272" s="262" t="s">
        <v>6551</v>
      </c>
      <c r="F272" s="265" t="s">
        <v>7056</v>
      </c>
      <c r="G272" s="268" t="str">
        <f>IF(COUNTIF(H272:AU272,"&lt;&gt;")=0,"",SUMPRODUCT(((Recommendations[ImplStatus]="Implemented")+(Recommendations[ImplStatus]="Compensated"))*ISNUMBER(MATCH(Recommendations[Id],H272:AU272,0)))/COUNTIF(H272:AU272,"&lt;&gt;"))</f>
        <v/>
      </c>
      <c r="H272" s="269"/>
      <c r="I272" s="269"/>
      <c r="J272" s="269"/>
      <c r="K272" s="269"/>
      <c r="L272" s="269"/>
      <c r="M272" s="269"/>
      <c r="N272" s="269"/>
      <c r="O272" s="269"/>
      <c r="P272" s="269"/>
      <c r="Q272" s="269"/>
      <c r="R272" s="269"/>
      <c r="S272" s="269"/>
      <c r="T272" s="269"/>
      <c r="U272" s="269"/>
      <c r="V272" s="269"/>
      <c r="W272" s="269"/>
      <c r="X272" s="269"/>
      <c r="Y272" s="269"/>
      <c r="Z272" s="269"/>
      <c r="AA272" s="269"/>
      <c r="AB272" s="269"/>
      <c r="AC272" s="269"/>
      <c r="AD272" s="269"/>
      <c r="AE272" s="269"/>
      <c r="AF272" s="269"/>
      <c r="AG272" s="269"/>
      <c r="AH272" s="269"/>
      <c r="AI272" s="269"/>
      <c r="AJ272" s="269"/>
      <c r="AK272" s="269"/>
      <c r="AL272" s="269"/>
      <c r="AM272" s="269"/>
      <c r="AN272" s="269"/>
      <c r="AO272" s="269"/>
      <c r="AP272" s="269"/>
      <c r="AQ272" s="269"/>
      <c r="AR272" s="269"/>
      <c r="AS272" s="269"/>
      <c r="AT272" s="269"/>
      <c r="AU272" s="283"/>
    </row>
    <row r="273" spans="1:47" ht="60" customHeight="1" x14ac:dyDescent="0.35">
      <c r="A273" s="279" t="s">
        <v>6921</v>
      </c>
      <c r="B273" s="257" t="s">
        <v>7053</v>
      </c>
      <c r="C273" s="258" t="s">
        <v>7071</v>
      </c>
      <c r="D273" s="261" t="s">
        <v>7072</v>
      </c>
      <c r="E273" s="262" t="s">
        <v>6551</v>
      </c>
      <c r="F273" s="265" t="s">
        <v>7056</v>
      </c>
      <c r="G273" s="268" t="str">
        <f>IF(COUNTIF(H273:AU273,"&lt;&gt;")=0,"",SUMPRODUCT(((Recommendations[ImplStatus]="Implemented")+(Recommendations[ImplStatus]="Compensated"))*ISNUMBER(MATCH(Recommendations[Id],H273:AU273,0)))/COUNTIF(H273:AU273,"&lt;&gt;"))</f>
        <v/>
      </c>
      <c r="H273" s="269"/>
      <c r="I273" s="269"/>
      <c r="J273" s="269"/>
      <c r="K273" s="269"/>
      <c r="L273" s="269"/>
      <c r="M273" s="269"/>
      <c r="N273" s="269"/>
      <c r="O273" s="269"/>
      <c r="P273" s="269"/>
      <c r="Q273" s="269"/>
      <c r="R273" s="269"/>
      <c r="S273" s="269"/>
      <c r="T273" s="269"/>
      <c r="U273" s="269"/>
      <c r="V273" s="269"/>
      <c r="W273" s="269"/>
      <c r="X273" s="269"/>
      <c r="Y273" s="269"/>
      <c r="Z273" s="269"/>
      <c r="AA273" s="269"/>
      <c r="AB273" s="269"/>
      <c r="AC273" s="269"/>
      <c r="AD273" s="269"/>
      <c r="AE273" s="269"/>
      <c r="AF273" s="269"/>
      <c r="AG273" s="269"/>
      <c r="AH273" s="269"/>
      <c r="AI273" s="269"/>
      <c r="AJ273" s="269"/>
      <c r="AK273" s="269"/>
      <c r="AL273" s="269"/>
      <c r="AM273" s="269"/>
      <c r="AN273" s="269"/>
      <c r="AO273" s="269"/>
      <c r="AP273" s="269"/>
      <c r="AQ273" s="269"/>
      <c r="AR273" s="269"/>
      <c r="AS273" s="269"/>
      <c r="AT273" s="269"/>
      <c r="AU273" s="283"/>
    </row>
    <row r="274" spans="1:47" ht="60" customHeight="1" outlineLevel="1" x14ac:dyDescent="0.35">
      <c r="A274" s="277" t="s">
        <v>7073</v>
      </c>
      <c r="B274" s="255"/>
      <c r="C274" s="255"/>
      <c r="D274" s="259"/>
      <c r="E274" s="255"/>
      <c r="F274" s="263"/>
      <c r="G274" s="266" t="str">
        <f>IF(COUNTIF(H274:AU274,"&lt;&gt;")=0,"",SUMPRODUCT(((Recommendations[ImplStatus]="Implemented")+(Recommendations[ImplStatus]="Compensated"))*ISNUMBER(MATCH(Recommendations[Id],H274:AU274,0)))/COUNTIF(H274:AU274,"&lt;&gt;"))</f>
        <v/>
      </c>
      <c r="H274" s="263"/>
      <c r="I274" s="263"/>
      <c r="J274" s="263"/>
      <c r="K274" s="263"/>
      <c r="L274" s="263"/>
      <c r="M274" s="263"/>
      <c r="N274" s="263"/>
      <c r="O274" s="263"/>
      <c r="P274" s="263"/>
      <c r="Q274" s="263"/>
      <c r="R274" s="263"/>
      <c r="S274" s="263"/>
      <c r="T274" s="263"/>
      <c r="U274" s="263"/>
      <c r="V274" s="263"/>
      <c r="W274" s="263"/>
      <c r="X274" s="263"/>
      <c r="Y274" s="263"/>
      <c r="Z274" s="263"/>
      <c r="AA274" s="263"/>
      <c r="AB274" s="263"/>
      <c r="AC274" s="263"/>
      <c r="AD274" s="263"/>
      <c r="AE274" s="263"/>
      <c r="AF274" s="263"/>
      <c r="AG274" s="263"/>
      <c r="AH274" s="263"/>
      <c r="AI274" s="263"/>
      <c r="AJ274" s="263"/>
      <c r="AK274" s="263"/>
      <c r="AL274" s="263"/>
      <c r="AM274" s="263"/>
      <c r="AN274" s="263"/>
      <c r="AO274" s="263"/>
      <c r="AP274" s="263"/>
      <c r="AQ274" s="263"/>
      <c r="AR274" s="263"/>
      <c r="AS274" s="263"/>
      <c r="AT274" s="263"/>
      <c r="AU274" s="281"/>
    </row>
    <row r="275" spans="1:47" ht="60" customHeight="1" outlineLevel="2" x14ac:dyDescent="0.35">
      <c r="A275" s="278" t="s">
        <v>7073</v>
      </c>
      <c r="B275" s="256" t="s">
        <v>7074</v>
      </c>
      <c r="C275" s="256"/>
      <c r="D275" s="260"/>
      <c r="E275" s="256"/>
      <c r="F275" s="264"/>
      <c r="G275" s="267" t="str">
        <f>IF(COUNTIF(H275:AU275,"&lt;&gt;")=0,"",SUMPRODUCT(((Recommendations[ImplStatus]="Implemented")+(Recommendations[ImplStatus]="Compensated"))*ISNUMBER(MATCH(Recommendations[Id],H275:AU275,0)))/COUNTIF(H275:AU275,"&lt;&gt;"))</f>
        <v/>
      </c>
      <c r="H275" s="264"/>
      <c r="I275" s="264"/>
      <c r="J275" s="264"/>
      <c r="K275" s="264"/>
      <c r="L275" s="264"/>
      <c r="M275" s="264"/>
      <c r="N275" s="264"/>
      <c r="O275" s="264"/>
      <c r="P275" s="264"/>
      <c r="Q275" s="264"/>
      <c r="R275" s="264"/>
      <c r="S275" s="264"/>
      <c r="T275" s="264"/>
      <c r="U275" s="264"/>
      <c r="V275" s="264"/>
      <c r="W275" s="264"/>
      <c r="X275" s="264"/>
      <c r="Y275" s="264"/>
      <c r="Z275" s="264"/>
      <c r="AA275" s="264"/>
      <c r="AB275" s="264"/>
      <c r="AC275" s="264"/>
      <c r="AD275" s="264"/>
      <c r="AE275" s="264"/>
      <c r="AF275" s="264"/>
      <c r="AG275" s="264"/>
      <c r="AH275" s="264"/>
      <c r="AI275" s="264"/>
      <c r="AJ275" s="264"/>
      <c r="AK275" s="264"/>
      <c r="AL275" s="264"/>
      <c r="AM275" s="264"/>
      <c r="AN275" s="264"/>
      <c r="AO275" s="264"/>
      <c r="AP275" s="264"/>
      <c r="AQ275" s="264"/>
      <c r="AR275" s="264"/>
      <c r="AS275" s="264"/>
      <c r="AT275" s="264"/>
      <c r="AU275" s="282"/>
    </row>
    <row r="276" spans="1:47" ht="60" customHeight="1" x14ac:dyDescent="0.35">
      <c r="A276" s="279" t="s">
        <v>7073</v>
      </c>
      <c r="B276" s="257" t="s">
        <v>7074</v>
      </c>
      <c r="C276" s="258" t="s">
        <v>7075</v>
      </c>
      <c r="D276" s="261" t="s">
        <v>7076</v>
      </c>
      <c r="E276" s="262" t="s">
        <v>6522</v>
      </c>
      <c r="F276" s="265" t="s">
        <v>7077</v>
      </c>
      <c r="G276" s="268" t="str">
        <f>IF(COUNTIF(H276:AU276,"&lt;&gt;")=0,"",SUMPRODUCT(((Recommendations[ImplStatus]="Implemented")+(Recommendations[ImplStatus]="Compensated"))*ISNUMBER(MATCH(Recommendations[Id],H276:AU276,0)))/COUNTIF(H276:AU276,"&lt;&gt;"))</f>
        <v/>
      </c>
      <c r="H276" s="269"/>
      <c r="I276" s="269"/>
      <c r="J276" s="269"/>
      <c r="K276" s="269"/>
      <c r="L276" s="269"/>
      <c r="M276" s="269"/>
      <c r="N276" s="269"/>
      <c r="O276" s="269"/>
      <c r="P276" s="269"/>
      <c r="Q276" s="269"/>
      <c r="R276" s="269"/>
      <c r="S276" s="269"/>
      <c r="T276" s="269"/>
      <c r="U276" s="269"/>
      <c r="V276" s="269"/>
      <c r="W276" s="269"/>
      <c r="X276" s="269"/>
      <c r="Y276" s="269"/>
      <c r="Z276" s="269"/>
      <c r="AA276" s="269"/>
      <c r="AB276" s="269"/>
      <c r="AC276" s="269"/>
      <c r="AD276" s="269"/>
      <c r="AE276" s="269"/>
      <c r="AF276" s="269"/>
      <c r="AG276" s="269"/>
      <c r="AH276" s="269"/>
      <c r="AI276" s="269"/>
      <c r="AJ276" s="269"/>
      <c r="AK276" s="269"/>
      <c r="AL276" s="269"/>
      <c r="AM276" s="269"/>
      <c r="AN276" s="269"/>
      <c r="AO276" s="269"/>
      <c r="AP276" s="269"/>
      <c r="AQ276" s="269"/>
      <c r="AR276" s="269"/>
      <c r="AS276" s="269"/>
      <c r="AT276" s="269"/>
      <c r="AU276" s="283"/>
    </row>
    <row r="277" spans="1:47" ht="60" customHeight="1" x14ac:dyDescent="0.35">
      <c r="A277" s="279" t="s">
        <v>7073</v>
      </c>
      <c r="B277" s="257" t="s">
        <v>7074</v>
      </c>
      <c r="C277" s="258" t="s">
        <v>7078</v>
      </c>
      <c r="D277" s="261" t="s">
        <v>7079</v>
      </c>
      <c r="E277" s="262" t="s">
        <v>6522</v>
      </c>
      <c r="F277" s="265" t="s">
        <v>7077</v>
      </c>
      <c r="G277" s="268" t="str">
        <f>IF(COUNTIF(H277:AU277,"&lt;&gt;")=0,"",SUMPRODUCT(((Recommendations[ImplStatus]="Implemented")+(Recommendations[ImplStatus]="Compensated"))*ISNUMBER(MATCH(Recommendations[Id],H277:AU277,0)))/COUNTIF(H277:AU277,"&lt;&gt;"))</f>
        <v/>
      </c>
      <c r="H277" s="269"/>
      <c r="I277" s="269"/>
      <c r="J277" s="269"/>
      <c r="K277" s="269"/>
      <c r="L277" s="269"/>
      <c r="M277" s="269"/>
      <c r="N277" s="269"/>
      <c r="O277" s="269"/>
      <c r="P277" s="269"/>
      <c r="Q277" s="269"/>
      <c r="R277" s="269"/>
      <c r="S277" s="269"/>
      <c r="T277" s="269"/>
      <c r="U277" s="269"/>
      <c r="V277" s="269"/>
      <c r="W277" s="269"/>
      <c r="X277" s="269"/>
      <c r="Y277" s="269"/>
      <c r="Z277" s="269"/>
      <c r="AA277" s="269"/>
      <c r="AB277" s="269"/>
      <c r="AC277" s="269"/>
      <c r="AD277" s="269"/>
      <c r="AE277" s="269"/>
      <c r="AF277" s="269"/>
      <c r="AG277" s="269"/>
      <c r="AH277" s="269"/>
      <c r="AI277" s="269"/>
      <c r="AJ277" s="269"/>
      <c r="AK277" s="269"/>
      <c r="AL277" s="269"/>
      <c r="AM277" s="269"/>
      <c r="AN277" s="269"/>
      <c r="AO277" s="269"/>
      <c r="AP277" s="269"/>
      <c r="AQ277" s="269"/>
      <c r="AR277" s="269"/>
      <c r="AS277" s="269"/>
      <c r="AT277" s="269"/>
      <c r="AU277" s="283"/>
    </row>
    <row r="278" spans="1:47" ht="60" customHeight="1" x14ac:dyDescent="0.35">
      <c r="A278" s="279" t="s">
        <v>7073</v>
      </c>
      <c r="B278" s="257" t="s">
        <v>7074</v>
      </c>
      <c r="C278" s="258" t="s">
        <v>7080</v>
      </c>
      <c r="D278" s="261" t="s">
        <v>7081</v>
      </c>
      <c r="E278" s="262" t="s">
        <v>6522</v>
      </c>
      <c r="F278" s="265" t="s">
        <v>7077</v>
      </c>
      <c r="G278" s="268" t="str">
        <f>IF(COUNTIF(H278:AU278,"&lt;&gt;")=0,"",SUMPRODUCT(((Recommendations[ImplStatus]="Implemented")+(Recommendations[ImplStatus]="Compensated"))*ISNUMBER(MATCH(Recommendations[Id],H278:AU278,0)))/COUNTIF(H278:AU278,"&lt;&gt;"))</f>
        <v/>
      </c>
      <c r="H278" s="269"/>
      <c r="I278" s="269"/>
      <c r="J278" s="269"/>
      <c r="K278" s="269"/>
      <c r="L278" s="269"/>
      <c r="M278" s="269"/>
      <c r="N278" s="269"/>
      <c r="O278" s="269"/>
      <c r="P278" s="269"/>
      <c r="Q278" s="269"/>
      <c r="R278" s="269"/>
      <c r="S278" s="269"/>
      <c r="T278" s="269"/>
      <c r="U278" s="269"/>
      <c r="V278" s="269"/>
      <c r="W278" s="269"/>
      <c r="X278" s="269"/>
      <c r="Y278" s="269"/>
      <c r="Z278" s="269"/>
      <c r="AA278" s="269"/>
      <c r="AB278" s="269"/>
      <c r="AC278" s="269"/>
      <c r="AD278" s="269"/>
      <c r="AE278" s="269"/>
      <c r="AF278" s="269"/>
      <c r="AG278" s="269"/>
      <c r="AH278" s="269"/>
      <c r="AI278" s="269"/>
      <c r="AJ278" s="269"/>
      <c r="AK278" s="269"/>
      <c r="AL278" s="269"/>
      <c r="AM278" s="269"/>
      <c r="AN278" s="269"/>
      <c r="AO278" s="269"/>
      <c r="AP278" s="269"/>
      <c r="AQ278" s="269"/>
      <c r="AR278" s="269"/>
      <c r="AS278" s="269"/>
      <c r="AT278" s="269"/>
      <c r="AU278" s="283"/>
    </row>
    <row r="279" spans="1:47" ht="60" customHeight="1" x14ac:dyDescent="0.35">
      <c r="A279" s="279" t="s">
        <v>7073</v>
      </c>
      <c r="B279" s="257" t="s">
        <v>7074</v>
      </c>
      <c r="C279" s="258" t="s">
        <v>7082</v>
      </c>
      <c r="D279" s="261" t="s">
        <v>7083</v>
      </c>
      <c r="E279" s="262" t="s">
        <v>6522</v>
      </c>
      <c r="F279" s="265" t="s">
        <v>7077</v>
      </c>
      <c r="G279" s="268" t="str">
        <f>IF(COUNTIF(H279:AU279,"&lt;&gt;")=0,"",SUMPRODUCT(((Recommendations[ImplStatus]="Implemented")+(Recommendations[ImplStatus]="Compensated"))*ISNUMBER(MATCH(Recommendations[Id],H279:AU279,0)))/COUNTIF(H279:AU279,"&lt;&gt;"))</f>
        <v/>
      </c>
      <c r="H279" s="269"/>
      <c r="I279" s="269"/>
      <c r="J279" s="269"/>
      <c r="K279" s="269"/>
      <c r="L279" s="269"/>
      <c r="M279" s="269"/>
      <c r="N279" s="269"/>
      <c r="O279" s="269"/>
      <c r="P279" s="269"/>
      <c r="Q279" s="269"/>
      <c r="R279" s="269"/>
      <c r="S279" s="269"/>
      <c r="T279" s="269"/>
      <c r="U279" s="269"/>
      <c r="V279" s="269"/>
      <c r="W279" s="269"/>
      <c r="X279" s="269"/>
      <c r="Y279" s="269"/>
      <c r="Z279" s="269"/>
      <c r="AA279" s="269"/>
      <c r="AB279" s="269"/>
      <c r="AC279" s="269"/>
      <c r="AD279" s="269"/>
      <c r="AE279" s="269"/>
      <c r="AF279" s="269"/>
      <c r="AG279" s="269"/>
      <c r="AH279" s="269"/>
      <c r="AI279" s="269"/>
      <c r="AJ279" s="269"/>
      <c r="AK279" s="269"/>
      <c r="AL279" s="269"/>
      <c r="AM279" s="269"/>
      <c r="AN279" s="269"/>
      <c r="AO279" s="269"/>
      <c r="AP279" s="269"/>
      <c r="AQ279" s="269"/>
      <c r="AR279" s="269"/>
      <c r="AS279" s="269"/>
      <c r="AT279" s="269"/>
      <c r="AU279" s="283"/>
    </row>
    <row r="280" spans="1:47" ht="60" customHeight="1" x14ac:dyDescent="0.35">
      <c r="A280" s="279" t="s">
        <v>7073</v>
      </c>
      <c r="B280" s="257" t="s">
        <v>7074</v>
      </c>
      <c r="C280" s="258" t="s">
        <v>7084</v>
      </c>
      <c r="D280" s="261" t="s">
        <v>7085</v>
      </c>
      <c r="E280" s="262" t="s">
        <v>6522</v>
      </c>
      <c r="F280" s="265" t="s">
        <v>7077</v>
      </c>
      <c r="G280" s="268" t="str">
        <f>IF(COUNTIF(H280:AU280,"&lt;&gt;")=0,"",SUMPRODUCT(((Recommendations[ImplStatus]="Implemented")+(Recommendations[ImplStatus]="Compensated"))*ISNUMBER(MATCH(Recommendations[Id],H280:AU280,0)))/COUNTIF(H280:AU280,"&lt;&gt;"))</f>
        <v/>
      </c>
      <c r="H280" s="269"/>
      <c r="I280" s="269"/>
      <c r="J280" s="269"/>
      <c r="K280" s="269"/>
      <c r="L280" s="269"/>
      <c r="M280" s="269"/>
      <c r="N280" s="269"/>
      <c r="O280" s="269"/>
      <c r="P280" s="269"/>
      <c r="Q280" s="269"/>
      <c r="R280" s="269"/>
      <c r="S280" s="269"/>
      <c r="T280" s="269"/>
      <c r="U280" s="269"/>
      <c r="V280" s="269"/>
      <c r="W280" s="269"/>
      <c r="X280" s="269"/>
      <c r="Y280" s="269"/>
      <c r="Z280" s="269"/>
      <c r="AA280" s="269"/>
      <c r="AB280" s="269"/>
      <c r="AC280" s="269"/>
      <c r="AD280" s="269"/>
      <c r="AE280" s="269"/>
      <c r="AF280" s="269"/>
      <c r="AG280" s="269"/>
      <c r="AH280" s="269"/>
      <c r="AI280" s="269"/>
      <c r="AJ280" s="269"/>
      <c r="AK280" s="269"/>
      <c r="AL280" s="269"/>
      <c r="AM280" s="269"/>
      <c r="AN280" s="269"/>
      <c r="AO280" s="269"/>
      <c r="AP280" s="269"/>
      <c r="AQ280" s="269"/>
      <c r="AR280" s="269"/>
      <c r="AS280" s="269"/>
      <c r="AT280" s="269"/>
      <c r="AU280" s="283"/>
    </row>
    <row r="281" spans="1:47" ht="60" customHeight="1" x14ac:dyDescent="0.35">
      <c r="A281" s="279" t="s">
        <v>7073</v>
      </c>
      <c r="B281" s="257" t="s">
        <v>7074</v>
      </c>
      <c r="C281" s="258" t="s">
        <v>7086</v>
      </c>
      <c r="D281" s="261" t="s">
        <v>7087</v>
      </c>
      <c r="E281" s="262" t="s">
        <v>6522</v>
      </c>
      <c r="F281" s="265" t="s">
        <v>7077</v>
      </c>
      <c r="G281" s="268" t="str">
        <f>IF(COUNTIF(H281:AU281,"&lt;&gt;")=0,"",SUMPRODUCT(((Recommendations[ImplStatus]="Implemented")+(Recommendations[ImplStatus]="Compensated"))*ISNUMBER(MATCH(Recommendations[Id],H281:AU281,0)))/COUNTIF(H281:AU281,"&lt;&gt;"))</f>
        <v/>
      </c>
      <c r="H281" s="269"/>
      <c r="I281" s="269"/>
      <c r="J281" s="269"/>
      <c r="K281" s="269"/>
      <c r="L281" s="269"/>
      <c r="M281" s="269"/>
      <c r="N281" s="269"/>
      <c r="O281" s="269"/>
      <c r="P281" s="269"/>
      <c r="Q281" s="269"/>
      <c r="R281" s="269"/>
      <c r="S281" s="269"/>
      <c r="T281" s="269"/>
      <c r="U281" s="269"/>
      <c r="V281" s="269"/>
      <c r="W281" s="269"/>
      <c r="X281" s="269"/>
      <c r="Y281" s="269"/>
      <c r="Z281" s="269"/>
      <c r="AA281" s="269"/>
      <c r="AB281" s="269"/>
      <c r="AC281" s="269"/>
      <c r="AD281" s="269"/>
      <c r="AE281" s="269"/>
      <c r="AF281" s="269"/>
      <c r="AG281" s="269"/>
      <c r="AH281" s="269"/>
      <c r="AI281" s="269"/>
      <c r="AJ281" s="269"/>
      <c r="AK281" s="269"/>
      <c r="AL281" s="269"/>
      <c r="AM281" s="269"/>
      <c r="AN281" s="269"/>
      <c r="AO281" s="269"/>
      <c r="AP281" s="269"/>
      <c r="AQ281" s="269"/>
      <c r="AR281" s="269"/>
      <c r="AS281" s="269"/>
      <c r="AT281" s="269"/>
      <c r="AU281" s="283"/>
    </row>
    <row r="282" spans="1:47" ht="60" customHeight="1" x14ac:dyDescent="0.35">
      <c r="A282" s="279" t="s">
        <v>7073</v>
      </c>
      <c r="B282" s="257" t="s">
        <v>7074</v>
      </c>
      <c r="C282" s="258" t="s">
        <v>7088</v>
      </c>
      <c r="D282" s="261" t="s">
        <v>7089</v>
      </c>
      <c r="E282" s="262" t="s">
        <v>6522</v>
      </c>
      <c r="F282" s="265" t="s">
        <v>7077</v>
      </c>
      <c r="G282" s="268" t="str">
        <f>IF(COUNTIF(H282:AU282,"&lt;&gt;")=0,"",SUMPRODUCT(((Recommendations[ImplStatus]="Implemented")+(Recommendations[ImplStatus]="Compensated"))*ISNUMBER(MATCH(Recommendations[Id],H282:AU282,0)))/COUNTIF(H282:AU282,"&lt;&gt;"))</f>
        <v/>
      </c>
      <c r="H282" s="269"/>
      <c r="I282" s="269"/>
      <c r="J282" s="269"/>
      <c r="K282" s="269"/>
      <c r="L282" s="269"/>
      <c r="M282" s="269"/>
      <c r="N282" s="269"/>
      <c r="O282" s="269"/>
      <c r="P282" s="269"/>
      <c r="Q282" s="269"/>
      <c r="R282" s="269"/>
      <c r="S282" s="269"/>
      <c r="T282" s="269"/>
      <c r="U282" s="269"/>
      <c r="V282" s="269"/>
      <c r="W282" s="269"/>
      <c r="X282" s="269"/>
      <c r="Y282" s="269"/>
      <c r="Z282" s="269"/>
      <c r="AA282" s="269"/>
      <c r="AB282" s="269"/>
      <c r="AC282" s="269"/>
      <c r="AD282" s="269"/>
      <c r="AE282" s="269"/>
      <c r="AF282" s="269"/>
      <c r="AG282" s="269"/>
      <c r="AH282" s="269"/>
      <c r="AI282" s="269"/>
      <c r="AJ282" s="269"/>
      <c r="AK282" s="269"/>
      <c r="AL282" s="269"/>
      <c r="AM282" s="269"/>
      <c r="AN282" s="269"/>
      <c r="AO282" s="269"/>
      <c r="AP282" s="269"/>
      <c r="AQ282" s="269"/>
      <c r="AR282" s="269"/>
      <c r="AS282" s="269"/>
      <c r="AT282" s="269"/>
      <c r="AU282" s="283"/>
    </row>
    <row r="283" spans="1:47" ht="60" customHeight="1" x14ac:dyDescent="0.35">
      <c r="A283" s="279" t="s">
        <v>7073</v>
      </c>
      <c r="B283" s="257" t="s">
        <v>7074</v>
      </c>
      <c r="C283" s="258" t="s">
        <v>7090</v>
      </c>
      <c r="D283" s="261" t="s">
        <v>7091</v>
      </c>
      <c r="E283" s="262" t="s">
        <v>6618</v>
      </c>
      <c r="F283" s="265" t="s">
        <v>7092</v>
      </c>
      <c r="G283" s="268" t="str">
        <f>IF(COUNTIF(H283:AU283,"&lt;&gt;")=0,"",SUMPRODUCT(((Recommendations[ImplStatus]="Implemented")+(Recommendations[ImplStatus]="Compensated"))*ISNUMBER(MATCH(Recommendations[Id],H283:AU283,0)))/COUNTIF(H283:AU283,"&lt;&gt;"))</f>
        <v/>
      </c>
      <c r="H283" s="269"/>
      <c r="I283" s="269"/>
      <c r="J283" s="269"/>
      <c r="K283" s="269"/>
      <c r="L283" s="269"/>
      <c r="M283" s="269"/>
      <c r="N283" s="269"/>
      <c r="O283" s="269"/>
      <c r="P283" s="269"/>
      <c r="Q283" s="269"/>
      <c r="R283" s="269"/>
      <c r="S283" s="269"/>
      <c r="T283" s="269"/>
      <c r="U283" s="269"/>
      <c r="V283" s="269"/>
      <c r="W283" s="269"/>
      <c r="X283" s="269"/>
      <c r="Y283" s="269"/>
      <c r="Z283" s="269"/>
      <c r="AA283" s="269"/>
      <c r="AB283" s="269"/>
      <c r="AC283" s="269"/>
      <c r="AD283" s="269"/>
      <c r="AE283" s="269"/>
      <c r="AF283" s="269"/>
      <c r="AG283" s="269"/>
      <c r="AH283" s="269"/>
      <c r="AI283" s="269"/>
      <c r="AJ283" s="269"/>
      <c r="AK283" s="269"/>
      <c r="AL283" s="269"/>
      <c r="AM283" s="269"/>
      <c r="AN283" s="269"/>
      <c r="AO283" s="269"/>
      <c r="AP283" s="269"/>
      <c r="AQ283" s="269"/>
      <c r="AR283" s="269"/>
      <c r="AS283" s="269"/>
      <c r="AT283" s="269"/>
      <c r="AU283" s="283"/>
    </row>
    <row r="284" spans="1:47" ht="60" customHeight="1" x14ac:dyDescent="0.35">
      <c r="A284" s="279" t="s">
        <v>7073</v>
      </c>
      <c r="B284" s="257" t="s">
        <v>7074</v>
      </c>
      <c r="C284" s="258" t="s">
        <v>7093</v>
      </c>
      <c r="D284" s="261" t="s">
        <v>7094</v>
      </c>
      <c r="E284" s="262" t="s">
        <v>6618</v>
      </c>
      <c r="F284" s="265" t="s">
        <v>7092</v>
      </c>
      <c r="G284" s="268" t="str">
        <f>IF(COUNTIF(H284:AU284,"&lt;&gt;")=0,"",SUMPRODUCT(((Recommendations[ImplStatus]="Implemented")+(Recommendations[ImplStatus]="Compensated"))*ISNUMBER(MATCH(Recommendations[Id],H284:AU284,0)))/COUNTIF(H284:AU284,"&lt;&gt;"))</f>
        <v/>
      </c>
      <c r="H284" s="269"/>
      <c r="I284" s="269"/>
      <c r="J284" s="269"/>
      <c r="K284" s="269"/>
      <c r="L284" s="269"/>
      <c r="M284" s="269"/>
      <c r="N284" s="269"/>
      <c r="O284" s="269"/>
      <c r="P284" s="269"/>
      <c r="Q284" s="269"/>
      <c r="R284" s="269"/>
      <c r="S284" s="269"/>
      <c r="T284" s="269"/>
      <c r="U284" s="269"/>
      <c r="V284" s="269"/>
      <c r="W284" s="269"/>
      <c r="X284" s="269"/>
      <c r="Y284" s="269"/>
      <c r="Z284" s="269"/>
      <c r="AA284" s="269"/>
      <c r="AB284" s="269"/>
      <c r="AC284" s="269"/>
      <c r="AD284" s="269"/>
      <c r="AE284" s="269"/>
      <c r="AF284" s="269"/>
      <c r="AG284" s="269"/>
      <c r="AH284" s="269"/>
      <c r="AI284" s="269"/>
      <c r="AJ284" s="269"/>
      <c r="AK284" s="269"/>
      <c r="AL284" s="269"/>
      <c r="AM284" s="269"/>
      <c r="AN284" s="269"/>
      <c r="AO284" s="269"/>
      <c r="AP284" s="269"/>
      <c r="AQ284" s="269"/>
      <c r="AR284" s="269"/>
      <c r="AS284" s="269"/>
      <c r="AT284" s="269"/>
      <c r="AU284" s="283"/>
    </row>
    <row r="285" spans="1:47" ht="60" customHeight="1" x14ac:dyDescent="0.35">
      <c r="A285" s="279" t="s">
        <v>7073</v>
      </c>
      <c r="B285" s="257" t="s">
        <v>7074</v>
      </c>
      <c r="C285" s="258" t="s">
        <v>7095</v>
      </c>
      <c r="D285" s="261" t="s">
        <v>7096</v>
      </c>
      <c r="E285" s="262" t="s">
        <v>6522</v>
      </c>
      <c r="F285" s="265" t="s">
        <v>7092</v>
      </c>
      <c r="G285" s="268" t="str">
        <f>IF(COUNTIF(H285:AU285,"&lt;&gt;")=0,"",SUMPRODUCT(((Recommendations[ImplStatus]="Implemented")+(Recommendations[ImplStatus]="Compensated"))*ISNUMBER(MATCH(Recommendations[Id],H285:AU285,0)))/COUNTIF(H285:AU285,"&lt;&gt;"))</f>
        <v/>
      </c>
      <c r="H285" s="269"/>
      <c r="I285" s="269"/>
      <c r="J285" s="269"/>
      <c r="K285" s="269"/>
      <c r="L285" s="269"/>
      <c r="M285" s="269"/>
      <c r="N285" s="269"/>
      <c r="O285" s="269"/>
      <c r="P285" s="269"/>
      <c r="Q285" s="269"/>
      <c r="R285" s="269"/>
      <c r="S285" s="269"/>
      <c r="T285" s="269"/>
      <c r="U285" s="269"/>
      <c r="V285" s="269"/>
      <c r="W285" s="269"/>
      <c r="X285" s="269"/>
      <c r="Y285" s="269"/>
      <c r="Z285" s="269"/>
      <c r="AA285" s="269"/>
      <c r="AB285" s="269"/>
      <c r="AC285" s="269"/>
      <c r="AD285" s="269"/>
      <c r="AE285" s="269"/>
      <c r="AF285" s="269"/>
      <c r="AG285" s="269"/>
      <c r="AH285" s="269"/>
      <c r="AI285" s="269"/>
      <c r="AJ285" s="269"/>
      <c r="AK285" s="269"/>
      <c r="AL285" s="269"/>
      <c r="AM285" s="269"/>
      <c r="AN285" s="269"/>
      <c r="AO285" s="269"/>
      <c r="AP285" s="269"/>
      <c r="AQ285" s="269"/>
      <c r="AR285" s="269"/>
      <c r="AS285" s="269"/>
      <c r="AT285" s="269"/>
      <c r="AU285" s="283"/>
    </row>
    <row r="286" spans="1:47" ht="60" customHeight="1" x14ac:dyDescent="0.35">
      <c r="A286" s="279" t="s">
        <v>7073</v>
      </c>
      <c r="B286" s="257" t="s">
        <v>7074</v>
      </c>
      <c r="C286" s="258" t="s">
        <v>7097</v>
      </c>
      <c r="D286" s="261" t="s">
        <v>7098</v>
      </c>
      <c r="E286" s="262" t="s">
        <v>6551</v>
      </c>
      <c r="F286" s="265" t="s">
        <v>7092</v>
      </c>
      <c r="G286" s="268" t="str">
        <f>IF(COUNTIF(H286:AU286,"&lt;&gt;")=0,"",SUMPRODUCT(((Recommendations[ImplStatus]="Implemented")+(Recommendations[ImplStatus]="Compensated"))*ISNUMBER(MATCH(Recommendations[Id],H286:AU286,0)))/COUNTIF(H286:AU286,"&lt;&gt;"))</f>
        <v/>
      </c>
      <c r="H286" s="269"/>
      <c r="I286" s="269"/>
      <c r="J286" s="269"/>
      <c r="K286" s="269"/>
      <c r="L286" s="269"/>
      <c r="M286" s="269"/>
      <c r="N286" s="269"/>
      <c r="O286" s="269"/>
      <c r="P286" s="269"/>
      <c r="Q286" s="269"/>
      <c r="R286" s="269"/>
      <c r="S286" s="269"/>
      <c r="T286" s="269"/>
      <c r="U286" s="269"/>
      <c r="V286" s="269"/>
      <c r="W286" s="269"/>
      <c r="X286" s="269"/>
      <c r="Y286" s="269"/>
      <c r="Z286" s="269"/>
      <c r="AA286" s="269"/>
      <c r="AB286" s="269"/>
      <c r="AC286" s="269"/>
      <c r="AD286" s="269"/>
      <c r="AE286" s="269"/>
      <c r="AF286" s="269"/>
      <c r="AG286" s="269"/>
      <c r="AH286" s="269"/>
      <c r="AI286" s="269"/>
      <c r="AJ286" s="269"/>
      <c r="AK286" s="269"/>
      <c r="AL286" s="269"/>
      <c r="AM286" s="269"/>
      <c r="AN286" s="269"/>
      <c r="AO286" s="269"/>
      <c r="AP286" s="269"/>
      <c r="AQ286" s="269"/>
      <c r="AR286" s="269"/>
      <c r="AS286" s="269"/>
      <c r="AT286" s="269"/>
      <c r="AU286" s="283"/>
    </row>
    <row r="287" spans="1:47" ht="60" customHeight="1" x14ac:dyDescent="0.35">
      <c r="A287" s="279" t="s">
        <v>7073</v>
      </c>
      <c r="B287" s="257" t="s">
        <v>7074</v>
      </c>
      <c r="C287" s="258" t="s">
        <v>7099</v>
      </c>
      <c r="D287" s="261" t="s">
        <v>7100</v>
      </c>
      <c r="E287" s="262" t="s">
        <v>6551</v>
      </c>
      <c r="F287" s="265" t="s">
        <v>7092</v>
      </c>
      <c r="G287" s="268" t="str">
        <f>IF(COUNTIF(H287:AU287,"&lt;&gt;")=0,"",SUMPRODUCT(((Recommendations[ImplStatus]="Implemented")+(Recommendations[ImplStatus]="Compensated"))*ISNUMBER(MATCH(Recommendations[Id],H287:AU287,0)))/COUNTIF(H287:AU287,"&lt;&gt;"))</f>
        <v/>
      </c>
      <c r="H287" s="269"/>
      <c r="I287" s="269"/>
      <c r="J287" s="269"/>
      <c r="K287" s="269"/>
      <c r="L287" s="269"/>
      <c r="M287" s="269"/>
      <c r="N287" s="269"/>
      <c r="O287" s="269"/>
      <c r="P287" s="269"/>
      <c r="Q287" s="269"/>
      <c r="R287" s="269"/>
      <c r="S287" s="269"/>
      <c r="T287" s="269"/>
      <c r="U287" s="269"/>
      <c r="V287" s="269"/>
      <c r="W287" s="269"/>
      <c r="X287" s="269"/>
      <c r="Y287" s="269"/>
      <c r="Z287" s="269"/>
      <c r="AA287" s="269"/>
      <c r="AB287" s="269"/>
      <c r="AC287" s="269"/>
      <c r="AD287" s="269"/>
      <c r="AE287" s="269"/>
      <c r="AF287" s="269"/>
      <c r="AG287" s="269"/>
      <c r="AH287" s="269"/>
      <c r="AI287" s="269"/>
      <c r="AJ287" s="269"/>
      <c r="AK287" s="269"/>
      <c r="AL287" s="269"/>
      <c r="AM287" s="269"/>
      <c r="AN287" s="269"/>
      <c r="AO287" s="269"/>
      <c r="AP287" s="269"/>
      <c r="AQ287" s="269"/>
      <c r="AR287" s="269"/>
      <c r="AS287" s="269"/>
      <c r="AT287" s="269"/>
      <c r="AU287" s="283"/>
    </row>
    <row r="288" spans="1:47" ht="60" customHeight="1" x14ac:dyDescent="0.35">
      <c r="A288" s="279" t="s">
        <v>7073</v>
      </c>
      <c r="B288" s="257" t="s">
        <v>7074</v>
      </c>
      <c r="C288" s="258" t="s">
        <v>7101</v>
      </c>
      <c r="D288" s="261" t="s">
        <v>7102</v>
      </c>
      <c r="E288" s="262" t="s">
        <v>6551</v>
      </c>
      <c r="F288" s="265" t="s">
        <v>7092</v>
      </c>
      <c r="G288" s="268" t="str">
        <f>IF(COUNTIF(H288:AU288,"&lt;&gt;")=0,"",SUMPRODUCT(((Recommendations[ImplStatus]="Implemented")+(Recommendations[ImplStatus]="Compensated"))*ISNUMBER(MATCH(Recommendations[Id],H288:AU288,0)))/COUNTIF(H288:AU288,"&lt;&gt;"))</f>
        <v/>
      </c>
      <c r="H288" s="269"/>
      <c r="I288" s="269"/>
      <c r="J288" s="269"/>
      <c r="K288" s="269"/>
      <c r="L288" s="269"/>
      <c r="M288" s="269"/>
      <c r="N288" s="269"/>
      <c r="O288" s="269"/>
      <c r="P288" s="269"/>
      <c r="Q288" s="269"/>
      <c r="R288" s="269"/>
      <c r="S288" s="269"/>
      <c r="T288" s="269"/>
      <c r="U288" s="269"/>
      <c r="V288" s="269"/>
      <c r="W288" s="269"/>
      <c r="X288" s="269"/>
      <c r="Y288" s="269"/>
      <c r="Z288" s="269"/>
      <c r="AA288" s="269"/>
      <c r="AB288" s="269"/>
      <c r="AC288" s="269"/>
      <c r="AD288" s="269"/>
      <c r="AE288" s="269"/>
      <c r="AF288" s="269"/>
      <c r="AG288" s="269"/>
      <c r="AH288" s="269"/>
      <c r="AI288" s="269"/>
      <c r="AJ288" s="269"/>
      <c r="AK288" s="269"/>
      <c r="AL288" s="269"/>
      <c r="AM288" s="269"/>
      <c r="AN288" s="269"/>
      <c r="AO288" s="269"/>
      <c r="AP288" s="269"/>
      <c r="AQ288" s="269"/>
      <c r="AR288" s="269"/>
      <c r="AS288" s="269"/>
      <c r="AT288" s="269"/>
      <c r="AU288" s="283"/>
    </row>
    <row r="289" spans="1:47" ht="60" customHeight="1" x14ac:dyDescent="0.35">
      <c r="A289" s="279" t="s">
        <v>7073</v>
      </c>
      <c r="B289" s="257" t="s">
        <v>7074</v>
      </c>
      <c r="C289" s="258" t="s">
        <v>7103</v>
      </c>
      <c r="D289" s="261" t="s">
        <v>7104</v>
      </c>
      <c r="E289" s="262" t="s">
        <v>6551</v>
      </c>
      <c r="F289" s="265" t="s">
        <v>7092</v>
      </c>
      <c r="G289" s="268" t="str">
        <f>IF(COUNTIF(H289:AU289,"&lt;&gt;")=0,"",SUMPRODUCT(((Recommendations[ImplStatus]="Implemented")+(Recommendations[ImplStatus]="Compensated"))*ISNUMBER(MATCH(Recommendations[Id],H289:AU289,0)))/COUNTIF(H289:AU289,"&lt;&gt;"))</f>
        <v/>
      </c>
      <c r="H289" s="269"/>
      <c r="I289" s="269"/>
      <c r="J289" s="269"/>
      <c r="K289" s="269"/>
      <c r="L289" s="269"/>
      <c r="M289" s="269"/>
      <c r="N289" s="269"/>
      <c r="O289" s="269"/>
      <c r="P289" s="269"/>
      <c r="Q289" s="269"/>
      <c r="R289" s="269"/>
      <c r="S289" s="269"/>
      <c r="T289" s="269"/>
      <c r="U289" s="269"/>
      <c r="V289" s="269"/>
      <c r="W289" s="269"/>
      <c r="X289" s="269"/>
      <c r="Y289" s="269"/>
      <c r="Z289" s="269"/>
      <c r="AA289" s="269"/>
      <c r="AB289" s="269"/>
      <c r="AC289" s="269"/>
      <c r="AD289" s="269"/>
      <c r="AE289" s="269"/>
      <c r="AF289" s="269"/>
      <c r="AG289" s="269"/>
      <c r="AH289" s="269"/>
      <c r="AI289" s="269"/>
      <c r="AJ289" s="269"/>
      <c r="AK289" s="269"/>
      <c r="AL289" s="269"/>
      <c r="AM289" s="269"/>
      <c r="AN289" s="269"/>
      <c r="AO289" s="269"/>
      <c r="AP289" s="269"/>
      <c r="AQ289" s="269"/>
      <c r="AR289" s="269"/>
      <c r="AS289" s="269"/>
      <c r="AT289" s="269"/>
      <c r="AU289" s="283"/>
    </row>
    <row r="290" spans="1:47" ht="60" customHeight="1" x14ac:dyDescent="0.35">
      <c r="A290" s="279" t="s">
        <v>7073</v>
      </c>
      <c r="B290" s="257" t="s">
        <v>7074</v>
      </c>
      <c r="C290" s="258" t="s">
        <v>7105</v>
      </c>
      <c r="D290" s="261" t="s">
        <v>7106</v>
      </c>
      <c r="E290" s="262" t="s">
        <v>6522</v>
      </c>
      <c r="F290" s="265" t="s">
        <v>7092</v>
      </c>
      <c r="G290" s="268" t="str">
        <f>IF(COUNTIF(H290:AU290,"&lt;&gt;")=0,"",SUMPRODUCT(((Recommendations[ImplStatus]="Implemented")+(Recommendations[ImplStatus]="Compensated"))*ISNUMBER(MATCH(Recommendations[Id],H290:AU290,0)))/COUNTIF(H290:AU290,"&lt;&gt;"))</f>
        <v/>
      </c>
      <c r="H290" s="269"/>
      <c r="I290" s="269"/>
      <c r="J290" s="269"/>
      <c r="K290" s="269"/>
      <c r="L290" s="269"/>
      <c r="M290" s="269"/>
      <c r="N290" s="269"/>
      <c r="O290" s="269"/>
      <c r="P290" s="269"/>
      <c r="Q290" s="269"/>
      <c r="R290" s="269"/>
      <c r="S290" s="269"/>
      <c r="T290" s="269"/>
      <c r="U290" s="269"/>
      <c r="V290" s="269"/>
      <c r="W290" s="269"/>
      <c r="X290" s="269"/>
      <c r="Y290" s="269"/>
      <c r="Z290" s="269"/>
      <c r="AA290" s="269"/>
      <c r="AB290" s="269"/>
      <c r="AC290" s="269"/>
      <c r="AD290" s="269"/>
      <c r="AE290" s="269"/>
      <c r="AF290" s="269"/>
      <c r="AG290" s="269"/>
      <c r="AH290" s="269"/>
      <c r="AI290" s="269"/>
      <c r="AJ290" s="269"/>
      <c r="AK290" s="269"/>
      <c r="AL290" s="269"/>
      <c r="AM290" s="269"/>
      <c r="AN290" s="269"/>
      <c r="AO290" s="269"/>
      <c r="AP290" s="269"/>
      <c r="AQ290" s="269"/>
      <c r="AR290" s="269"/>
      <c r="AS290" s="269"/>
      <c r="AT290" s="269"/>
      <c r="AU290" s="283"/>
    </row>
    <row r="291" spans="1:47" ht="60" customHeight="1" x14ac:dyDescent="0.35">
      <c r="A291" s="279" t="s">
        <v>7073</v>
      </c>
      <c r="B291" s="257" t="s">
        <v>7074</v>
      </c>
      <c r="C291" s="258" t="s">
        <v>7107</v>
      </c>
      <c r="D291" s="261" t="s">
        <v>7108</v>
      </c>
      <c r="E291" s="262" t="s">
        <v>6551</v>
      </c>
      <c r="F291" s="265" t="s">
        <v>7109</v>
      </c>
      <c r="G291" s="268" t="str">
        <f>IF(COUNTIF(H291:AU291,"&lt;&gt;")=0,"",SUMPRODUCT(((Recommendations[ImplStatus]="Implemented")+(Recommendations[ImplStatus]="Compensated"))*ISNUMBER(MATCH(Recommendations[Id],H291:AU291,0)))/COUNTIF(H291:AU291,"&lt;&gt;"))</f>
        <v/>
      </c>
      <c r="H291" s="269"/>
      <c r="I291" s="269"/>
      <c r="J291" s="269"/>
      <c r="K291" s="269"/>
      <c r="L291" s="269"/>
      <c r="M291" s="269"/>
      <c r="N291" s="269"/>
      <c r="O291" s="269"/>
      <c r="P291" s="269"/>
      <c r="Q291" s="269"/>
      <c r="R291" s="269"/>
      <c r="S291" s="269"/>
      <c r="T291" s="269"/>
      <c r="U291" s="269"/>
      <c r="V291" s="269"/>
      <c r="W291" s="269"/>
      <c r="X291" s="269"/>
      <c r="Y291" s="269"/>
      <c r="Z291" s="269"/>
      <c r="AA291" s="269"/>
      <c r="AB291" s="269"/>
      <c r="AC291" s="269"/>
      <c r="AD291" s="269"/>
      <c r="AE291" s="269"/>
      <c r="AF291" s="269"/>
      <c r="AG291" s="269"/>
      <c r="AH291" s="269"/>
      <c r="AI291" s="269"/>
      <c r="AJ291" s="269"/>
      <c r="AK291" s="269"/>
      <c r="AL291" s="269"/>
      <c r="AM291" s="269"/>
      <c r="AN291" s="269"/>
      <c r="AO291" s="269"/>
      <c r="AP291" s="269"/>
      <c r="AQ291" s="269"/>
      <c r="AR291" s="269"/>
      <c r="AS291" s="269"/>
      <c r="AT291" s="269"/>
      <c r="AU291" s="283"/>
    </row>
    <row r="292" spans="1:47" ht="60" customHeight="1" x14ac:dyDescent="0.35">
      <c r="A292" s="279" t="s">
        <v>7073</v>
      </c>
      <c r="B292" s="257" t="s">
        <v>7074</v>
      </c>
      <c r="C292" s="258" t="s">
        <v>7110</v>
      </c>
      <c r="D292" s="261" t="s">
        <v>7111</v>
      </c>
      <c r="E292" s="262" t="s">
        <v>6551</v>
      </c>
      <c r="F292" s="265" t="s">
        <v>7109</v>
      </c>
      <c r="G292" s="268" t="str">
        <f>IF(COUNTIF(H292:AU292,"&lt;&gt;")=0,"",SUMPRODUCT(((Recommendations[ImplStatus]="Implemented")+(Recommendations[ImplStatus]="Compensated"))*ISNUMBER(MATCH(Recommendations[Id],H292:AU292,0)))/COUNTIF(H292:AU292,"&lt;&gt;"))</f>
        <v/>
      </c>
      <c r="H292" s="269"/>
      <c r="I292" s="269"/>
      <c r="J292" s="269"/>
      <c r="K292" s="269"/>
      <c r="L292" s="269"/>
      <c r="M292" s="269"/>
      <c r="N292" s="269"/>
      <c r="O292" s="269"/>
      <c r="P292" s="269"/>
      <c r="Q292" s="269"/>
      <c r="R292" s="269"/>
      <c r="S292" s="269"/>
      <c r="T292" s="269"/>
      <c r="U292" s="269"/>
      <c r="V292" s="269"/>
      <c r="W292" s="269"/>
      <c r="X292" s="269"/>
      <c r="Y292" s="269"/>
      <c r="Z292" s="269"/>
      <c r="AA292" s="269"/>
      <c r="AB292" s="269"/>
      <c r="AC292" s="269"/>
      <c r="AD292" s="269"/>
      <c r="AE292" s="269"/>
      <c r="AF292" s="269"/>
      <c r="AG292" s="269"/>
      <c r="AH292" s="269"/>
      <c r="AI292" s="269"/>
      <c r="AJ292" s="269"/>
      <c r="AK292" s="269"/>
      <c r="AL292" s="269"/>
      <c r="AM292" s="269"/>
      <c r="AN292" s="269"/>
      <c r="AO292" s="269"/>
      <c r="AP292" s="269"/>
      <c r="AQ292" s="269"/>
      <c r="AR292" s="269"/>
      <c r="AS292" s="269"/>
      <c r="AT292" s="269"/>
      <c r="AU292" s="283"/>
    </row>
    <row r="293" spans="1:47" ht="60" customHeight="1" x14ac:dyDescent="0.35">
      <c r="A293" s="279" t="s">
        <v>7073</v>
      </c>
      <c r="B293" s="257" t="s">
        <v>7074</v>
      </c>
      <c r="C293" s="258" t="s">
        <v>7112</v>
      </c>
      <c r="D293" s="261" t="s">
        <v>7113</v>
      </c>
      <c r="E293" s="262" t="s">
        <v>6801</v>
      </c>
      <c r="F293" s="265" t="s">
        <v>7092</v>
      </c>
      <c r="G293" s="268" t="str">
        <f>IF(COUNTIF(H293:AU293,"&lt;&gt;")=0,"",SUMPRODUCT(((Recommendations[ImplStatus]="Implemented")+(Recommendations[ImplStatus]="Compensated"))*ISNUMBER(MATCH(Recommendations[Id],H293:AU293,0)))/COUNTIF(H293:AU293,"&lt;&gt;"))</f>
        <v/>
      </c>
      <c r="H293" s="269"/>
      <c r="I293" s="269"/>
      <c r="J293" s="269"/>
      <c r="K293" s="269"/>
      <c r="L293" s="269"/>
      <c r="M293" s="269"/>
      <c r="N293" s="269"/>
      <c r="O293" s="269"/>
      <c r="P293" s="269"/>
      <c r="Q293" s="269"/>
      <c r="R293" s="269"/>
      <c r="S293" s="269"/>
      <c r="T293" s="269"/>
      <c r="U293" s="269"/>
      <c r="V293" s="269"/>
      <c r="W293" s="269"/>
      <c r="X293" s="269"/>
      <c r="Y293" s="269"/>
      <c r="Z293" s="269"/>
      <c r="AA293" s="269"/>
      <c r="AB293" s="269"/>
      <c r="AC293" s="269"/>
      <c r="AD293" s="269"/>
      <c r="AE293" s="269"/>
      <c r="AF293" s="269"/>
      <c r="AG293" s="269"/>
      <c r="AH293" s="269"/>
      <c r="AI293" s="269"/>
      <c r="AJ293" s="269"/>
      <c r="AK293" s="269"/>
      <c r="AL293" s="269"/>
      <c r="AM293" s="269"/>
      <c r="AN293" s="269"/>
      <c r="AO293" s="269"/>
      <c r="AP293" s="269"/>
      <c r="AQ293" s="269"/>
      <c r="AR293" s="269"/>
      <c r="AS293" s="269"/>
      <c r="AT293" s="269"/>
      <c r="AU293" s="283"/>
    </row>
    <row r="294" spans="1:47" ht="60" customHeight="1" x14ac:dyDescent="0.35">
      <c r="A294" s="279" t="s">
        <v>7073</v>
      </c>
      <c r="B294" s="257" t="s">
        <v>7074</v>
      </c>
      <c r="C294" s="258" t="s">
        <v>7114</v>
      </c>
      <c r="D294" s="261" t="s">
        <v>7115</v>
      </c>
      <c r="E294" s="262" t="s">
        <v>6801</v>
      </c>
      <c r="F294" s="265" t="s">
        <v>7092</v>
      </c>
      <c r="G294" s="268" t="str">
        <f>IF(COUNTIF(H294:AU294,"&lt;&gt;")=0,"",SUMPRODUCT(((Recommendations[ImplStatus]="Implemented")+(Recommendations[ImplStatus]="Compensated"))*ISNUMBER(MATCH(Recommendations[Id],H294:AU294,0)))/COUNTIF(H294:AU294,"&lt;&gt;"))</f>
        <v/>
      </c>
      <c r="H294" s="269"/>
      <c r="I294" s="269"/>
      <c r="J294" s="269"/>
      <c r="K294" s="269"/>
      <c r="L294" s="269"/>
      <c r="M294" s="269"/>
      <c r="N294" s="269"/>
      <c r="O294" s="269"/>
      <c r="P294" s="269"/>
      <c r="Q294" s="269"/>
      <c r="R294" s="269"/>
      <c r="S294" s="269"/>
      <c r="T294" s="269"/>
      <c r="U294" s="269"/>
      <c r="V294" s="269"/>
      <c r="W294" s="269"/>
      <c r="X294" s="269"/>
      <c r="Y294" s="269"/>
      <c r="Z294" s="269"/>
      <c r="AA294" s="269"/>
      <c r="AB294" s="269"/>
      <c r="AC294" s="269"/>
      <c r="AD294" s="269"/>
      <c r="AE294" s="269"/>
      <c r="AF294" s="269"/>
      <c r="AG294" s="269"/>
      <c r="AH294" s="269"/>
      <c r="AI294" s="269"/>
      <c r="AJ294" s="269"/>
      <c r="AK294" s="269"/>
      <c r="AL294" s="269"/>
      <c r="AM294" s="269"/>
      <c r="AN294" s="269"/>
      <c r="AO294" s="269"/>
      <c r="AP294" s="269"/>
      <c r="AQ294" s="269"/>
      <c r="AR294" s="269"/>
      <c r="AS294" s="269"/>
      <c r="AT294" s="269"/>
      <c r="AU294" s="283"/>
    </row>
    <row r="295" spans="1:47" ht="60" customHeight="1" x14ac:dyDescent="0.35">
      <c r="A295" s="279" t="s">
        <v>7073</v>
      </c>
      <c r="B295" s="257" t="s">
        <v>7074</v>
      </c>
      <c r="C295" s="258" t="s">
        <v>7116</v>
      </c>
      <c r="D295" s="261" t="s">
        <v>7117</v>
      </c>
      <c r="E295" s="262" t="s">
        <v>6618</v>
      </c>
      <c r="F295" s="265" t="s">
        <v>7092</v>
      </c>
      <c r="G295" s="268" t="str">
        <f>IF(COUNTIF(H295:AU295,"&lt;&gt;")=0,"",SUMPRODUCT(((Recommendations[ImplStatus]="Implemented")+(Recommendations[ImplStatus]="Compensated"))*ISNUMBER(MATCH(Recommendations[Id],H295:AU295,0)))/COUNTIF(H295:AU295,"&lt;&gt;"))</f>
        <v/>
      </c>
      <c r="H295" s="269"/>
      <c r="I295" s="269"/>
      <c r="J295" s="269"/>
      <c r="K295" s="269"/>
      <c r="L295" s="269"/>
      <c r="M295" s="269"/>
      <c r="N295" s="269"/>
      <c r="O295" s="269"/>
      <c r="P295" s="269"/>
      <c r="Q295" s="269"/>
      <c r="R295" s="269"/>
      <c r="S295" s="269"/>
      <c r="T295" s="269"/>
      <c r="U295" s="269"/>
      <c r="V295" s="269"/>
      <c r="W295" s="269"/>
      <c r="X295" s="269"/>
      <c r="Y295" s="269"/>
      <c r="Z295" s="269"/>
      <c r="AA295" s="269"/>
      <c r="AB295" s="269"/>
      <c r="AC295" s="269"/>
      <c r="AD295" s="269"/>
      <c r="AE295" s="269"/>
      <c r="AF295" s="269"/>
      <c r="AG295" s="269"/>
      <c r="AH295" s="269"/>
      <c r="AI295" s="269"/>
      <c r="AJ295" s="269"/>
      <c r="AK295" s="269"/>
      <c r="AL295" s="269"/>
      <c r="AM295" s="269"/>
      <c r="AN295" s="269"/>
      <c r="AO295" s="269"/>
      <c r="AP295" s="269"/>
      <c r="AQ295" s="269"/>
      <c r="AR295" s="269"/>
      <c r="AS295" s="269"/>
      <c r="AT295" s="269"/>
      <c r="AU295" s="283"/>
    </row>
    <row r="296" spans="1:47" ht="60" customHeight="1" x14ac:dyDescent="0.35">
      <c r="A296" s="279" t="s">
        <v>7073</v>
      </c>
      <c r="B296" s="257" t="s">
        <v>7074</v>
      </c>
      <c r="C296" s="258" t="s">
        <v>7118</v>
      </c>
      <c r="D296" s="261" t="s">
        <v>7119</v>
      </c>
      <c r="E296" s="262" t="s">
        <v>6618</v>
      </c>
      <c r="F296" s="265" t="s">
        <v>7092</v>
      </c>
      <c r="G296" s="268" t="str">
        <f>IF(COUNTIF(H296:AU296,"&lt;&gt;")=0,"",SUMPRODUCT(((Recommendations[ImplStatus]="Implemented")+(Recommendations[ImplStatus]="Compensated"))*ISNUMBER(MATCH(Recommendations[Id],H296:AU296,0)))/COUNTIF(H296:AU296,"&lt;&gt;"))</f>
        <v/>
      </c>
      <c r="H296" s="269"/>
      <c r="I296" s="269"/>
      <c r="J296" s="269"/>
      <c r="K296" s="269"/>
      <c r="L296" s="269"/>
      <c r="M296" s="269"/>
      <c r="N296" s="269"/>
      <c r="O296" s="269"/>
      <c r="P296" s="269"/>
      <c r="Q296" s="269"/>
      <c r="R296" s="269"/>
      <c r="S296" s="269"/>
      <c r="T296" s="269"/>
      <c r="U296" s="269"/>
      <c r="V296" s="269"/>
      <c r="W296" s="269"/>
      <c r="X296" s="269"/>
      <c r="Y296" s="269"/>
      <c r="Z296" s="269"/>
      <c r="AA296" s="269"/>
      <c r="AB296" s="269"/>
      <c r="AC296" s="269"/>
      <c r="AD296" s="269"/>
      <c r="AE296" s="269"/>
      <c r="AF296" s="269"/>
      <c r="AG296" s="269"/>
      <c r="AH296" s="269"/>
      <c r="AI296" s="269"/>
      <c r="AJ296" s="269"/>
      <c r="AK296" s="269"/>
      <c r="AL296" s="269"/>
      <c r="AM296" s="269"/>
      <c r="AN296" s="269"/>
      <c r="AO296" s="269"/>
      <c r="AP296" s="269"/>
      <c r="AQ296" s="269"/>
      <c r="AR296" s="269"/>
      <c r="AS296" s="269"/>
      <c r="AT296" s="269"/>
      <c r="AU296" s="283"/>
    </row>
    <row r="297" spans="1:47" ht="60" customHeight="1" x14ac:dyDescent="0.35">
      <c r="A297" s="279" t="s">
        <v>7073</v>
      </c>
      <c r="B297" s="257" t="s">
        <v>7074</v>
      </c>
      <c r="C297" s="258" t="s">
        <v>7120</v>
      </c>
      <c r="D297" s="261" t="s">
        <v>7121</v>
      </c>
      <c r="E297" s="262" t="s">
        <v>6522</v>
      </c>
      <c r="F297" s="265" t="s">
        <v>7092</v>
      </c>
      <c r="G297" s="268" t="str">
        <f>IF(COUNTIF(H297:AU297,"&lt;&gt;")=0,"",SUMPRODUCT(((Recommendations[ImplStatus]="Implemented")+(Recommendations[ImplStatus]="Compensated"))*ISNUMBER(MATCH(Recommendations[Id],H297:AU297,0)))/COUNTIF(H297:AU297,"&lt;&gt;"))</f>
        <v/>
      </c>
      <c r="H297" s="269"/>
      <c r="I297" s="269"/>
      <c r="J297" s="269"/>
      <c r="K297" s="269"/>
      <c r="L297" s="269"/>
      <c r="M297" s="269"/>
      <c r="N297" s="269"/>
      <c r="O297" s="269"/>
      <c r="P297" s="269"/>
      <c r="Q297" s="269"/>
      <c r="R297" s="269"/>
      <c r="S297" s="269"/>
      <c r="T297" s="269"/>
      <c r="U297" s="269"/>
      <c r="V297" s="269"/>
      <c r="W297" s="269"/>
      <c r="X297" s="269"/>
      <c r="Y297" s="269"/>
      <c r="Z297" s="269"/>
      <c r="AA297" s="269"/>
      <c r="AB297" s="269"/>
      <c r="AC297" s="269"/>
      <c r="AD297" s="269"/>
      <c r="AE297" s="269"/>
      <c r="AF297" s="269"/>
      <c r="AG297" s="269"/>
      <c r="AH297" s="269"/>
      <c r="AI297" s="269"/>
      <c r="AJ297" s="269"/>
      <c r="AK297" s="269"/>
      <c r="AL297" s="269"/>
      <c r="AM297" s="269"/>
      <c r="AN297" s="269"/>
      <c r="AO297" s="269"/>
      <c r="AP297" s="269"/>
      <c r="AQ297" s="269"/>
      <c r="AR297" s="269"/>
      <c r="AS297" s="269"/>
      <c r="AT297" s="269"/>
      <c r="AU297" s="283"/>
    </row>
    <row r="298" spans="1:47" ht="60" customHeight="1" x14ac:dyDescent="0.35">
      <c r="A298" s="279" t="s">
        <v>7073</v>
      </c>
      <c r="B298" s="257" t="s">
        <v>7074</v>
      </c>
      <c r="C298" s="258" t="s">
        <v>7122</v>
      </c>
      <c r="D298" s="261" t="s">
        <v>7123</v>
      </c>
      <c r="E298" s="262" t="s">
        <v>6618</v>
      </c>
      <c r="F298" s="265" t="s">
        <v>7092</v>
      </c>
      <c r="G298" s="268" t="str">
        <f>IF(COUNTIF(H298:AU298,"&lt;&gt;")=0,"",SUMPRODUCT(((Recommendations[ImplStatus]="Implemented")+(Recommendations[ImplStatus]="Compensated"))*ISNUMBER(MATCH(Recommendations[Id],H298:AU298,0)))/COUNTIF(H298:AU298,"&lt;&gt;"))</f>
        <v/>
      </c>
      <c r="H298" s="269"/>
      <c r="I298" s="269"/>
      <c r="J298" s="269"/>
      <c r="K298" s="269"/>
      <c r="L298" s="269"/>
      <c r="M298" s="269"/>
      <c r="N298" s="269"/>
      <c r="O298" s="269"/>
      <c r="P298" s="269"/>
      <c r="Q298" s="269"/>
      <c r="R298" s="269"/>
      <c r="S298" s="269"/>
      <c r="T298" s="269"/>
      <c r="U298" s="269"/>
      <c r="V298" s="269"/>
      <c r="W298" s="269"/>
      <c r="X298" s="269"/>
      <c r="Y298" s="269"/>
      <c r="Z298" s="269"/>
      <c r="AA298" s="269"/>
      <c r="AB298" s="269"/>
      <c r="AC298" s="269"/>
      <c r="AD298" s="269"/>
      <c r="AE298" s="269"/>
      <c r="AF298" s="269"/>
      <c r="AG298" s="269"/>
      <c r="AH298" s="269"/>
      <c r="AI298" s="269"/>
      <c r="AJ298" s="269"/>
      <c r="AK298" s="269"/>
      <c r="AL298" s="269"/>
      <c r="AM298" s="269"/>
      <c r="AN298" s="269"/>
      <c r="AO298" s="269"/>
      <c r="AP298" s="269"/>
      <c r="AQ298" s="269"/>
      <c r="AR298" s="269"/>
      <c r="AS298" s="269"/>
      <c r="AT298" s="269"/>
      <c r="AU298" s="283"/>
    </row>
    <row r="299" spans="1:47" ht="60" customHeight="1" x14ac:dyDescent="0.35">
      <c r="A299" s="279" t="s">
        <v>7073</v>
      </c>
      <c r="B299" s="257" t="s">
        <v>7074</v>
      </c>
      <c r="C299" s="258" t="s">
        <v>7124</v>
      </c>
      <c r="D299" s="261" t="s">
        <v>7125</v>
      </c>
      <c r="E299" s="262" t="s">
        <v>6551</v>
      </c>
      <c r="F299" s="265" t="s">
        <v>7092</v>
      </c>
      <c r="G299" s="268" t="str">
        <f>IF(COUNTIF(H299:AU299,"&lt;&gt;")=0,"",SUMPRODUCT(((Recommendations[ImplStatus]="Implemented")+(Recommendations[ImplStatus]="Compensated"))*ISNUMBER(MATCH(Recommendations[Id],H299:AU299,0)))/COUNTIF(H299:AU299,"&lt;&gt;"))</f>
        <v/>
      </c>
      <c r="H299" s="269"/>
      <c r="I299" s="269"/>
      <c r="J299" s="269"/>
      <c r="K299" s="269"/>
      <c r="L299" s="269"/>
      <c r="M299" s="269"/>
      <c r="N299" s="269"/>
      <c r="O299" s="269"/>
      <c r="P299" s="269"/>
      <c r="Q299" s="269"/>
      <c r="R299" s="269"/>
      <c r="S299" s="269"/>
      <c r="T299" s="269"/>
      <c r="U299" s="269"/>
      <c r="V299" s="269"/>
      <c r="W299" s="269"/>
      <c r="X299" s="269"/>
      <c r="Y299" s="269"/>
      <c r="Z299" s="269"/>
      <c r="AA299" s="269"/>
      <c r="AB299" s="269"/>
      <c r="AC299" s="269"/>
      <c r="AD299" s="269"/>
      <c r="AE299" s="269"/>
      <c r="AF299" s="269"/>
      <c r="AG299" s="269"/>
      <c r="AH299" s="269"/>
      <c r="AI299" s="269"/>
      <c r="AJ299" s="269"/>
      <c r="AK299" s="269"/>
      <c r="AL299" s="269"/>
      <c r="AM299" s="269"/>
      <c r="AN299" s="269"/>
      <c r="AO299" s="269"/>
      <c r="AP299" s="269"/>
      <c r="AQ299" s="269"/>
      <c r="AR299" s="269"/>
      <c r="AS299" s="269"/>
      <c r="AT299" s="269"/>
      <c r="AU299" s="283"/>
    </row>
    <row r="300" spans="1:47" ht="60" customHeight="1" x14ac:dyDescent="0.35">
      <c r="A300" s="279" t="s">
        <v>7073</v>
      </c>
      <c r="B300" s="257" t="s">
        <v>7074</v>
      </c>
      <c r="C300" s="258" t="s">
        <v>7126</v>
      </c>
      <c r="D300" s="261" t="s">
        <v>7127</v>
      </c>
      <c r="E300" s="262" t="s">
        <v>6618</v>
      </c>
      <c r="F300" s="265" t="s">
        <v>7092</v>
      </c>
      <c r="G300" s="268" t="str">
        <f>IF(COUNTIF(H300:AU300,"&lt;&gt;")=0,"",SUMPRODUCT(((Recommendations[ImplStatus]="Implemented")+(Recommendations[ImplStatus]="Compensated"))*ISNUMBER(MATCH(Recommendations[Id],H300:AU300,0)))/COUNTIF(H300:AU300,"&lt;&gt;"))</f>
        <v/>
      </c>
      <c r="H300" s="269"/>
      <c r="I300" s="269"/>
      <c r="J300" s="269"/>
      <c r="K300" s="269"/>
      <c r="L300" s="269"/>
      <c r="M300" s="269"/>
      <c r="N300" s="269"/>
      <c r="O300" s="269"/>
      <c r="P300" s="269"/>
      <c r="Q300" s="269"/>
      <c r="R300" s="269"/>
      <c r="S300" s="269"/>
      <c r="T300" s="269"/>
      <c r="U300" s="269"/>
      <c r="V300" s="269"/>
      <c r="W300" s="269"/>
      <c r="X300" s="269"/>
      <c r="Y300" s="269"/>
      <c r="Z300" s="269"/>
      <c r="AA300" s="269"/>
      <c r="AB300" s="269"/>
      <c r="AC300" s="269"/>
      <c r="AD300" s="269"/>
      <c r="AE300" s="269"/>
      <c r="AF300" s="269"/>
      <c r="AG300" s="269"/>
      <c r="AH300" s="269"/>
      <c r="AI300" s="269"/>
      <c r="AJ300" s="269"/>
      <c r="AK300" s="269"/>
      <c r="AL300" s="269"/>
      <c r="AM300" s="269"/>
      <c r="AN300" s="269"/>
      <c r="AO300" s="269"/>
      <c r="AP300" s="269"/>
      <c r="AQ300" s="269"/>
      <c r="AR300" s="269"/>
      <c r="AS300" s="269"/>
      <c r="AT300" s="269"/>
      <c r="AU300" s="283"/>
    </row>
    <row r="301" spans="1:47" ht="60" customHeight="1" x14ac:dyDescent="0.35">
      <c r="A301" s="279" t="s">
        <v>7073</v>
      </c>
      <c r="B301" s="257" t="s">
        <v>7074</v>
      </c>
      <c r="C301" s="258" t="s">
        <v>7128</v>
      </c>
      <c r="D301" s="261" t="s">
        <v>7129</v>
      </c>
      <c r="E301" s="262" t="s">
        <v>6666</v>
      </c>
      <c r="F301" s="265" t="s">
        <v>7092</v>
      </c>
      <c r="G301" s="268" t="str">
        <f>IF(COUNTIF(H301:AU301,"&lt;&gt;")=0,"",SUMPRODUCT(((Recommendations[ImplStatus]="Implemented")+(Recommendations[ImplStatus]="Compensated"))*ISNUMBER(MATCH(Recommendations[Id],H301:AU301,0)))/COUNTIF(H301:AU301,"&lt;&gt;"))</f>
        <v/>
      </c>
      <c r="H301" s="269"/>
      <c r="I301" s="269"/>
      <c r="J301" s="269"/>
      <c r="K301" s="269"/>
      <c r="L301" s="269"/>
      <c r="M301" s="269"/>
      <c r="N301" s="269"/>
      <c r="O301" s="269"/>
      <c r="P301" s="269"/>
      <c r="Q301" s="269"/>
      <c r="R301" s="269"/>
      <c r="S301" s="269"/>
      <c r="T301" s="269"/>
      <c r="U301" s="269"/>
      <c r="V301" s="269"/>
      <c r="W301" s="269"/>
      <c r="X301" s="269"/>
      <c r="Y301" s="269"/>
      <c r="Z301" s="269"/>
      <c r="AA301" s="269"/>
      <c r="AB301" s="269"/>
      <c r="AC301" s="269"/>
      <c r="AD301" s="269"/>
      <c r="AE301" s="269"/>
      <c r="AF301" s="269"/>
      <c r="AG301" s="269"/>
      <c r="AH301" s="269"/>
      <c r="AI301" s="269"/>
      <c r="AJ301" s="269"/>
      <c r="AK301" s="269"/>
      <c r="AL301" s="269"/>
      <c r="AM301" s="269"/>
      <c r="AN301" s="269"/>
      <c r="AO301" s="269"/>
      <c r="AP301" s="269"/>
      <c r="AQ301" s="269"/>
      <c r="AR301" s="269"/>
      <c r="AS301" s="269"/>
      <c r="AT301" s="269"/>
      <c r="AU301" s="283"/>
    </row>
    <row r="302" spans="1:47" ht="60" customHeight="1" x14ac:dyDescent="0.35">
      <c r="A302" s="279" t="s">
        <v>7073</v>
      </c>
      <c r="B302" s="257" t="s">
        <v>7074</v>
      </c>
      <c r="C302" s="258" t="s">
        <v>7130</v>
      </c>
      <c r="D302" s="261" t="s">
        <v>7131</v>
      </c>
      <c r="E302" s="262" t="s">
        <v>6666</v>
      </c>
      <c r="F302" s="265" t="s">
        <v>7092</v>
      </c>
      <c r="G302" s="268" t="str">
        <f>IF(COUNTIF(H302:AU302,"&lt;&gt;")=0,"",SUMPRODUCT(((Recommendations[ImplStatus]="Implemented")+(Recommendations[ImplStatus]="Compensated"))*ISNUMBER(MATCH(Recommendations[Id],H302:AU302,0)))/COUNTIF(H302:AU302,"&lt;&gt;"))</f>
        <v/>
      </c>
      <c r="H302" s="269"/>
      <c r="I302" s="269"/>
      <c r="J302" s="269"/>
      <c r="K302" s="269"/>
      <c r="L302" s="269"/>
      <c r="M302" s="269"/>
      <c r="N302" s="269"/>
      <c r="O302" s="269"/>
      <c r="P302" s="269"/>
      <c r="Q302" s="269"/>
      <c r="R302" s="269"/>
      <c r="S302" s="269"/>
      <c r="T302" s="269"/>
      <c r="U302" s="269"/>
      <c r="V302" s="269"/>
      <c r="W302" s="269"/>
      <c r="X302" s="269"/>
      <c r="Y302" s="269"/>
      <c r="Z302" s="269"/>
      <c r="AA302" s="269"/>
      <c r="AB302" s="269"/>
      <c r="AC302" s="269"/>
      <c r="AD302" s="269"/>
      <c r="AE302" s="269"/>
      <c r="AF302" s="269"/>
      <c r="AG302" s="269"/>
      <c r="AH302" s="269"/>
      <c r="AI302" s="269"/>
      <c r="AJ302" s="269"/>
      <c r="AK302" s="269"/>
      <c r="AL302" s="269"/>
      <c r="AM302" s="269"/>
      <c r="AN302" s="269"/>
      <c r="AO302" s="269"/>
      <c r="AP302" s="269"/>
      <c r="AQ302" s="269"/>
      <c r="AR302" s="269"/>
      <c r="AS302" s="269"/>
      <c r="AT302" s="269"/>
      <c r="AU302" s="283"/>
    </row>
    <row r="303" spans="1:47" ht="60" customHeight="1" outlineLevel="2" x14ac:dyDescent="0.35">
      <c r="A303" s="278" t="s">
        <v>7073</v>
      </c>
      <c r="B303" s="256" t="s">
        <v>2888</v>
      </c>
      <c r="C303" s="256"/>
      <c r="D303" s="260"/>
      <c r="E303" s="256"/>
      <c r="F303" s="264"/>
      <c r="G303" s="267" t="str">
        <f>IF(COUNTIF(H303:AU303,"&lt;&gt;")=0,"",SUMPRODUCT(((Recommendations[ImplStatus]="Implemented")+(Recommendations[ImplStatus]="Compensated"))*ISNUMBER(MATCH(Recommendations[Id],H303:AU303,0)))/COUNTIF(H303:AU303,"&lt;&gt;"))</f>
        <v/>
      </c>
      <c r="H303" s="264"/>
      <c r="I303" s="264"/>
      <c r="J303" s="264"/>
      <c r="K303" s="264"/>
      <c r="L303" s="264"/>
      <c r="M303" s="264"/>
      <c r="N303" s="264"/>
      <c r="O303" s="264"/>
      <c r="P303" s="264"/>
      <c r="Q303" s="264"/>
      <c r="R303" s="264"/>
      <c r="S303" s="264"/>
      <c r="T303" s="264"/>
      <c r="U303" s="264"/>
      <c r="V303" s="264"/>
      <c r="W303" s="264"/>
      <c r="X303" s="264"/>
      <c r="Y303" s="264"/>
      <c r="Z303" s="264"/>
      <c r="AA303" s="264"/>
      <c r="AB303" s="264"/>
      <c r="AC303" s="264"/>
      <c r="AD303" s="264"/>
      <c r="AE303" s="264"/>
      <c r="AF303" s="264"/>
      <c r="AG303" s="264"/>
      <c r="AH303" s="264"/>
      <c r="AI303" s="264"/>
      <c r="AJ303" s="264"/>
      <c r="AK303" s="264"/>
      <c r="AL303" s="264"/>
      <c r="AM303" s="264"/>
      <c r="AN303" s="264"/>
      <c r="AO303" s="264"/>
      <c r="AP303" s="264"/>
      <c r="AQ303" s="264"/>
      <c r="AR303" s="264"/>
      <c r="AS303" s="264"/>
      <c r="AT303" s="264"/>
      <c r="AU303" s="282"/>
    </row>
    <row r="304" spans="1:47" ht="60" customHeight="1" x14ac:dyDescent="0.35">
      <c r="A304" s="279" t="s">
        <v>7073</v>
      </c>
      <c r="B304" s="257" t="s">
        <v>2888</v>
      </c>
      <c r="C304" s="258" t="s">
        <v>7132</v>
      </c>
      <c r="D304" s="261" t="s">
        <v>7133</v>
      </c>
      <c r="E304" s="262" t="s">
        <v>6522</v>
      </c>
      <c r="F304" s="265" t="s">
        <v>7134</v>
      </c>
      <c r="G304" s="268" t="str">
        <f>IF(COUNTIF(H304:AU304,"&lt;&gt;")=0,"",SUMPRODUCT(((Recommendations[ImplStatus]="Implemented")+(Recommendations[ImplStatus]="Compensated"))*ISNUMBER(MATCH(Recommendations[Id],H304:AU304,0)))/COUNTIF(H304:AU304,"&lt;&gt;"))</f>
        <v/>
      </c>
      <c r="H304" s="269"/>
      <c r="I304" s="269"/>
      <c r="J304" s="269"/>
      <c r="K304" s="269"/>
      <c r="L304" s="269"/>
      <c r="M304" s="269"/>
      <c r="N304" s="269"/>
      <c r="O304" s="269"/>
      <c r="P304" s="269"/>
      <c r="Q304" s="269"/>
      <c r="R304" s="269"/>
      <c r="S304" s="269"/>
      <c r="T304" s="269"/>
      <c r="U304" s="269"/>
      <c r="V304" s="269"/>
      <c r="W304" s="269"/>
      <c r="X304" s="269"/>
      <c r="Y304" s="269"/>
      <c r="Z304" s="269"/>
      <c r="AA304" s="269"/>
      <c r="AB304" s="269"/>
      <c r="AC304" s="269"/>
      <c r="AD304" s="269"/>
      <c r="AE304" s="269"/>
      <c r="AF304" s="269"/>
      <c r="AG304" s="269"/>
      <c r="AH304" s="269"/>
      <c r="AI304" s="269"/>
      <c r="AJ304" s="269"/>
      <c r="AK304" s="269"/>
      <c r="AL304" s="269"/>
      <c r="AM304" s="269"/>
      <c r="AN304" s="269"/>
      <c r="AO304" s="269"/>
      <c r="AP304" s="269"/>
      <c r="AQ304" s="269"/>
      <c r="AR304" s="269"/>
      <c r="AS304" s="269"/>
      <c r="AT304" s="269"/>
      <c r="AU304" s="283"/>
    </row>
    <row r="305" spans="1:47" ht="60" customHeight="1" x14ac:dyDescent="0.35">
      <c r="A305" s="279" t="s">
        <v>7073</v>
      </c>
      <c r="B305" s="257" t="s">
        <v>2888</v>
      </c>
      <c r="C305" s="258" t="s">
        <v>7135</v>
      </c>
      <c r="D305" s="261" t="s">
        <v>7136</v>
      </c>
      <c r="E305" s="262" t="s">
        <v>6522</v>
      </c>
      <c r="F305" s="265" t="s">
        <v>7134</v>
      </c>
      <c r="G305" s="268" t="str">
        <f>IF(COUNTIF(H305:AU305,"&lt;&gt;")=0,"",SUMPRODUCT(((Recommendations[ImplStatus]="Implemented")+(Recommendations[ImplStatus]="Compensated"))*ISNUMBER(MATCH(Recommendations[Id],H305:AU305,0)))/COUNTIF(H305:AU305,"&lt;&gt;"))</f>
        <v/>
      </c>
      <c r="H305" s="269"/>
      <c r="I305" s="269"/>
      <c r="J305" s="269"/>
      <c r="K305" s="269"/>
      <c r="L305" s="269"/>
      <c r="M305" s="269"/>
      <c r="N305" s="269"/>
      <c r="O305" s="269"/>
      <c r="P305" s="269"/>
      <c r="Q305" s="269"/>
      <c r="R305" s="269"/>
      <c r="S305" s="269"/>
      <c r="T305" s="269"/>
      <c r="U305" s="269"/>
      <c r="V305" s="269"/>
      <c r="W305" s="269"/>
      <c r="X305" s="269"/>
      <c r="Y305" s="269"/>
      <c r="Z305" s="269"/>
      <c r="AA305" s="269"/>
      <c r="AB305" s="269"/>
      <c r="AC305" s="269"/>
      <c r="AD305" s="269"/>
      <c r="AE305" s="269"/>
      <c r="AF305" s="269"/>
      <c r="AG305" s="269"/>
      <c r="AH305" s="269"/>
      <c r="AI305" s="269"/>
      <c r="AJ305" s="269"/>
      <c r="AK305" s="269"/>
      <c r="AL305" s="269"/>
      <c r="AM305" s="269"/>
      <c r="AN305" s="269"/>
      <c r="AO305" s="269"/>
      <c r="AP305" s="269"/>
      <c r="AQ305" s="269"/>
      <c r="AR305" s="269"/>
      <c r="AS305" s="269"/>
      <c r="AT305" s="269"/>
      <c r="AU305" s="283"/>
    </row>
    <row r="306" spans="1:47" ht="60" customHeight="1" x14ac:dyDescent="0.35">
      <c r="A306" s="279" t="s">
        <v>7073</v>
      </c>
      <c r="B306" s="257" t="s">
        <v>2888</v>
      </c>
      <c r="C306" s="258" t="s">
        <v>7137</v>
      </c>
      <c r="D306" s="261" t="s">
        <v>7138</v>
      </c>
      <c r="E306" s="262" t="s">
        <v>6522</v>
      </c>
      <c r="F306" s="265" t="s">
        <v>7134</v>
      </c>
      <c r="G306" s="268" t="str">
        <f>IF(COUNTIF(H306:AU306,"&lt;&gt;")=0,"",SUMPRODUCT(((Recommendations[ImplStatus]="Implemented")+(Recommendations[ImplStatus]="Compensated"))*ISNUMBER(MATCH(Recommendations[Id],H306:AU306,0)))/COUNTIF(H306:AU306,"&lt;&gt;"))</f>
        <v/>
      </c>
      <c r="H306" s="269"/>
      <c r="I306" s="269"/>
      <c r="J306" s="269"/>
      <c r="K306" s="269"/>
      <c r="L306" s="269"/>
      <c r="M306" s="269"/>
      <c r="N306" s="269"/>
      <c r="O306" s="269"/>
      <c r="P306" s="269"/>
      <c r="Q306" s="269"/>
      <c r="R306" s="269"/>
      <c r="S306" s="269"/>
      <c r="T306" s="269"/>
      <c r="U306" s="269"/>
      <c r="V306" s="269"/>
      <c r="W306" s="269"/>
      <c r="X306" s="269"/>
      <c r="Y306" s="269"/>
      <c r="Z306" s="269"/>
      <c r="AA306" s="269"/>
      <c r="AB306" s="269"/>
      <c r="AC306" s="269"/>
      <c r="AD306" s="269"/>
      <c r="AE306" s="269"/>
      <c r="AF306" s="269"/>
      <c r="AG306" s="269"/>
      <c r="AH306" s="269"/>
      <c r="AI306" s="269"/>
      <c r="AJ306" s="269"/>
      <c r="AK306" s="269"/>
      <c r="AL306" s="269"/>
      <c r="AM306" s="269"/>
      <c r="AN306" s="269"/>
      <c r="AO306" s="269"/>
      <c r="AP306" s="269"/>
      <c r="AQ306" s="269"/>
      <c r="AR306" s="269"/>
      <c r="AS306" s="269"/>
      <c r="AT306" s="269"/>
      <c r="AU306" s="283"/>
    </row>
    <row r="307" spans="1:47" ht="60" customHeight="1" x14ac:dyDescent="0.35">
      <c r="A307" s="279" t="s">
        <v>7073</v>
      </c>
      <c r="B307" s="257" t="s">
        <v>2888</v>
      </c>
      <c r="C307" s="258" t="s">
        <v>7139</v>
      </c>
      <c r="D307" s="261" t="s">
        <v>7140</v>
      </c>
      <c r="E307" s="262" t="s">
        <v>6522</v>
      </c>
      <c r="F307" s="265" t="s">
        <v>7134</v>
      </c>
      <c r="G307" s="268" t="str">
        <f>IF(COUNTIF(H307:AU307,"&lt;&gt;")=0,"",SUMPRODUCT(((Recommendations[ImplStatus]="Implemented")+(Recommendations[ImplStatus]="Compensated"))*ISNUMBER(MATCH(Recommendations[Id],H307:AU307,0)))/COUNTIF(H307:AU307,"&lt;&gt;"))</f>
        <v/>
      </c>
      <c r="H307" s="269"/>
      <c r="I307" s="269"/>
      <c r="J307" s="269"/>
      <c r="K307" s="269"/>
      <c r="L307" s="269"/>
      <c r="M307" s="269"/>
      <c r="N307" s="269"/>
      <c r="O307" s="269"/>
      <c r="P307" s="269"/>
      <c r="Q307" s="269"/>
      <c r="R307" s="269"/>
      <c r="S307" s="269"/>
      <c r="T307" s="269"/>
      <c r="U307" s="269"/>
      <c r="V307" s="269"/>
      <c r="W307" s="269"/>
      <c r="X307" s="269"/>
      <c r="Y307" s="269"/>
      <c r="Z307" s="269"/>
      <c r="AA307" s="269"/>
      <c r="AB307" s="269"/>
      <c r="AC307" s="269"/>
      <c r="AD307" s="269"/>
      <c r="AE307" s="269"/>
      <c r="AF307" s="269"/>
      <c r="AG307" s="269"/>
      <c r="AH307" s="269"/>
      <c r="AI307" s="269"/>
      <c r="AJ307" s="269"/>
      <c r="AK307" s="269"/>
      <c r="AL307" s="269"/>
      <c r="AM307" s="269"/>
      <c r="AN307" s="269"/>
      <c r="AO307" s="269"/>
      <c r="AP307" s="269"/>
      <c r="AQ307" s="269"/>
      <c r="AR307" s="269"/>
      <c r="AS307" s="269"/>
      <c r="AT307" s="269"/>
      <c r="AU307" s="283"/>
    </row>
    <row r="308" spans="1:47" ht="60" customHeight="1" x14ac:dyDescent="0.35">
      <c r="A308" s="279" t="s">
        <v>7073</v>
      </c>
      <c r="B308" s="257" t="s">
        <v>2888</v>
      </c>
      <c r="C308" s="258" t="s">
        <v>7141</v>
      </c>
      <c r="D308" s="261" t="s">
        <v>7142</v>
      </c>
      <c r="E308" s="262" t="s">
        <v>6618</v>
      </c>
      <c r="F308" s="265" t="s">
        <v>7134</v>
      </c>
      <c r="G308" s="268" t="str">
        <f>IF(COUNTIF(H308:AU308,"&lt;&gt;")=0,"",SUMPRODUCT(((Recommendations[ImplStatus]="Implemented")+(Recommendations[ImplStatus]="Compensated"))*ISNUMBER(MATCH(Recommendations[Id],H308:AU308,0)))/COUNTIF(H308:AU308,"&lt;&gt;"))</f>
        <v/>
      </c>
      <c r="H308" s="269"/>
      <c r="I308" s="269"/>
      <c r="J308" s="269"/>
      <c r="K308" s="269"/>
      <c r="L308" s="269"/>
      <c r="M308" s="269"/>
      <c r="N308" s="269"/>
      <c r="O308" s="269"/>
      <c r="P308" s="269"/>
      <c r="Q308" s="269"/>
      <c r="R308" s="269"/>
      <c r="S308" s="269"/>
      <c r="T308" s="269"/>
      <c r="U308" s="269"/>
      <c r="V308" s="269"/>
      <c r="W308" s="269"/>
      <c r="X308" s="269"/>
      <c r="Y308" s="269"/>
      <c r="Z308" s="269"/>
      <c r="AA308" s="269"/>
      <c r="AB308" s="269"/>
      <c r="AC308" s="269"/>
      <c r="AD308" s="269"/>
      <c r="AE308" s="269"/>
      <c r="AF308" s="269"/>
      <c r="AG308" s="269"/>
      <c r="AH308" s="269"/>
      <c r="AI308" s="269"/>
      <c r="AJ308" s="269"/>
      <c r="AK308" s="269"/>
      <c r="AL308" s="269"/>
      <c r="AM308" s="269"/>
      <c r="AN308" s="269"/>
      <c r="AO308" s="269"/>
      <c r="AP308" s="269"/>
      <c r="AQ308" s="269"/>
      <c r="AR308" s="269"/>
      <c r="AS308" s="269"/>
      <c r="AT308" s="269"/>
      <c r="AU308" s="283"/>
    </row>
    <row r="309" spans="1:47" ht="60" customHeight="1" x14ac:dyDescent="0.35">
      <c r="A309" s="279" t="s">
        <v>7073</v>
      </c>
      <c r="B309" s="257" t="s">
        <v>2888</v>
      </c>
      <c r="C309" s="258" t="s">
        <v>7143</v>
      </c>
      <c r="D309" s="261" t="s">
        <v>7144</v>
      </c>
      <c r="E309" s="262" t="s">
        <v>6618</v>
      </c>
      <c r="F309" s="265" t="s">
        <v>7134</v>
      </c>
      <c r="G309" s="268">
        <f>IF(COUNTIF(H309:AU309,"&lt;&gt;")=0,"",SUMPRODUCT(((Recommendations[ImplStatus]="Implemented")+(Recommendations[ImplStatus]="Compensated"))*ISNUMBER(MATCH(Recommendations[Id],H309:AU309,0)))/COUNTIF(H309:AU309,"&lt;&gt;"))</f>
        <v>0</v>
      </c>
      <c r="H309" s="269" t="s">
        <v>269</v>
      </c>
      <c r="I309" s="269" t="s">
        <v>274</v>
      </c>
      <c r="J309" s="269" t="s">
        <v>278</v>
      </c>
      <c r="K309" s="269" t="s">
        <v>283</v>
      </c>
      <c r="L309" s="269" t="s">
        <v>417</v>
      </c>
      <c r="M309" s="269" t="s">
        <v>1493</v>
      </c>
      <c r="N309" s="269" t="s">
        <v>1648</v>
      </c>
      <c r="O309" s="269" t="s">
        <v>1675</v>
      </c>
      <c r="P309" s="269" t="s">
        <v>1680</v>
      </c>
      <c r="Q309" s="269"/>
      <c r="R309" s="269"/>
      <c r="S309" s="269"/>
      <c r="T309" s="269"/>
      <c r="U309" s="269"/>
      <c r="V309" s="269"/>
      <c r="W309" s="269"/>
      <c r="X309" s="269"/>
      <c r="Y309" s="269"/>
      <c r="Z309" s="269"/>
      <c r="AA309" s="269"/>
      <c r="AB309" s="269"/>
      <c r="AC309" s="269"/>
      <c r="AD309" s="269"/>
      <c r="AE309" s="269"/>
      <c r="AF309" s="269"/>
      <c r="AG309" s="269"/>
      <c r="AH309" s="269"/>
      <c r="AI309" s="269"/>
      <c r="AJ309" s="269"/>
      <c r="AK309" s="269"/>
      <c r="AL309" s="269"/>
      <c r="AM309" s="269"/>
      <c r="AN309" s="269"/>
      <c r="AO309" s="269"/>
      <c r="AP309" s="269"/>
      <c r="AQ309" s="269"/>
      <c r="AR309" s="269"/>
      <c r="AS309" s="269"/>
      <c r="AT309" s="269"/>
      <c r="AU309" s="283"/>
    </row>
    <row r="310" spans="1:47" ht="60" customHeight="1" x14ac:dyDescent="0.35">
      <c r="A310" s="279" t="s">
        <v>7073</v>
      </c>
      <c r="B310" s="257" t="s">
        <v>2888</v>
      </c>
      <c r="C310" s="258" t="s">
        <v>7145</v>
      </c>
      <c r="D310" s="261" t="s">
        <v>7146</v>
      </c>
      <c r="E310" s="262" t="s">
        <v>6618</v>
      </c>
      <c r="F310" s="265" t="s">
        <v>7134</v>
      </c>
      <c r="G310" s="268">
        <f>IF(COUNTIF(H310:AU310,"&lt;&gt;")=0,"",SUMPRODUCT(((Recommendations[ImplStatus]="Implemented")+(Recommendations[ImplStatus]="Compensated"))*ISNUMBER(MATCH(Recommendations[Id],H310:AU310,0)))/COUNTIF(H310:AU310,"&lt;&gt;"))</f>
        <v>0</v>
      </c>
      <c r="H310" s="269" t="s">
        <v>240</v>
      </c>
      <c r="I310" s="269" t="s">
        <v>293</v>
      </c>
      <c r="J310" s="269" t="s">
        <v>298</v>
      </c>
      <c r="K310" s="269" t="s">
        <v>303</v>
      </c>
      <c r="L310" s="269" t="s">
        <v>720</v>
      </c>
      <c r="M310" s="269" t="s">
        <v>793</v>
      </c>
      <c r="N310" s="269"/>
      <c r="O310" s="269"/>
      <c r="P310" s="269"/>
      <c r="Q310" s="269"/>
      <c r="R310" s="269"/>
      <c r="S310" s="269"/>
      <c r="T310" s="269"/>
      <c r="U310" s="269"/>
      <c r="V310" s="269"/>
      <c r="W310" s="269"/>
      <c r="X310" s="269"/>
      <c r="Y310" s="269"/>
      <c r="Z310" s="269"/>
      <c r="AA310" s="269"/>
      <c r="AB310" s="269"/>
      <c r="AC310" s="269"/>
      <c r="AD310" s="269"/>
      <c r="AE310" s="269"/>
      <c r="AF310" s="269"/>
      <c r="AG310" s="269"/>
      <c r="AH310" s="269"/>
      <c r="AI310" s="269"/>
      <c r="AJ310" s="269"/>
      <c r="AK310" s="269"/>
      <c r="AL310" s="269"/>
      <c r="AM310" s="269"/>
      <c r="AN310" s="269"/>
      <c r="AO310" s="269"/>
      <c r="AP310" s="269"/>
      <c r="AQ310" s="269"/>
      <c r="AR310" s="269"/>
      <c r="AS310" s="269"/>
      <c r="AT310" s="269"/>
      <c r="AU310" s="283"/>
    </row>
    <row r="311" spans="1:47" ht="60" customHeight="1" x14ac:dyDescent="0.35">
      <c r="A311" s="279" t="s">
        <v>7073</v>
      </c>
      <c r="B311" s="257" t="s">
        <v>2888</v>
      </c>
      <c r="C311" s="258" t="s">
        <v>7147</v>
      </c>
      <c r="D311" s="261" t="s">
        <v>7148</v>
      </c>
      <c r="E311" s="262" t="s">
        <v>6618</v>
      </c>
      <c r="F311" s="265" t="s">
        <v>7134</v>
      </c>
      <c r="G311" s="268" t="str">
        <f>IF(COUNTIF(H311:AU311,"&lt;&gt;")=0,"",SUMPRODUCT(((Recommendations[ImplStatus]="Implemented")+(Recommendations[ImplStatus]="Compensated"))*ISNUMBER(MATCH(Recommendations[Id],H311:AU311,0)))/COUNTIF(H311:AU311,"&lt;&gt;"))</f>
        <v/>
      </c>
      <c r="H311" s="269"/>
      <c r="I311" s="269"/>
      <c r="J311" s="269"/>
      <c r="K311" s="269"/>
      <c r="L311" s="269"/>
      <c r="M311" s="269"/>
      <c r="N311" s="269"/>
      <c r="O311" s="269"/>
      <c r="P311" s="269"/>
      <c r="Q311" s="269"/>
      <c r="R311" s="269"/>
      <c r="S311" s="269"/>
      <c r="T311" s="269"/>
      <c r="U311" s="269"/>
      <c r="V311" s="269"/>
      <c r="W311" s="269"/>
      <c r="X311" s="269"/>
      <c r="Y311" s="269"/>
      <c r="Z311" s="269"/>
      <c r="AA311" s="269"/>
      <c r="AB311" s="269"/>
      <c r="AC311" s="269"/>
      <c r="AD311" s="269"/>
      <c r="AE311" s="269"/>
      <c r="AF311" s="269"/>
      <c r="AG311" s="269"/>
      <c r="AH311" s="269"/>
      <c r="AI311" s="269"/>
      <c r="AJ311" s="269"/>
      <c r="AK311" s="269"/>
      <c r="AL311" s="269"/>
      <c r="AM311" s="269"/>
      <c r="AN311" s="269"/>
      <c r="AO311" s="269"/>
      <c r="AP311" s="269"/>
      <c r="AQ311" s="269"/>
      <c r="AR311" s="269"/>
      <c r="AS311" s="269"/>
      <c r="AT311" s="269"/>
      <c r="AU311" s="283"/>
    </row>
    <row r="312" spans="1:47" ht="60" customHeight="1" x14ac:dyDescent="0.35">
      <c r="A312" s="279" t="s">
        <v>7073</v>
      </c>
      <c r="B312" s="257" t="s">
        <v>2888</v>
      </c>
      <c r="C312" s="258" t="s">
        <v>7149</v>
      </c>
      <c r="D312" s="261" t="s">
        <v>7150</v>
      </c>
      <c r="E312" s="262" t="s">
        <v>6618</v>
      </c>
      <c r="F312" s="265" t="s">
        <v>7134</v>
      </c>
      <c r="G312" s="268" t="str">
        <f>IF(COUNTIF(H312:AU312,"&lt;&gt;")=0,"",SUMPRODUCT(((Recommendations[ImplStatus]="Implemented")+(Recommendations[ImplStatus]="Compensated"))*ISNUMBER(MATCH(Recommendations[Id],H312:AU312,0)))/COUNTIF(H312:AU312,"&lt;&gt;"))</f>
        <v/>
      </c>
      <c r="H312" s="269"/>
      <c r="I312" s="269"/>
      <c r="J312" s="269"/>
      <c r="K312" s="269"/>
      <c r="L312" s="269"/>
      <c r="M312" s="269"/>
      <c r="N312" s="269"/>
      <c r="O312" s="269"/>
      <c r="P312" s="269"/>
      <c r="Q312" s="269"/>
      <c r="R312" s="269"/>
      <c r="S312" s="269"/>
      <c r="T312" s="269"/>
      <c r="U312" s="269"/>
      <c r="V312" s="269"/>
      <c r="W312" s="269"/>
      <c r="X312" s="269"/>
      <c r="Y312" s="269"/>
      <c r="Z312" s="269"/>
      <c r="AA312" s="269"/>
      <c r="AB312" s="269"/>
      <c r="AC312" s="269"/>
      <c r="AD312" s="269"/>
      <c r="AE312" s="269"/>
      <c r="AF312" s="269"/>
      <c r="AG312" s="269"/>
      <c r="AH312" s="269"/>
      <c r="AI312" s="269"/>
      <c r="AJ312" s="269"/>
      <c r="AK312" s="269"/>
      <c r="AL312" s="269"/>
      <c r="AM312" s="269"/>
      <c r="AN312" s="269"/>
      <c r="AO312" s="269"/>
      <c r="AP312" s="269"/>
      <c r="AQ312" s="269"/>
      <c r="AR312" s="269"/>
      <c r="AS312" s="269"/>
      <c r="AT312" s="269"/>
      <c r="AU312" s="283"/>
    </row>
    <row r="313" spans="1:47" ht="60" customHeight="1" x14ac:dyDescent="0.35">
      <c r="A313" s="279" t="s">
        <v>7073</v>
      </c>
      <c r="B313" s="257" t="s">
        <v>2888</v>
      </c>
      <c r="C313" s="258" t="s">
        <v>7151</v>
      </c>
      <c r="D313" s="261" t="s">
        <v>7152</v>
      </c>
      <c r="E313" s="262" t="s">
        <v>6551</v>
      </c>
      <c r="F313" s="265" t="s">
        <v>7134</v>
      </c>
      <c r="G313" s="268" t="str">
        <f>IF(COUNTIF(H313:AU313,"&lt;&gt;")=0,"",SUMPRODUCT(((Recommendations[ImplStatus]="Implemented")+(Recommendations[ImplStatus]="Compensated"))*ISNUMBER(MATCH(Recommendations[Id],H313:AU313,0)))/COUNTIF(H313:AU313,"&lt;&gt;"))</f>
        <v/>
      </c>
      <c r="H313" s="269"/>
      <c r="I313" s="269"/>
      <c r="J313" s="269"/>
      <c r="K313" s="269"/>
      <c r="L313" s="269"/>
      <c r="M313" s="269"/>
      <c r="N313" s="269"/>
      <c r="O313" s="269"/>
      <c r="P313" s="269"/>
      <c r="Q313" s="269"/>
      <c r="R313" s="269"/>
      <c r="S313" s="269"/>
      <c r="T313" s="269"/>
      <c r="U313" s="269"/>
      <c r="V313" s="269"/>
      <c r="W313" s="269"/>
      <c r="X313" s="269"/>
      <c r="Y313" s="269"/>
      <c r="Z313" s="269"/>
      <c r="AA313" s="269"/>
      <c r="AB313" s="269"/>
      <c r="AC313" s="269"/>
      <c r="AD313" s="269"/>
      <c r="AE313" s="269"/>
      <c r="AF313" s="269"/>
      <c r="AG313" s="269"/>
      <c r="AH313" s="269"/>
      <c r="AI313" s="269"/>
      <c r="AJ313" s="269"/>
      <c r="AK313" s="269"/>
      <c r="AL313" s="269"/>
      <c r="AM313" s="269"/>
      <c r="AN313" s="269"/>
      <c r="AO313" s="269"/>
      <c r="AP313" s="269"/>
      <c r="AQ313" s="269"/>
      <c r="AR313" s="269"/>
      <c r="AS313" s="269"/>
      <c r="AT313" s="269"/>
      <c r="AU313" s="283"/>
    </row>
    <row r="314" spans="1:47" ht="60" customHeight="1" x14ac:dyDescent="0.35">
      <c r="A314" s="279" t="s">
        <v>7073</v>
      </c>
      <c r="B314" s="257" t="s">
        <v>2888</v>
      </c>
      <c r="C314" s="258" t="s">
        <v>7153</v>
      </c>
      <c r="D314" s="261" t="s">
        <v>7154</v>
      </c>
      <c r="E314" s="262" t="s">
        <v>6551</v>
      </c>
      <c r="F314" s="265" t="s">
        <v>7134</v>
      </c>
      <c r="G314" s="268" t="str">
        <f>IF(COUNTIF(H314:AU314,"&lt;&gt;")=0,"",SUMPRODUCT(((Recommendations[ImplStatus]="Implemented")+(Recommendations[ImplStatus]="Compensated"))*ISNUMBER(MATCH(Recommendations[Id],H314:AU314,0)))/COUNTIF(H314:AU314,"&lt;&gt;"))</f>
        <v/>
      </c>
      <c r="H314" s="269"/>
      <c r="I314" s="269"/>
      <c r="J314" s="269"/>
      <c r="K314" s="269"/>
      <c r="L314" s="269"/>
      <c r="M314" s="269"/>
      <c r="N314" s="269"/>
      <c r="O314" s="269"/>
      <c r="P314" s="269"/>
      <c r="Q314" s="269"/>
      <c r="R314" s="269"/>
      <c r="S314" s="269"/>
      <c r="T314" s="269"/>
      <c r="U314" s="269"/>
      <c r="V314" s="269"/>
      <c r="W314" s="269"/>
      <c r="X314" s="269"/>
      <c r="Y314" s="269"/>
      <c r="Z314" s="269"/>
      <c r="AA314" s="269"/>
      <c r="AB314" s="269"/>
      <c r="AC314" s="269"/>
      <c r="AD314" s="269"/>
      <c r="AE314" s="269"/>
      <c r="AF314" s="269"/>
      <c r="AG314" s="269"/>
      <c r="AH314" s="269"/>
      <c r="AI314" s="269"/>
      <c r="AJ314" s="269"/>
      <c r="AK314" s="269"/>
      <c r="AL314" s="269"/>
      <c r="AM314" s="269"/>
      <c r="AN314" s="269"/>
      <c r="AO314" s="269"/>
      <c r="AP314" s="269"/>
      <c r="AQ314" s="269"/>
      <c r="AR314" s="269"/>
      <c r="AS314" s="269"/>
      <c r="AT314" s="269"/>
      <c r="AU314" s="283"/>
    </row>
    <row r="315" spans="1:47" ht="60" customHeight="1" x14ac:dyDescent="0.35">
      <c r="A315" s="279" t="s">
        <v>7073</v>
      </c>
      <c r="B315" s="257" t="s">
        <v>2888</v>
      </c>
      <c r="C315" s="258" t="s">
        <v>7155</v>
      </c>
      <c r="D315" s="261" t="s">
        <v>7156</v>
      </c>
      <c r="E315" s="262" t="s">
        <v>6551</v>
      </c>
      <c r="F315" s="265" t="s">
        <v>7134</v>
      </c>
      <c r="G315" s="268" t="str">
        <f>IF(COUNTIF(H315:AU315,"&lt;&gt;")=0,"",SUMPRODUCT(((Recommendations[ImplStatus]="Implemented")+(Recommendations[ImplStatus]="Compensated"))*ISNUMBER(MATCH(Recommendations[Id],H315:AU315,0)))/COUNTIF(H315:AU315,"&lt;&gt;"))</f>
        <v/>
      </c>
      <c r="H315" s="269"/>
      <c r="I315" s="269"/>
      <c r="J315" s="269"/>
      <c r="K315" s="269"/>
      <c r="L315" s="269"/>
      <c r="M315" s="269"/>
      <c r="N315" s="269"/>
      <c r="O315" s="269"/>
      <c r="P315" s="269"/>
      <c r="Q315" s="269"/>
      <c r="R315" s="269"/>
      <c r="S315" s="269"/>
      <c r="T315" s="269"/>
      <c r="U315" s="269"/>
      <c r="V315" s="269"/>
      <c r="W315" s="269"/>
      <c r="X315" s="269"/>
      <c r="Y315" s="269"/>
      <c r="Z315" s="269"/>
      <c r="AA315" s="269"/>
      <c r="AB315" s="269"/>
      <c r="AC315" s="269"/>
      <c r="AD315" s="269"/>
      <c r="AE315" s="269"/>
      <c r="AF315" s="269"/>
      <c r="AG315" s="269"/>
      <c r="AH315" s="269"/>
      <c r="AI315" s="269"/>
      <c r="AJ315" s="269"/>
      <c r="AK315" s="269"/>
      <c r="AL315" s="269"/>
      <c r="AM315" s="269"/>
      <c r="AN315" s="269"/>
      <c r="AO315" s="269"/>
      <c r="AP315" s="269"/>
      <c r="AQ315" s="269"/>
      <c r="AR315" s="269"/>
      <c r="AS315" s="269"/>
      <c r="AT315" s="269"/>
      <c r="AU315" s="283"/>
    </row>
    <row r="316" spans="1:47" ht="60" customHeight="1" x14ac:dyDescent="0.35">
      <c r="A316" s="279" t="s">
        <v>7073</v>
      </c>
      <c r="B316" s="257" t="s">
        <v>2888</v>
      </c>
      <c r="C316" s="258" t="s">
        <v>7157</v>
      </c>
      <c r="D316" s="261" t="s">
        <v>7158</v>
      </c>
      <c r="E316" s="262" t="s">
        <v>6551</v>
      </c>
      <c r="F316" s="265" t="s">
        <v>7134</v>
      </c>
      <c r="G316" s="268" t="str">
        <f>IF(COUNTIF(H316:AU316,"&lt;&gt;")=0,"",SUMPRODUCT(((Recommendations[ImplStatus]="Implemented")+(Recommendations[ImplStatus]="Compensated"))*ISNUMBER(MATCH(Recommendations[Id],H316:AU316,0)))/COUNTIF(H316:AU316,"&lt;&gt;"))</f>
        <v/>
      </c>
      <c r="H316" s="269"/>
      <c r="I316" s="269"/>
      <c r="J316" s="269"/>
      <c r="K316" s="269"/>
      <c r="L316" s="269"/>
      <c r="M316" s="269"/>
      <c r="N316" s="269"/>
      <c r="O316" s="269"/>
      <c r="P316" s="269"/>
      <c r="Q316" s="269"/>
      <c r="R316" s="269"/>
      <c r="S316" s="269"/>
      <c r="T316" s="269"/>
      <c r="U316" s="269"/>
      <c r="V316" s="269"/>
      <c r="W316" s="269"/>
      <c r="X316" s="269"/>
      <c r="Y316" s="269"/>
      <c r="Z316" s="269"/>
      <c r="AA316" s="269"/>
      <c r="AB316" s="269"/>
      <c r="AC316" s="269"/>
      <c r="AD316" s="269"/>
      <c r="AE316" s="269"/>
      <c r="AF316" s="269"/>
      <c r="AG316" s="269"/>
      <c r="AH316" s="269"/>
      <c r="AI316" s="269"/>
      <c r="AJ316" s="269"/>
      <c r="AK316" s="269"/>
      <c r="AL316" s="269"/>
      <c r="AM316" s="269"/>
      <c r="AN316" s="269"/>
      <c r="AO316" s="269"/>
      <c r="AP316" s="269"/>
      <c r="AQ316" s="269"/>
      <c r="AR316" s="269"/>
      <c r="AS316" s="269"/>
      <c r="AT316" s="269"/>
      <c r="AU316" s="283"/>
    </row>
    <row r="317" spans="1:47" ht="60" customHeight="1" x14ac:dyDescent="0.35">
      <c r="A317" s="279" t="s">
        <v>7073</v>
      </c>
      <c r="B317" s="257" t="s">
        <v>2888</v>
      </c>
      <c r="C317" s="258" t="s">
        <v>7159</v>
      </c>
      <c r="D317" s="261" t="s">
        <v>7160</v>
      </c>
      <c r="E317" s="262" t="s">
        <v>6618</v>
      </c>
      <c r="F317" s="265" t="s">
        <v>7092</v>
      </c>
      <c r="G317" s="268" t="str">
        <f>IF(COUNTIF(H317:AU317,"&lt;&gt;")=0,"",SUMPRODUCT(((Recommendations[ImplStatus]="Implemented")+(Recommendations[ImplStatus]="Compensated"))*ISNUMBER(MATCH(Recommendations[Id],H317:AU317,0)))/COUNTIF(H317:AU317,"&lt;&gt;"))</f>
        <v/>
      </c>
      <c r="H317" s="269"/>
      <c r="I317" s="269"/>
      <c r="J317" s="269"/>
      <c r="K317" s="269"/>
      <c r="L317" s="269"/>
      <c r="M317" s="269"/>
      <c r="N317" s="269"/>
      <c r="O317" s="269"/>
      <c r="P317" s="269"/>
      <c r="Q317" s="269"/>
      <c r="R317" s="269"/>
      <c r="S317" s="269"/>
      <c r="T317" s="269"/>
      <c r="U317" s="269"/>
      <c r="V317" s="269"/>
      <c r="W317" s="269"/>
      <c r="X317" s="269"/>
      <c r="Y317" s="269"/>
      <c r="Z317" s="269"/>
      <c r="AA317" s="269"/>
      <c r="AB317" s="269"/>
      <c r="AC317" s="269"/>
      <c r="AD317" s="269"/>
      <c r="AE317" s="269"/>
      <c r="AF317" s="269"/>
      <c r="AG317" s="269"/>
      <c r="AH317" s="269"/>
      <c r="AI317" s="269"/>
      <c r="AJ317" s="269"/>
      <c r="AK317" s="269"/>
      <c r="AL317" s="269"/>
      <c r="AM317" s="269"/>
      <c r="AN317" s="269"/>
      <c r="AO317" s="269"/>
      <c r="AP317" s="269"/>
      <c r="AQ317" s="269"/>
      <c r="AR317" s="269"/>
      <c r="AS317" s="269"/>
      <c r="AT317" s="269"/>
      <c r="AU317" s="283"/>
    </row>
    <row r="318" spans="1:47" ht="60" customHeight="1" x14ac:dyDescent="0.35">
      <c r="A318" s="279" t="s">
        <v>7073</v>
      </c>
      <c r="B318" s="257" t="s">
        <v>2888</v>
      </c>
      <c r="C318" s="258" t="s">
        <v>7161</v>
      </c>
      <c r="D318" s="261" t="s">
        <v>7162</v>
      </c>
      <c r="E318" s="262" t="s">
        <v>6666</v>
      </c>
      <c r="F318" s="265" t="s">
        <v>7092</v>
      </c>
      <c r="G318" s="268" t="str">
        <f>IF(COUNTIF(H318:AU318,"&lt;&gt;")=0,"",SUMPRODUCT(((Recommendations[ImplStatus]="Implemented")+(Recommendations[ImplStatus]="Compensated"))*ISNUMBER(MATCH(Recommendations[Id],H318:AU318,0)))/COUNTIF(H318:AU318,"&lt;&gt;"))</f>
        <v/>
      </c>
      <c r="H318" s="269"/>
      <c r="I318" s="269"/>
      <c r="J318" s="269"/>
      <c r="K318" s="269"/>
      <c r="L318" s="269"/>
      <c r="M318" s="269"/>
      <c r="N318" s="269"/>
      <c r="O318" s="269"/>
      <c r="P318" s="269"/>
      <c r="Q318" s="269"/>
      <c r="R318" s="269"/>
      <c r="S318" s="269"/>
      <c r="T318" s="269"/>
      <c r="U318" s="269"/>
      <c r="V318" s="269"/>
      <c r="W318" s="269"/>
      <c r="X318" s="269"/>
      <c r="Y318" s="269"/>
      <c r="Z318" s="269"/>
      <c r="AA318" s="269"/>
      <c r="AB318" s="269"/>
      <c r="AC318" s="269"/>
      <c r="AD318" s="269"/>
      <c r="AE318" s="269"/>
      <c r="AF318" s="269"/>
      <c r="AG318" s="269"/>
      <c r="AH318" s="269"/>
      <c r="AI318" s="269"/>
      <c r="AJ318" s="269"/>
      <c r="AK318" s="269"/>
      <c r="AL318" s="269"/>
      <c r="AM318" s="269"/>
      <c r="AN318" s="269"/>
      <c r="AO318" s="269"/>
      <c r="AP318" s="269"/>
      <c r="AQ318" s="269"/>
      <c r="AR318" s="269"/>
      <c r="AS318" s="269"/>
      <c r="AT318" s="269"/>
      <c r="AU318" s="283"/>
    </row>
    <row r="319" spans="1:47" ht="60" customHeight="1" x14ac:dyDescent="0.35">
      <c r="A319" s="279" t="s">
        <v>7073</v>
      </c>
      <c r="B319" s="257" t="s">
        <v>2888</v>
      </c>
      <c r="C319" s="258" t="s">
        <v>7163</v>
      </c>
      <c r="D319" s="261" t="s">
        <v>7164</v>
      </c>
      <c r="E319" s="262" t="s">
        <v>6666</v>
      </c>
      <c r="F319" s="265" t="s">
        <v>7092</v>
      </c>
      <c r="G319" s="268" t="str">
        <f>IF(COUNTIF(H319:AU319,"&lt;&gt;")=0,"",SUMPRODUCT(((Recommendations[ImplStatus]="Implemented")+(Recommendations[ImplStatus]="Compensated"))*ISNUMBER(MATCH(Recommendations[Id],H319:AU319,0)))/COUNTIF(H319:AU319,"&lt;&gt;"))</f>
        <v/>
      </c>
      <c r="H319" s="269"/>
      <c r="I319" s="269"/>
      <c r="J319" s="269"/>
      <c r="K319" s="269"/>
      <c r="L319" s="269"/>
      <c r="M319" s="269"/>
      <c r="N319" s="269"/>
      <c r="O319" s="269"/>
      <c r="P319" s="269"/>
      <c r="Q319" s="269"/>
      <c r="R319" s="269"/>
      <c r="S319" s="269"/>
      <c r="T319" s="269"/>
      <c r="U319" s="269"/>
      <c r="V319" s="269"/>
      <c r="W319" s="269"/>
      <c r="X319" s="269"/>
      <c r="Y319" s="269"/>
      <c r="Z319" s="269"/>
      <c r="AA319" s="269"/>
      <c r="AB319" s="269"/>
      <c r="AC319" s="269"/>
      <c r="AD319" s="269"/>
      <c r="AE319" s="269"/>
      <c r="AF319" s="269"/>
      <c r="AG319" s="269"/>
      <c r="AH319" s="269"/>
      <c r="AI319" s="269"/>
      <c r="AJ319" s="269"/>
      <c r="AK319" s="269"/>
      <c r="AL319" s="269"/>
      <c r="AM319" s="269"/>
      <c r="AN319" s="269"/>
      <c r="AO319" s="269"/>
      <c r="AP319" s="269"/>
      <c r="AQ319" s="269"/>
      <c r="AR319" s="269"/>
      <c r="AS319" s="269"/>
      <c r="AT319" s="269"/>
      <c r="AU319" s="283"/>
    </row>
    <row r="320" spans="1:47" ht="60" customHeight="1" outlineLevel="2" x14ac:dyDescent="0.35">
      <c r="A320" s="278" t="s">
        <v>7073</v>
      </c>
      <c r="B320" s="256" t="s">
        <v>7165</v>
      </c>
      <c r="C320" s="256"/>
      <c r="D320" s="260"/>
      <c r="E320" s="256"/>
      <c r="F320" s="264"/>
      <c r="G320" s="267" t="str">
        <f>IF(COUNTIF(H320:AU320,"&lt;&gt;")=0,"",SUMPRODUCT(((Recommendations[ImplStatus]="Implemented")+(Recommendations[ImplStatus]="Compensated"))*ISNUMBER(MATCH(Recommendations[Id],H320:AU320,0)))/COUNTIF(H320:AU320,"&lt;&gt;"))</f>
        <v/>
      </c>
      <c r="H320" s="264"/>
      <c r="I320" s="264"/>
      <c r="J320" s="264"/>
      <c r="K320" s="264"/>
      <c r="L320" s="264"/>
      <c r="M320" s="264"/>
      <c r="N320" s="264"/>
      <c r="O320" s="264"/>
      <c r="P320" s="264"/>
      <c r="Q320" s="264"/>
      <c r="R320" s="264"/>
      <c r="S320" s="264"/>
      <c r="T320" s="264"/>
      <c r="U320" s="264"/>
      <c r="V320" s="264"/>
      <c r="W320" s="264"/>
      <c r="X320" s="264"/>
      <c r="Y320" s="264"/>
      <c r="Z320" s="264"/>
      <c r="AA320" s="264"/>
      <c r="AB320" s="264"/>
      <c r="AC320" s="264"/>
      <c r="AD320" s="264"/>
      <c r="AE320" s="264"/>
      <c r="AF320" s="264"/>
      <c r="AG320" s="264"/>
      <c r="AH320" s="264"/>
      <c r="AI320" s="264"/>
      <c r="AJ320" s="264"/>
      <c r="AK320" s="264"/>
      <c r="AL320" s="264"/>
      <c r="AM320" s="264"/>
      <c r="AN320" s="264"/>
      <c r="AO320" s="264"/>
      <c r="AP320" s="264"/>
      <c r="AQ320" s="264"/>
      <c r="AR320" s="264"/>
      <c r="AS320" s="264"/>
      <c r="AT320" s="264"/>
      <c r="AU320" s="282"/>
    </row>
    <row r="321" spans="1:47" ht="60" customHeight="1" x14ac:dyDescent="0.35">
      <c r="A321" s="279" t="s">
        <v>7073</v>
      </c>
      <c r="B321" s="257" t="s">
        <v>7165</v>
      </c>
      <c r="C321" s="258" t="s">
        <v>7166</v>
      </c>
      <c r="D321" s="261" t="s">
        <v>7167</v>
      </c>
      <c r="E321" s="262" t="s">
        <v>6551</v>
      </c>
      <c r="F321" s="265" t="s">
        <v>7168</v>
      </c>
      <c r="G321" s="268" t="str">
        <f>IF(COUNTIF(H321:AU321,"&lt;&gt;")=0,"",SUMPRODUCT(((Recommendations[ImplStatus]="Implemented")+(Recommendations[ImplStatus]="Compensated"))*ISNUMBER(MATCH(Recommendations[Id],H321:AU321,0)))/COUNTIF(H321:AU321,"&lt;&gt;"))</f>
        <v/>
      </c>
      <c r="H321" s="269"/>
      <c r="I321" s="269"/>
      <c r="J321" s="269"/>
      <c r="K321" s="269"/>
      <c r="L321" s="269"/>
      <c r="M321" s="269"/>
      <c r="N321" s="269"/>
      <c r="O321" s="269"/>
      <c r="P321" s="269"/>
      <c r="Q321" s="269"/>
      <c r="R321" s="269"/>
      <c r="S321" s="269"/>
      <c r="T321" s="269"/>
      <c r="U321" s="269"/>
      <c r="V321" s="269"/>
      <c r="W321" s="269"/>
      <c r="X321" s="269"/>
      <c r="Y321" s="269"/>
      <c r="Z321" s="269"/>
      <c r="AA321" s="269"/>
      <c r="AB321" s="269"/>
      <c r="AC321" s="269"/>
      <c r="AD321" s="269"/>
      <c r="AE321" s="269"/>
      <c r="AF321" s="269"/>
      <c r="AG321" s="269"/>
      <c r="AH321" s="269"/>
      <c r="AI321" s="269"/>
      <c r="AJ321" s="269"/>
      <c r="AK321" s="269"/>
      <c r="AL321" s="269"/>
      <c r="AM321" s="269"/>
      <c r="AN321" s="269"/>
      <c r="AO321" s="269"/>
      <c r="AP321" s="269"/>
      <c r="AQ321" s="269"/>
      <c r="AR321" s="269"/>
      <c r="AS321" s="269"/>
      <c r="AT321" s="269"/>
      <c r="AU321" s="283"/>
    </row>
    <row r="322" spans="1:47" ht="60" customHeight="1" x14ac:dyDescent="0.35">
      <c r="A322" s="279" t="s">
        <v>7073</v>
      </c>
      <c r="B322" s="257" t="s">
        <v>7165</v>
      </c>
      <c r="C322" s="258" t="s">
        <v>7169</v>
      </c>
      <c r="D322" s="261" t="s">
        <v>7170</v>
      </c>
      <c r="E322" s="262" t="s">
        <v>6551</v>
      </c>
      <c r="F322" s="265" t="s">
        <v>7168</v>
      </c>
      <c r="G322" s="268" t="str">
        <f>IF(COUNTIF(H322:AU322,"&lt;&gt;")=0,"",SUMPRODUCT(((Recommendations[ImplStatus]="Implemented")+(Recommendations[ImplStatus]="Compensated"))*ISNUMBER(MATCH(Recommendations[Id],H322:AU322,0)))/COUNTIF(H322:AU322,"&lt;&gt;"))</f>
        <v/>
      </c>
      <c r="H322" s="269"/>
      <c r="I322" s="269"/>
      <c r="J322" s="269"/>
      <c r="K322" s="269"/>
      <c r="L322" s="269"/>
      <c r="M322" s="269"/>
      <c r="N322" s="269"/>
      <c r="O322" s="269"/>
      <c r="P322" s="269"/>
      <c r="Q322" s="269"/>
      <c r="R322" s="269"/>
      <c r="S322" s="269"/>
      <c r="T322" s="269"/>
      <c r="U322" s="269"/>
      <c r="V322" s="269"/>
      <c r="W322" s="269"/>
      <c r="X322" s="269"/>
      <c r="Y322" s="269"/>
      <c r="Z322" s="269"/>
      <c r="AA322" s="269"/>
      <c r="AB322" s="269"/>
      <c r="AC322" s="269"/>
      <c r="AD322" s="269"/>
      <c r="AE322" s="269"/>
      <c r="AF322" s="269"/>
      <c r="AG322" s="269"/>
      <c r="AH322" s="269"/>
      <c r="AI322" s="269"/>
      <c r="AJ322" s="269"/>
      <c r="AK322" s="269"/>
      <c r="AL322" s="269"/>
      <c r="AM322" s="269"/>
      <c r="AN322" s="269"/>
      <c r="AO322" s="269"/>
      <c r="AP322" s="269"/>
      <c r="AQ322" s="269"/>
      <c r="AR322" s="269"/>
      <c r="AS322" s="269"/>
      <c r="AT322" s="269"/>
      <c r="AU322" s="283"/>
    </row>
    <row r="323" spans="1:47" ht="60" customHeight="1" x14ac:dyDescent="0.35">
      <c r="A323" s="279" t="s">
        <v>7073</v>
      </c>
      <c r="B323" s="257" t="s">
        <v>7165</v>
      </c>
      <c r="C323" s="258" t="s">
        <v>7171</v>
      </c>
      <c r="D323" s="261" t="s">
        <v>7172</v>
      </c>
      <c r="E323" s="262" t="s">
        <v>6551</v>
      </c>
      <c r="F323" s="265" t="s">
        <v>7168</v>
      </c>
      <c r="G323" s="268" t="str">
        <f>IF(COUNTIF(H323:AU323,"&lt;&gt;")=0,"",SUMPRODUCT(((Recommendations[ImplStatus]="Implemented")+(Recommendations[ImplStatus]="Compensated"))*ISNUMBER(MATCH(Recommendations[Id],H323:AU323,0)))/COUNTIF(H323:AU323,"&lt;&gt;"))</f>
        <v/>
      </c>
      <c r="H323" s="269"/>
      <c r="I323" s="269"/>
      <c r="J323" s="269"/>
      <c r="K323" s="269"/>
      <c r="L323" s="269"/>
      <c r="M323" s="269"/>
      <c r="N323" s="269"/>
      <c r="O323" s="269"/>
      <c r="P323" s="269"/>
      <c r="Q323" s="269"/>
      <c r="R323" s="269"/>
      <c r="S323" s="269"/>
      <c r="T323" s="269"/>
      <c r="U323" s="269"/>
      <c r="V323" s="269"/>
      <c r="W323" s="269"/>
      <c r="X323" s="269"/>
      <c r="Y323" s="269"/>
      <c r="Z323" s="269"/>
      <c r="AA323" s="269"/>
      <c r="AB323" s="269"/>
      <c r="AC323" s="269"/>
      <c r="AD323" s="269"/>
      <c r="AE323" s="269"/>
      <c r="AF323" s="269"/>
      <c r="AG323" s="269"/>
      <c r="AH323" s="269"/>
      <c r="AI323" s="269"/>
      <c r="AJ323" s="269"/>
      <c r="AK323" s="269"/>
      <c r="AL323" s="269"/>
      <c r="AM323" s="269"/>
      <c r="AN323" s="269"/>
      <c r="AO323" s="269"/>
      <c r="AP323" s="269"/>
      <c r="AQ323" s="269"/>
      <c r="AR323" s="269"/>
      <c r="AS323" s="269"/>
      <c r="AT323" s="269"/>
      <c r="AU323" s="283"/>
    </row>
    <row r="324" spans="1:47" ht="60" customHeight="1" x14ac:dyDescent="0.35">
      <c r="A324" s="279" t="s">
        <v>7073</v>
      </c>
      <c r="B324" s="257" t="s">
        <v>7165</v>
      </c>
      <c r="C324" s="258" t="s">
        <v>7173</v>
      </c>
      <c r="D324" s="261" t="s">
        <v>7174</v>
      </c>
      <c r="E324" s="262" t="s">
        <v>6551</v>
      </c>
      <c r="F324" s="265" t="s">
        <v>7168</v>
      </c>
      <c r="G324" s="268" t="str">
        <f>IF(COUNTIF(H324:AU324,"&lt;&gt;")=0,"",SUMPRODUCT(((Recommendations[ImplStatus]="Implemented")+(Recommendations[ImplStatus]="Compensated"))*ISNUMBER(MATCH(Recommendations[Id],H324:AU324,0)))/COUNTIF(H324:AU324,"&lt;&gt;"))</f>
        <v/>
      </c>
      <c r="H324" s="269"/>
      <c r="I324" s="269"/>
      <c r="J324" s="269"/>
      <c r="K324" s="269"/>
      <c r="L324" s="269"/>
      <c r="M324" s="269"/>
      <c r="N324" s="269"/>
      <c r="O324" s="269"/>
      <c r="P324" s="269"/>
      <c r="Q324" s="269"/>
      <c r="R324" s="269"/>
      <c r="S324" s="269"/>
      <c r="T324" s="269"/>
      <c r="U324" s="269"/>
      <c r="V324" s="269"/>
      <c r="W324" s="269"/>
      <c r="X324" s="269"/>
      <c r="Y324" s="269"/>
      <c r="Z324" s="269"/>
      <c r="AA324" s="269"/>
      <c r="AB324" s="269"/>
      <c r="AC324" s="269"/>
      <c r="AD324" s="269"/>
      <c r="AE324" s="269"/>
      <c r="AF324" s="269"/>
      <c r="AG324" s="269"/>
      <c r="AH324" s="269"/>
      <c r="AI324" s="269"/>
      <c r="AJ324" s="269"/>
      <c r="AK324" s="269"/>
      <c r="AL324" s="269"/>
      <c r="AM324" s="269"/>
      <c r="AN324" s="269"/>
      <c r="AO324" s="269"/>
      <c r="AP324" s="269"/>
      <c r="AQ324" s="269"/>
      <c r="AR324" s="269"/>
      <c r="AS324" s="269"/>
      <c r="AT324" s="269"/>
      <c r="AU324" s="283"/>
    </row>
    <row r="325" spans="1:47" ht="60" customHeight="1" x14ac:dyDescent="0.35">
      <c r="A325" s="279" t="s">
        <v>7073</v>
      </c>
      <c r="B325" s="257" t="s">
        <v>7165</v>
      </c>
      <c r="C325" s="258" t="s">
        <v>7175</v>
      </c>
      <c r="D325" s="261" t="s">
        <v>7176</v>
      </c>
      <c r="E325" s="262" t="s">
        <v>6551</v>
      </c>
      <c r="F325" s="265" t="s">
        <v>7168</v>
      </c>
      <c r="G325" s="268" t="str">
        <f>IF(COUNTIF(H325:AU325,"&lt;&gt;")=0,"",SUMPRODUCT(((Recommendations[ImplStatus]="Implemented")+(Recommendations[ImplStatus]="Compensated"))*ISNUMBER(MATCH(Recommendations[Id],H325:AU325,0)))/COUNTIF(H325:AU325,"&lt;&gt;"))</f>
        <v/>
      </c>
      <c r="H325" s="269"/>
      <c r="I325" s="269"/>
      <c r="J325" s="269"/>
      <c r="K325" s="269"/>
      <c r="L325" s="269"/>
      <c r="M325" s="269"/>
      <c r="N325" s="269"/>
      <c r="O325" s="269"/>
      <c r="P325" s="269"/>
      <c r="Q325" s="269"/>
      <c r="R325" s="269"/>
      <c r="S325" s="269"/>
      <c r="T325" s="269"/>
      <c r="U325" s="269"/>
      <c r="V325" s="269"/>
      <c r="W325" s="269"/>
      <c r="X325" s="269"/>
      <c r="Y325" s="269"/>
      <c r="Z325" s="269"/>
      <c r="AA325" s="269"/>
      <c r="AB325" s="269"/>
      <c r="AC325" s="269"/>
      <c r="AD325" s="269"/>
      <c r="AE325" s="269"/>
      <c r="AF325" s="269"/>
      <c r="AG325" s="269"/>
      <c r="AH325" s="269"/>
      <c r="AI325" s="269"/>
      <c r="AJ325" s="269"/>
      <c r="AK325" s="269"/>
      <c r="AL325" s="269"/>
      <c r="AM325" s="269"/>
      <c r="AN325" s="269"/>
      <c r="AO325" s="269"/>
      <c r="AP325" s="269"/>
      <c r="AQ325" s="269"/>
      <c r="AR325" s="269"/>
      <c r="AS325" s="269"/>
      <c r="AT325" s="269"/>
      <c r="AU325" s="283"/>
    </row>
    <row r="326" spans="1:47" ht="60" customHeight="1" x14ac:dyDescent="0.35">
      <c r="A326" s="279" t="s">
        <v>7073</v>
      </c>
      <c r="B326" s="257" t="s">
        <v>7165</v>
      </c>
      <c r="C326" s="258" t="s">
        <v>7177</v>
      </c>
      <c r="D326" s="261" t="s">
        <v>7178</v>
      </c>
      <c r="E326" s="262" t="s">
        <v>6551</v>
      </c>
      <c r="F326" s="265" t="s">
        <v>7168</v>
      </c>
      <c r="G326" s="268" t="str">
        <f>IF(COUNTIF(H326:AU326,"&lt;&gt;")=0,"",SUMPRODUCT(((Recommendations[ImplStatus]="Implemented")+(Recommendations[ImplStatus]="Compensated"))*ISNUMBER(MATCH(Recommendations[Id],H326:AU326,0)))/COUNTIF(H326:AU326,"&lt;&gt;"))</f>
        <v/>
      </c>
      <c r="H326" s="269"/>
      <c r="I326" s="269"/>
      <c r="J326" s="269"/>
      <c r="K326" s="269"/>
      <c r="L326" s="269"/>
      <c r="M326" s="269"/>
      <c r="N326" s="269"/>
      <c r="O326" s="269"/>
      <c r="P326" s="269"/>
      <c r="Q326" s="269"/>
      <c r="R326" s="269"/>
      <c r="S326" s="269"/>
      <c r="T326" s="269"/>
      <c r="U326" s="269"/>
      <c r="V326" s="269"/>
      <c r="W326" s="269"/>
      <c r="X326" s="269"/>
      <c r="Y326" s="269"/>
      <c r="Z326" s="269"/>
      <c r="AA326" s="269"/>
      <c r="AB326" s="269"/>
      <c r="AC326" s="269"/>
      <c r="AD326" s="269"/>
      <c r="AE326" s="269"/>
      <c r="AF326" s="269"/>
      <c r="AG326" s="269"/>
      <c r="AH326" s="269"/>
      <c r="AI326" s="269"/>
      <c r="AJ326" s="269"/>
      <c r="AK326" s="269"/>
      <c r="AL326" s="269"/>
      <c r="AM326" s="269"/>
      <c r="AN326" s="269"/>
      <c r="AO326" s="269"/>
      <c r="AP326" s="269"/>
      <c r="AQ326" s="269"/>
      <c r="AR326" s="269"/>
      <c r="AS326" s="269"/>
      <c r="AT326" s="269"/>
      <c r="AU326" s="283"/>
    </row>
    <row r="327" spans="1:47" ht="60" customHeight="1" x14ac:dyDescent="0.35">
      <c r="A327" s="279" t="s">
        <v>7073</v>
      </c>
      <c r="B327" s="257" t="s">
        <v>7165</v>
      </c>
      <c r="C327" s="258" t="s">
        <v>7179</v>
      </c>
      <c r="D327" s="261" t="s">
        <v>7180</v>
      </c>
      <c r="E327" s="262" t="s">
        <v>6551</v>
      </c>
      <c r="F327" s="265" t="s">
        <v>7168</v>
      </c>
      <c r="G327" s="268" t="str">
        <f>IF(COUNTIF(H327:AU327,"&lt;&gt;")=0,"",SUMPRODUCT(((Recommendations[ImplStatus]="Implemented")+(Recommendations[ImplStatus]="Compensated"))*ISNUMBER(MATCH(Recommendations[Id],H327:AU327,0)))/COUNTIF(H327:AU327,"&lt;&gt;"))</f>
        <v/>
      </c>
      <c r="H327" s="269"/>
      <c r="I327" s="269"/>
      <c r="J327" s="269"/>
      <c r="K327" s="269"/>
      <c r="L327" s="269"/>
      <c r="M327" s="269"/>
      <c r="N327" s="269"/>
      <c r="O327" s="269"/>
      <c r="P327" s="269"/>
      <c r="Q327" s="269"/>
      <c r="R327" s="269"/>
      <c r="S327" s="269"/>
      <c r="T327" s="269"/>
      <c r="U327" s="269"/>
      <c r="V327" s="269"/>
      <c r="W327" s="269"/>
      <c r="X327" s="269"/>
      <c r="Y327" s="269"/>
      <c r="Z327" s="269"/>
      <c r="AA327" s="269"/>
      <c r="AB327" s="269"/>
      <c r="AC327" s="269"/>
      <c r="AD327" s="269"/>
      <c r="AE327" s="269"/>
      <c r="AF327" s="269"/>
      <c r="AG327" s="269"/>
      <c r="AH327" s="269"/>
      <c r="AI327" s="269"/>
      <c r="AJ327" s="269"/>
      <c r="AK327" s="269"/>
      <c r="AL327" s="269"/>
      <c r="AM327" s="269"/>
      <c r="AN327" s="269"/>
      <c r="AO327" s="269"/>
      <c r="AP327" s="269"/>
      <c r="AQ327" s="269"/>
      <c r="AR327" s="269"/>
      <c r="AS327" s="269"/>
      <c r="AT327" s="269"/>
      <c r="AU327" s="283"/>
    </row>
    <row r="328" spans="1:47" ht="60" customHeight="1" x14ac:dyDescent="0.35">
      <c r="A328" s="279" t="s">
        <v>7073</v>
      </c>
      <c r="B328" s="257" t="s">
        <v>7165</v>
      </c>
      <c r="C328" s="258" t="s">
        <v>7181</v>
      </c>
      <c r="D328" s="261" t="s">
        <v>7182</v>
      </c>
      <c r="E328" s="262" t="s">
        <v>6551</v>
      </c>
      <c r="F328" s="265" t="s">
        <v>7168</v>
      </c>
      <c r="G328" s="268" t="str">
        <f>IF(COUNTIF(H328:AU328,"&lt;&gt;")=0,"",SUMPRODUCT(((Recommendations[ImplStatus]="Implemented")+(Recommendations[ImplStatus]="Compensated"))*ISNUMBER(MATCH(Recommendations[Id],H328:AU328,0)))/COUNTIF(H328:AU328,"&lt;&gt;"))</f>
        <v/>
      </c>
      <c r="H328" s="269"/>
      <c r="I328" s="269"/>
      <c r="J328" s="269"/>
      <c r="K328" s="269"/>
      <c r="L328" s="269"/>
      <c r="M328" s="269"/>
      <c r="N328" s="269"/>
      <c r="O328" s="269"/>
      <c r="P328" s="269"/>
      <c r="Q328" s="269"/>
      <c r="R328" s="269"/>
      <c r="S328" s="269"/>
      <c r="T328" s="269"/>
      <c r="U328" s="269"/>
      <c r="V328" s="269"/>
      <c r="W328" s="269"/>
      <c r="X328" s="269"/>
      <c r="Y328" s="269"/>
      <c r="Z328" s="269"/>
      <c r="AA328" s="269"/>
      <c r="AB328" s="269"/>
      <c r="AC328" s="269"/>
      <c r="AD328" s="269"/>
      <c r="AE328" s="269"/>
      <c r="AF328" s="269"/>
      <c r="AG328" s="269"/>
      <c r="AH328" s="269"/>
      <c r="AI328" s="269"/>
      <c r="AJ328" s="269"/>
      <c r="AK328" s="269"/>
      <c r="AL328" s="269"/>
      <c r="AM328" s="269"/>
      <c r="AN328" s="269"/>
      <c r="AO328" s="269"/>
      <c r="AP328" s="269"/>
      <c r="AQ328" s="269"/>
      <c r="AR328" s="269"/>
      <c r="AS328" s="269"/>
      <c r="AT328" s="269"/>
      <c r="AU328" s="283"/>
    </row>
    <row r="329" spans="1:47" ht="60" customHeight="1" x14ac:dyDescent="0.35">
      <c r="A329" s="279" t="s">
        <v>7073</v>
      </c>
      <c r="B329" s="257" t="s">
        <v>7165</v>
      </c>
      <c r="C329" s="258" t="s">
        <v>7183</v>
      </c>
      <c r="D329" s="261" t="s">
        <v>7184</v>
      </c>
      <c r="E329" s="262" t="s">
        <v>6551</v>
      </c>
      <c r="F329" s="265" t="s">
        <v>7168</v>
      </c>
      <c r="G329" s="268" t="str">
        <f>IF(COUNTIF(H329:AU329,"&lt;&gt;")=0,"",SUMPRODUCT(((Recommendations[ImplStatus]="Implemented")+(Recommendations[ImplStatus]="Compensated"))*ISNUMBER(MATCH(Recommendations[Id],H329:AU329,0)))/COUNTIF(H329:AU329,"&lt;&gt;"))</f>
        <v/>
      </c>
      <c r="H329" s="269"/>
      <c r="I329" s="269"/>
      <c r="J329" s="269"/>
      <c r="K329" s="269"/>
      <c r="L329" s="269"/>
      <c r="M329" s="269"/>
      <c r="N329" s="269"/>
      <c r="O329" s="269"/>
      <c r="P329" s="269"/>
      <c r="Q329" s="269"/>
      <c r="R329" s="269"/>
      <c r="S329" s="269"/>
      <c r="T329" s="269"/>
      <c r="U329" s="269"/>
      <c r="V329" s="269"/>
      <c r="W329" s="269"/>
      <c r="X329" s="269"/>
      <c r="Y329" s="269"/>
      <c r="Z329" s="269"/>
      <c r="AA329" s="269"/>
      <c r="AB329" s="269"/>
      <c r="AC329" s="269"/>
      <c r="AD329" s="269"/>
      <c r="AE329" s="269"/>
      <c r="AF329" s="269"/>
      <c r="AG329" s="269"/>
      <c r="AH329" s="269"/>
      <c r="AI329" s="269"/>
      <c r="AJ329" s="269"/>
      <c r="AK329" s="269"/>
      <c r="AL329" s="269"/>
      <c r="AM329" s="269"/>
      <c r="AN329" s="269"/>
      <c r="AO329" s="269"/>
      <c r="AP329" s="269"/>
      <c r="AQ329" s="269"/>
      <c r="AR329" s="269"/>
      <c r="AS329" s="269"/>
      <c r="AT329" s="269"/>
      <c r="AU329" s="283"/>
    </row>
    <row r="330" spans="1:47" ht="60" customHeight="1" x14ac:dyDescent="0.35">
      <c r="A330" s="279" t="s">
        <v>7073</v>
      </c>
      <c r="B330" s="257" t="s">
        <v>7165</v>
      </c>
      <c r="C330" s="258" t="s">
        <v>7185</v>
      </c>
      <c r="D330" s="261" t="s">
        <v>7186</v>
      </c>
      <c r="E330" s="262" t="s">
        <v>6551</v>
      </c>
      <c r="F330" s="265" t="s">
        <v>7168</v>
      </c>
      <c r="G330" s="268" t="str">
        <f>IF(COUNTIF(H330:AU330,"&lt;&gt;")=0,"",SUMPRODUCT(((Recommendations[ImplStatus]="Implemented")+(Recommendations[ImplStatus]="Compensated"))*ISNUMBER(MATCH(Recommendations[Id],H330:AU330,0)))/COUNTIF(H330:AU330,"&lt;&gt;"))</f>
        <v/>
      </c>
      <c r="H330" s="269"/>
      <c r="I330" s="269"/>
      <c r="J330" s="269"/>
      <c r="K330" s="269"/>
      <c r="L330" s="269"/>
      <c r="M330" s="269"/>
      <c r="N330" s="269"/>
      <c r="O330" s="269"/>
      <c r="P330" s="269"/>
      <c r="Q330" s="269"/>
      <c r="R330" s="269"/>
      <c r="S330" s="269"/>
      <c r="T330" s="269"/>
      <c r="U330" s="269"/>
      <c r="V330" s="269"/>
      <c r="W330" s="269"/>
      <c r="X330" s="269"/>
      <c r="Y330" s="269"/>
      <c r="Z330" s="269"/>
      <c r="AA330" s="269"/>
      <c r="AB330" s="269"/>
      <c r="AC330" s="269"/>
      <c r="AD330" s="269"/>
      <c r="AE330" s="269"/>
      <c r="AF330" s="269"/>
      <c r="AG330" s="269"/>
      <c r="AH330" s="269"/>
      <c r="AI330" s="269"/>
      <c r="AJ330" s="269"/>
      <c r="AK330" s="269"/>
      <c r="AL330" s="269"/>
      <c r="AM330" s="269"/>
      <c r="AN330" s="269"/>
      <c r="AO330" s="269"/>
      <c r="AP330" s="269"/>
      <c r="AQ330" s="269"/>
      <c r="AR330" s="269"/>
      <c r="AS330" s="269"/>
      <c r="AT330" s="269"/>
      <c r="AU330" s="283"/>
    </row>
    <row r="331" spans="1:47" ht="60" customHeight="1" x14ac:dyDescent="0.35">
      <c r="A331" s="279" t="s">
        <v>7073</v>
      </c>
      <c r="B331" s="257" t="s">
        <v>7165</v>
      </c>
      <c r="C331" s="258" t="s">
        <v>7187</v>
      </c>
      <c r="D331" s="261" t="s">
        <v>7188</v>
      </c>
      <c r="E331" s="262" t="s">
        <v>6551</v>
      </c>
      <c r="F331" s="265" t="s">
        <v>7168</v>
      </c>
      <c r="G331" s="268" t="str">
        <f>IF(COUNTIF(H331:AU331,"&lt;&gt;")=0,"",SUMPRODUCT(((Recommendations[ImplStatus]="Implemented")+(Recommendations[ImplStatus]="Compensated"))*ISNUMBER(MATCH(Recommendations[Id],H331:AU331,0)))/COUNTIF(H331:AU331,"&lt;&gt;"))</f>
        <v/>
      </c>
      <c r="H331" s="269"/>
      <c r="I331" s="269"/>
      <c r="J331" s="269"/>
      <c r="K331" s="269"/>
      <c r="L331" s="269"/>
      <c r="M331" s="269"/>
      <c r="N331" s="269"/>
      <c r="O331" s="269"/>
      <c r="P331" s="269"/>
      <c r="Q331" s="269"/>
      <c r="R331" s="269"/>
      <c r="S331" s="269"/>
      <c r="T331" s="269"/>
      <c r="U331" s="269"/>
      <c r="V331" s="269"/>
      <c r="W331" s="269"/>
      <c r="X331" s="269"/>
      <c r="Y331" s="269"/>
      <c r="Z331" s="269"/>
      <c r="AA331" s="269"/>
      <c r="AB331" s="269"/>
      <c r="AC331" s="269"/>
      <c r="AD331" s="269"/>
      <c r="AE331" s="269"/>
      <c r="AF331" s="269"/>
      <c r="AG331" s="269"/>
      <c r="AH331" s="269"/>
      <c r="AI331" s="269"/>
      <c r="AJ331" s="269"/>
      <c r="AK331" s="269"/>
      <c r="AL331" s="269"/>
      <c r="AM331" s="269"/>
      <c r="AN331" s="269"/>
      <c r="AO331" s="269"/>
      <c r="AP331" s="269"/>
      <c r="AQ331" s="269"/>
      <c r="AR331" s="269"/>
      <c r="AS331" s="269"/>
      <c r="AT331" s="269"/>
      <c r="AU331" s="283"/>
    </row>
    <row r="332" spans="1:47" ht="60" customHeight="1" x14ac:dyDescent="0.35">
      <c r="A332" s="279" t="s">
        <v>7073</v>
      </c>
      <c r="B332" s="257" t="s">
        <v>7165</v>
      </c>
      <c r="C332" s="258" t="s">
        <v>7189</v>
      </c>
      <c r="D332" s="261" t="s">
        <v>7190</v>
      </c>
      <c r="E332" s="262" t="s">
        <v>6551</v>
      </c>
      <c r="F332" s="265" t="s">
        <v>7168</v>
      </c>
      <c r="G332" s="268" t="str">
        <f>IF(COUNTIF(H332:AU332,"&lt;&gt;")=0,"",SUMPRODUCT(((Recommendations[ImplStatus]="Implemented")+(Recommendations[ImplStatus]="Compensated"))*ISNUMBER(MATCH(Recommendations[Id],H332:AU332,0)))/COUNTIF(H332:AU332,"&lt;&gt;"))</f>
        <v/>
      </c>
      <c r="H332" s="269"/>
      <c r="I332" s="269"/>
      <c r="J332" s="269"/>
      <c r="K332" s="269"/>
      <c r="L332" s="269"/>
      <c r="M332" s="269"/>
      <c r="N332" s="269"/>
      <c r="O332" s="269"/>
      <c r="P332" s="269"/>
      <c r="Q332" s="269"/>
      <c r="R332" s="269"/>
      <c r="S332" s="269"/>
      <c r="T332" s="269"/>
      <c r="U332" s="269"/>
      <c r="V332" s="269"/>
      <c r="W332" s="269"/>
      <c r="X332" s="269"/>
      <c r="Y332" s="269"/>
      <c r="Z332" s="269"/>
      <c r="AA332" s="269"/>
      <c r="AB332" s="269"/>
      <c r="AC332" s="269"/>
      <c r="AD332" s="269"/>
      <c r="AE332" s="269"/>
      <c r="AF332" s="269"/>
      <c r="AG332" s="269"/>
      <c r="AH332" s="269"/>
      <c r="AI332" s="269"/>
      <c r="AJ332" s="269"/>
      <c r="AK332" s="269"/>
      <c r="AL332" s="269"/>
      <c r="AM332" s="269"/>
      <c r="AN332" s="269"/>
      <c r="AO332" s="269"/>
      <c r="AP332" s="269"/>
      <c r="AQ332" s="269"/>
      <c r="AR332" s="269"/>
      <c r="AS332" s="269"/>
      <c r="AT332" s="269"/>
      <c r="AU332" s="283"/>
    </row>
    <row r="333" spans="1:47" ht="60" customHeight="1" x14ac:dyDescent="0.35">
      <c r="A333" s="279" t="s">
        <v>7073</v>
      </c>
      <c r="B333" s="257" t="s">
        <v>7165</v>
      </c>
      <c r="C333" s="258" t="s">
        <v>7191</v>
      </c>
      <c r="D333" s="261" t="s">
        <v>7192</v>
      </c>
      <c r="E333" s="262" t="s">
        <v>6551</v>
      </c>
      <c r="F333" s="265" t="s">
        <v>7168</v>
      </c>
      <c r="G333" s="268" t="str">
        <f>IF(COUNTIF(H333:AU333,"&lt;&gt;")=0,"",SUMPRODUCT(((Recommendations[ImplStatus]="Implemented")+(Recommendations[ImplStatus]="Compensated"))*ISNUMBER(MATCH(Recommendations[Id],H333:AU333,0)))/COUNTIF(H333:AU333,"&lt;&gt;"))</f>
        <v/>
      </c>
      <c r="H333" s="269"/>
      <c r="I333" s="269"/>
      <c r="J333" s="269"/>
      <c r="K333" s="269"/>
      <c r="L333" s="269"/>
      <c r="M333" s="269"/>
      <c r="N333" s="269"/>
      <c r="O333" s="269"/>
      <c r="P333" s="269"/>
      <c r="Q333" s="269"/>
      <c r="R333" s="269"/>
      <c r="S333" s="269"/>
      <c r="T333" s="269"/>
      <c r="U333" s="269"/>
      <c r="V333" s="269"/>
      <c r="W333" s="269"/>
      <c r="X333" s="269"/>
      <c r="Y333" s="269"/>
      <c r="Z333" s="269"/>
      <c r="AA333" s="269"/>
      <c r="AB333" s="269"/>
      <c r="AC333" s="269"/>
      <c r="AD333" s="269"/>
      <c r="AE333" s="269"/>
      <c r="AF333" s="269"/>
      <c r="AG333" s="269"/>
      <c r="AH333" s="269"/>
      <c r="AI333" s="269"/>
      <c r="AJ333" s="269"/>
      <c r="AK333" s="269"/>
      <c r="AL333" s="269"/>
      <c r="AM333" s="269"/>
      <c r="AN333" s="269"/>
      <c r="AO333" s="269"/>
      <c r="AP333" s="269"/>
      <c r="AQ333" s="269"/>
      <c r="AR333" s="269"/>
      <c r="AS333" s="269"/>
      <c r="AT333" s="269"/>
      <c r="AU333" s="283"/>
    </row>
    <row r="334" spans="1:47" ht="60" customHeight="1" x14ac:dyDescent="0.35">
      <c r="A334" s="279" t="s">
        <v>7073</v>
      </c>
      <c r="B334" s="257" t="s">
        <v>7165</v>
      </c>
      <c r="C334" s="258" t="s">
        <v>7193</v>
      </c>
      <c r="D334" s="261" t="s">
        <v>7194</v>
      </c>
      <c r="E334" s="262" t="s">
        <v>6551</v>
      </c>
      <c r="F334" s="265" t="s">
        <v>7168</v>
      </c>
      <c r="G334" s="268" t="str">
        <f>IF(COUNTIF(H334:AU334,"&lt;&gt;")=0,"",SUMPRODUCT(((Recommendations[ImplStatus]="Implemented")+(Recommendations[ImplStatus]="Compensated"))*ISNUMBER(MATCH(Recommendations[Id],H334:AU334,0)))/COUNTIF(H334:AU334,"&lt;&gt;"))</f>
        <v/>
      </c>
      <c r="H334" s="269"/>
      <c r="I334" s="269"/>
      <c r="J334" s="269"/>
      <c r="K334" s="269"/>
      <c r="L334" s="269"/>
      <c r="M334" s="269"/>
      <c r="N334" s="269"/>
      <c r="O334" s="269"/>
      <c r="P334" s="269"/>
      <c r="Q334" s="269"/>
      <c r="R334" s="269"/>
      <c r="S334" s="269"/>
      <c r="T334" s="269"/>
      <c r="U334" s="269"/>
      <c r="V334" s="269"/>
      <c r="W334" s="269"/>
      <c r="X334" s="269"/>
      <c r="Y334" s="269"/>
      <c r="Z334" s="269"/>
      <c r="AA334" s="269"/>
      <c r="AB334" s="269"/>
      <c r="AC334" s="269"/>
      <c r="AD334" s="269"/>
      <c r="AE334" s="269"/>
      <c r="AF334" s="269"/>
      <c r="AG334" s="269"/>
      <c r="AH334" s="269"/>
      <c r="AI334" s="269"/>
      <c r="AJ334" s="269"/>
      <c r="AK334" s="269"/>
      <c r="AL334" s="269"/>
      <c r="AM334" s="269"/>
      <c r="AN334" s="269"/>
      <c r="AO334" s="269"/>
      <c r="AP334" s="269"/>
      <c r="AQ334" s="269"/>
      <c r="AR334" s="269"/>
      <c r="AS334" s="269"/>
      <c r="AT334" s="269"/>
      <c r="AU334" s="283"/>
    </row>
    <row r="335" spans="1:47" ht="60" customHeight="1" x14ac:dyDescent="0.35">
      <c r="A335" s="279" t="s">
        <v>7073</v>
      </c>
      <c r="B335" s="257" t="s">
        <v>7165</v>
      </c>
      <c r="C335" s="258" t="s">
        <v>7195</v>
      </c>
      <c r="D335" s="261" t="s">
        <v>7196</v>
      </c>
      <c r="E335" s="262" t="s">
        <v>6551</v>
      </c>
      <c r="F335" s="265" t="s">
        <v>7168</v>
      </c>
      <c r="G335" s="268" t="str">
        <f>IF(COUNTIF(H335:AU335,"&lt;&gt;")=0,"",SUMPRODUCT(((Recommendations[ImplStatus]="Implemented")+(Recommendations[ImplStatus]="Compensated"))*ISNUMBER(MATCH(Recommendations[Id],H335:AU335,0)))/COUNTIF(H335:AU335,"&lt;&gt;"))</f>
        <v/>
      </c>
      <c r="H335" s="269"/>
      <c r="I335" s="269"/>
      <c r="J335" s="269"/>
      <c r="K335" s="269"/>
      <c r="L335" s="269"/>
      <c r="M335" s="269"/>
      <c r="N335" s="269"/>
      <c r="O335" s="269"/>
      <c r="P335" s="269"/>
      <c r="Q335" s="269"/>
      <c r="R335" s="269"/>
      <c r="S335" s="269"/>
      <c r="T335" s="269"/>
      <c r="U335" s="269"/>
      <c r="V335" s="269"/>
      <c r="W335" s="269"/>
      <c r="X335" s="269"/>
      <c r="Y335" s="269"/>
      <c r="Z335" s="269"/>
      <c r="AA335" s="269"/>
      <c r="AB335" s="269"/>
      <c r="AC335" s="269"/>
      <c r="AD335" s="269"/>
      <c r="AE335" s="269"/>
      <c r="AF335" s="269"/>
      <c r="AG335" s="269"/>
      <c r="AH335" s="269"/>
      <c r="AI335" s="269"/>
      <c r="AJ335" s="269"/>
      <c r="AK335" s="269"/>
      <c r="AL335" s="269"/>
      <c r="AM335" s="269"/>
      <c r="AN335" s="269"/>
      <c r="AO335" s="269"/>
      <c r="AP335" s="269"/>
      <c r="AQ335" s="269"/>
      <c r="AR335" s="269"/>
      <c r="AS335" s="269"/>
      <c r="AT335" s="269"/>
      <c r="AU335" s="283"/>
    </row>
    <row r="336" spans="1:47" ht="60" customHeight="1" x14ac:dyDescent="0.35">
      <c r="A336" s="279" t="s">
        <v>7073</v>
      </c>
      <c r="B336" s="257" t="s">
        <v>7165</v>
      </c>
      <c r="C336" s="258" t="s">
        <v>7197</v>
      </c>
      <c r="D336" s="261" t="s">
        <v>7198</v>
      </c>
      <c r="E336" s="262" t="s">
        <v>6666</v>
      </c>
      <c r="F336" s="265" t="s">
        <v>7168</v>
      </c>
      <c r="G336" s="268" t="str">
        <f>IF(COUNTIF(H336:AU336,"&lt;&gt;")=0,"",SUMPRODUCT(((Recommendations[ImplStatus]="Implemented")+(Recommendations[ImplStatus]="Compensated"))*ISNUMBER(MATCH(Recommendations[Id],H336:AU336,0)))/COUNTIF(H336:AU336,"&lt;&gt;"))</f>
        <v/>
      </c>
      <c r="H336" s="269"/>
      <c r="I336" s="269"/>
      <c r="J336" s="269"/>
      <c r="K336" s="269"/>
      <c r="L336" s="269"/>
      <c r="M336" s="269"/>
      <c r="N336" s="269"/>
      <c r="O336" s="269"/>
      <c r="P336" s="269"/>
      <c r="Q336" s="269"/>
      <c r="R336" s="269"/>
      <c r="S336" s="269"/>
      <c r="T336" s="269"/>
      <c r="U336" s="269"/>
      <c r="V336" s="269"/>
      <c r="W336" s="269"/>
      <c r="X336" s="269"/>
      <c r="Y336" s="269"/>
      <c r="Z336" s="269"/>
      <c r="AA336" s="269"/>
      <c r="AB336" s="269"/>
      <c r="AC336" s="269"/>
      <c r="AD336" s="269"/>
      <c r="AE336" s="269"/>
      <c r="AF336" s="269"/>
      <c r="AG336" s="269"/>
      <c r="AH336" s="269"/>
      <c r="AI336" s="269"/>
      <c r="AJ336" s="269"/>
      <c r="AK336" s="269"/>
      <c r="AL336" s="269"/>
      <c r="AM336" s="269"/>
      <c r="AN336" s="269"/>
      <c r="AO336" s="269"/>
      <c r="AP336" s="269"/>
      <c r="AQ336" s="269"/>
      <c r="AR336" s="269"/>
      <c r="AS336" s="269"/>
      <c r="AT336" s="269"/>
      <c r="AU336" s="283"/>
    </row>
    <row r="337" spans="1:47" ht="60" customHeight="1" x14ac:dyDescent="0.35">
      <c r="A337" s="279" t="s">
        <v>7073</v>
      </c>
      <c r="B337" s="257" t="s">
        <v>7165</v>
      </c>
      <c r="C337" s="258" t="s">
        <v>7199</v>
      </c>
      <c r="D337" s="261" t="s">
        <v>7200</v>
      </c>
      <c r="E337" s="262" t="s">
        <v>6666</v>
      </c>
      <c r="F337" s="265" t="s">
        <v>7168</v>
      </c>
      <c r="G337" s="268" t="str">
        <f>IF(COUNTIF(H337:AU337,"&lt;&gt;")=0,"",SUMPRODUCT(((Recommendations[ImplStatus]="Implemented")+(Recommendations[ImplStatus]="Compensated"))*ISNUMBER(MATCH(Recommendations[Id],H337:AU337,0)))/COUNTIF(H337:AU337,"&lt;&gt;"))</f>
        <v/>
      </c>
      <c r="H337" s="269"/>
      <c r="I337" s="269"/>
      <c r="J337" s="269"/>
      <c r="K337" s="269"/>
      <c r="L337" s="269"/>
      <c r="M337" s="269"/>
      <c r="N337" s="269"/>
      <c r="O337" s="269"/>
      <c r="P337" s="269"/>
      <c r="Q337" s="269"/>
      <c r="R337" s="269"/>
      <c r="S337" s="269"/>
      <c r="T337" s="269"/>
      <c r="U337" s="269"/>
      <c r="V337" s="269"/>
      <c r="W337" s="269"/>
      <c r="X337" s="269"/>
      <c r="Y337" s="269"/>
      <c r="Z337" s="269"/>
      <c r="AA337" s="269"/>
      <c r="AB337" s="269"/>
      <c r="AC337" s="269"/>
      <c r="AD337" s="269"/>
      <c r="AE337" s="269"/>
      <c r="AF337" s="269"/>
      <c r="AG337" s="269"/>
      <c r="AH337" s="269"/>
      <c r="AI337" s="269"/>
      <c r="AJ337" s="269"/>
      <c r="AK337" s="269"/>
      <c r="AL337" s="269"/>
      <c r="AM337" s="269"/>
      <c r="AN337" s="269"/>
      <c r="AO337" s="269"/>
      <c r="AP337" s="269"/>
      <c r="AQ337" s="269"/>
      <c r="AR337" s="269"/>
      <c r="AS337" s="269"/>
      <c r="AT337" s="269"/>
      <c r="AU337" s="283"/>
    </row>
    <row r="338" spans="1:47" ht="60" customHeight="1" x14ac:dyDescent="0.35">
      <c r="A338" s="279" t="s">
        <v>7073</v>
      </c>
      <c r="B338" s="257" t="s">
        <v>7165</v>
      </c>
      <c r="C338" s="258" t="s">
        <v>7201</v>
      </c>
      <c r="D338" s="261" t="s">
        <v>7202</v>
      </c>
      <c r="E338" s="262" t="s">
        <v>6551</v>
      </c>
      <c r="F338" s="265" t="s">
        <v>7168</v>
      </c>
      <c r="G338" s="268" t="str">
        <f>IF(COUNTIF(H338:AU338,"&lt;&gt;")=0,"",SUMPRODUCT(((Recommendations[ImplStatus]="Implemented")+(Recommendations[ImplStatus]="Compensated"))*ISNUMBER(MATCH(Recommendations[Id],H338:AU338,0)))/COUNTIF(H338:AU338,"&lt;&gt;"))</f>
        <v/>
      </c>
      <c r="H338" s="269"/>
      <c r="I338" s="269"/>
      <c r="J338" s="269"/>
      <c r="K338" s="269"/>
      <c r="L338" s="269"/>
      <c r="M338" s="269"/>
      <c r="N338" s="269"/>
      <c r="O338" s="269"/>
      <c r="P338" s="269"/>
      <c r="Q338" s="269"/>
      <c r="R338" s="269"/>
      <c r="S338" s="269"/>
      <c r="T338" s="269"/>
      <c r="U338" s="269"/>
      <c r="V338" s="269"/>
      <c r="W338" s="269"/>
      <c r="X338" s="269"/>
      <c r="Y338" s="269"/>
      <c r="Z338" s="269"/>
      <c r="AA338" s="269"/>
      <c r="AB338" s="269"/>
      <c r="AC338" s="269"/>
      <c r="AD338" s="269"/>
      <c r="AE338" s="269"/>
      <c r="AF338" s="269"/>
      <c r="AG338" s="269"/>
      <c r="AH338" s="269"/>
      <c r="AI338" s="269"/>
      <c r="AJ338" s="269"/>
      <c r="AK338" s="269"/>
      <c r="AL338" s="269"/>
      <c r="AM338" s="269"/>
      <c r="AN338" s="269"/>
      <c r="AO338" s="269"/>
      <c r="AP338" s="269"/>
      <c r="AQ338" s="269"/>
      <c r="AR338" s="269"/>
      <c r="AS338" s="269"/>
      <c r="AT338" s="269"/>
      <c r="AU338" s="283"/>
    </row>
    <row r="339" spans="1:47" ht="60" customHeight="1" x14ac:dyDescent="0.35">
      <c r="A339" s="279" t="s">
        <v>7073</v>
      </c>
      <c r="B339" s="257" t="s">
        <v>7165</v>
      </c>
      <c r="C339" s="258" t="s">
        <v>7203</v>
      </c>
      <c r="D339" s="261" t="s">
        <v>7204</v>
      </c>
      <c r="E339" s="262" t="s">
        <v>6551</v>
      </c>
      <c r="F339" s="265" t="s">
        <v>7168</v>
      </c>
      <c r="G339" s="268" t="str">
        <f>IF(COUNTIF(H339:AU339,"&lt;&gt;")=0,"",SUMPRODUCT(((Recommendations[ImplStatus]="Implemented")+(Recommendations[ImplStatus]="Compensated"))*ISNUMBER(MATCH(Recommendations[Id],H339:AU339,0)))/COUNTIF(H339:AU339,"&lt;&gt;"))</f>
        <v/>
      </c>
      <c r="H339" s="269"/>
      <c r="I339" s="269"/>
      <c r="J339" s="269"/>
      <c r="K339" s="269"/>
      <c r="L339" s="269"/>
      <c r="M339" s="269"/>
      <c r="N339" s="269"/>
      <c r="O339" s="269"/>
      <c r="P339" s="269"/>
      <c r="Q339" s="269"/>
      <c r="R339" s="269"/>
      <c r="S339" s="269"/>
      <c r="T339" s="269"/>
      <c r="U339" s="269"/>
      <c r="V339" s="269"/>
      <c r="W339" s="269"/>
      <c r="X339" s="269"/>
      <c r="Y339" s="269"/>
      <c r="Z339" s="269"/>
      <c r="AA339" s="269"/>
      <c r="AB339" s="269"/>
      <c r="AC339" s="269"/>
      <c r="AD339" s="269"/>
      <c r="AE339" s="269"/>
      <c r="AF339" s="269"/>
      <c r="AG339" s="269"/>
      <c r="AH339" s="269"/>
      <c r="AI339" s="269"/>
      <c r="AJ339" s="269"/>
      <c r="AK339" s="269"/>
      <c r="AL339" s="269"/>
      <c r="AM339" s="269"/>
      <c r="AN339" s="269"/>
      <c r="AO339" s="269"/>
      <c r="AP339" s="269"/>
      <c r="AQ339" s="269"/>
      <c r="AR339" s="269"/>
      <c r="AS339" s="269"/>
      <c r="AT339" s="269"/>
      <c r="AU339" s="283"/>
    </row>
    <row r="340" spans="1:47" ht="60" customHeight="1" outlineLevel="2" x14ac:dyDescent="0.35">
      <c r="A340" s="278" t="s">
        <v>7073</v>
      </c>
      <c r="B340" s="256" t="s">
        <v>7205</v>
      </c>
      <c r="C340" s="256"/>
      <c r="D340" s="260"/>
      <c r="E340" s="256"/>
      <c r="F340" s="264"/>
      <c r="G340" s="267" t="str">
        <f>IF(COUNTIF(H340:AU340,"&lt;&gt;")=0,"",SUMPRODUCT(((Recommendations[ImplStatus]="Implemented")+(Recommendations[ImplStatus]="Compensated"))*ISNUMBER(MATCH(Recommendations[Id],H340:AU340,0)))/COUNTIF(H340:AU340,"&lt;&gt;"))</f>
        <v/>
      </c>
      <c r="H340" s="264"/>
      <c r="I340" s="264"/>
      <c r="J340" s="264"/>
      <c r="K340" s="264"/>
      <c r="L340" s="264"/>
      <c r="M340" s="264"/>
      <c r="N340" s="264"/>
      <c r="O340" s="264"/>
      <c r="P340" s="264"/>
      <c r="Q340" s="264"/>
      <c r="R340" s="264"/>
      <c r="S340" s="264"/>
      <c r="T340" s="264"/>
      <c r="U340" s="264"/>
      <c r="V340" s="264"/>
      <c r="W340" s="264"/>
      <c r="X340" s="264"/>
      <c r="Y340" s="264"/>
      <c r="Z340" s="264"/>
      <c r="AA340" s="264"/>
      <c r="AB340" s="264"/>
      <c r="AC340" s="264"/>
      <c r="AD340" s="264"/>
      <c r="AE340" s="264"/>
      <c r="AF340" s="264"/>
      <c r="AG340" s="264"/>
      <c r="AH340" s="264"/>
      <c r="AI340" s="264"/>
      <c r="AJ340" s="264"/>
      <c r="AK340" s="264"/>
      <c r="AL340" s="264"/>
      <c r="AM340" s="264"/>
      <c r="AN340" s="264"/>
      <c r="AO340" s="264"/>
      <c r="AP340" s="264"/>
      <c r="AQ340" s="264"/>
      <c r="AR340" s="264"/>
      <c r="AS340" s="264"/>
      <c r="AT340" s="264"/>
      <c r="AU340" s="282"/>
    </row>
    <row r="341" spans="1:47" ht="60" customHeight="1" x14ac:dyDescent="0.35">
      <c r="A341" s="279" t="s">
        <v>7073</v>
      </c>
      <c r="B341" s="257" t="s">
        <v>7205</v>
      </c>
      <c r="C341" s="258" t="s">
        <v>7206</v>
      </c>
      <c r="D341" s="261" t="s">
        <v>7207</v>
      </c>
      <c r="E341" s="262" t="s">
        <v>6522</v>
      </c>
      <c r="F341" s="265" t="s">
        <v>7092</v>
      </c>
      <c r="G341" s="268" t="str">
        <f>IF(COUNTIF(H341:AU341,"&lt;&gt;")=0,"",SUMPRODUCT(((Recommendations[ImplStatus]="Implemented")+(Recommendations[ImplStatus]="Compensated"))*ISNUMBER(MATCH(Recommendations[Id],H341:AU341,0)))/COUNTIF(H341:AU341,"&lt;&gt;"))</f>
        <v/>
      </c>
      <c r="H341" s="269"/>
      <c r="I341" s="269"/>
      <c r="J341" s="269"/>
      <c r="K341" s="269"/>
      <c r="L341" s="269"/>
      <c r="M341" s="269"/>
      <c r="N341" s="269"/>
      <c r="O341" s="269"/>
      <c r="P341" s="269"/>
      <c r="Q341" s="269"/>
      <c r="R341" s="269"/>
      <c r="S341" s="269"/>
      <c r="T341" s="269"/>
      <c r="U341" s="269"/>
      <c r="V341" s="269"/>
      <c r="W341" s="269"/>
      <c r="X341" s="269"/>
      <c r="Y341" s="269"/>
      <c r="Z341" s="269"/>
      <c r="AA341" s="269"/>
      <c r="AB341" s="269"/>
      <c r="AC341" s="269"/>
      <c r="AD341" s="269"/>
      <c r="AE341" s="269"/>
      <c r="AF341" s="269"/>
      <c r="AG341" s="269"/>
      <c r="AH341" s="269"/>
      <c r="AI341" s="269"/>
      <c r="AJ341" s="269"/>
      <c r="AK341" s="269"/>
      <c r="AL341" s="269"/>
      <c r="AM341" s="269"/>
      <c r="AN341" s="269"/>
      <c r="AO341" s="269"/>
      <c r="AP341" s="269"/>
      <c r="AQ341" s="269"/>
      <c r="AR341" s="269"/>
      <c r="AS341" s="269"/>
      <c r="AT341" s="269"/>
      <c r="AU341" s="283"/>
    </row>
    <row r="342" spans="1:47" ht="60" customHeight="1" x14ac:dyDescent="0.35">
      <c r="A342" s="279" t="s">
        <v>7073</v>
      </c>
      <c r="B342" s="257" t="s">
        <v>7205</v>
      </c>
      <c r="C342" s="258" t="s">
        <v>7208</v>
      </c>
      <c r="D342" s="261" t="s">
        <v>7209</v>
      </c>
      <c r="E342" s="262" t="s">
        <v>6522</v>
      </c>
      <c r="F342" s="265" t="s">
        <v>7092</v>
      </c>
      <c r="G342" s="268" t="str">
        <f>IF(COUNTIF(H342:AU342,"&lt;&gt;")=0,"",SUMPRODUCT(((Recommendations[ImplStatus]="Implemented")+(Recommendations[ImplStatus]="Compensated"))*ISNUMBER(MATCH(Recommendations[Id],H342:AU342,0)))/COUNTIF(H342:AU342,"&lt;&gt;"))</f>
        <v/>
      </c>
      <c r="H342" s="269"/>
      <c r="I342" s="269"/>
      <c r="J342" s="269"/>
      <c r="K342" s="269"/>
      <c r="L342" s="269"/>
      <c r="M342" s="269"/>
      <c r="N342" s="269"/>
      <c r="O342" s="269"/>
      <c r="P342" s="269"/>
      <c r="Q342" s="269"/>
      <c r="R342" s="269"/>
      <c r="S342" s="269"/>
      <c r="T342" s="269"/>
      <c r="U342" s="269"/>
      <c r="V342" s="269"/>
      <c r="W342" s="269"/>
      <c r="X342" s="269"/>
      <c r="Y342" s="269"/>
      <c r="Z342" s="269"/>
      <c r="AA342" s="269"/>
      <c r="AB342" s="269"/>
      <c r="AC342" s="269"/>
      <c r="AD342" s="269"/>
      <c r="AE342" s="269"/>
      <c r="AF342" s="269"/>
      <c r="AG342" s="269"/>
      <c r="AH342" s="269"/>
      <c r="AI342" s="269"/>
      <c r="AJ342" s="269"/>
      <c r="AK342" s="269"/>
      <c r="AL342" s="269"/>
      <c r="AM342" s="269"/>
      <c r="AN342" s="269"/>
      <c r="AO342" s="269"/>
      <c r="AP342" s="269"/>
      <c r="AQ342" s="269"/>
      <c r="AR342" s="269"/>
      <c r="AS342" s="269"/>
      <c r="AT342" s="269"/>
      <c r="AU342" s="283"/>
    </row>
    <row r="343" spans="1:47" ht="60" customHeight="1" x14ac:dyDescent="0.35">
      <c r="A343" s="279" t="s">
        <v>7073</v>
      </c>
      <c r="B343" s="257" t="s">
        <v>7205</v>
      </c>
      <c r="C343" s="258" t="s">
        <v>7210</v>
      </c>
      <c r="D343" s="261" t="s">
        <v>7211</v>
      </c>
      <c r="E343" s="262" t="s">
        <v>6618</v>
      </c>
      <c r="F343" s="265" t="s">
        <v>7212</v>
      </c>
      <c r="G343" s="268" t="str">
        <f>IF(COUNTIF(H343:AU343,"&lt;&gt;")=0,"",SUMPRODUCT(((Recommendations[ImplStatus]="Implemented")+(Recommendations[ImplStatus]="Compensated"))*ISNUMBER(MATCH(Recommendations[Id],H343:AU343,0)))/COUNTIF(H343:AU343,"&lt;&gt;"))</f>
        <v/>
      </c>
      <c r="H343" s="269"/>
      <c r="I343" s="269"/>
      <c r="J343" s="269"/>
      <c r="K343" s="269"/>
      <c r="L343" s="269"/>
      <c r="M343" s="269"/>
      <c r="N343" s="269"/>
      <c r="O343" s="269"/>
      <c r="P343" s="269"/>
      <c r="Q343" s="269"/>
      <c r="R343" s="269"/>
      <c r="S343" s="269"/>
      <c r="T343" s="269"/>
      <c r="U343" s="269"/>
      <c r="V343" s="269"/>
      <c r="W343" s="269"/>
      <c r="X343" s="269"/>
      <c r="Y343" s="269"/>
      <c r="Z343" s="269"/>
      <c r="AA343" s="269"/>
      <c r="AB343" s="269"/>
      <c r="AC343" s="269"/>
      <c r="AD343" s="269"/>
      <c r="AE343" s="269"/>
      <c r="AF343" s="269"/>
      <c r="AG343" s="269"/>
      <c r="AH343" s="269"/>
      <c r="AI343" s="269"/>
      <c r="AJ343" s="269"/>
      <c r="AK343" s="269"/>
      <c r="AL343" s="269"/>
      <c r="AM343" s="269"/>
      <c r="AN343" s="269"/>
      <c r="AO343" s="269"/>
      <c r="AP343" s="269"/>
      <c r="AQ343" s="269"/>
      <c r="AR343" s="269"/>
      <c r="AS343" s="269"/>
      <c r="AT343" s="269"/>
      <c r="AU343" s="283"/>
    </row>
    <row r="344" spans="1:47" ht="60" customHeight="1" x14ac:dyDescent="0.35">
      <c r="A344" s="279" t="s">
        <v>7073</v>
      </c>
      <c r="B344" s="257" t="s">
        <v>7205</v>
      </c>
      <c r="C344" s="258" t="s">
        <v>7213</v>
      </c>
      <c r="D344" s="261" t="s">
        <v>7214</v>
      </c>
      <c r="E344" s="262" t="s">
        <v>6551</v>
      </c>
      <c r="F344" s="265" t="s">
        <v>7212</v>
      </c>
      <c r="G344" s="268" t="str">
        <f>IF(COUNTIF(H344:AU344,"&lt;&gt;")=0,"",SUMPRODUCT(((Recommendations[ImplStatus]="Implemented")+(Recommendations[ImplStatus]="Compensated"))*ISNUMBER(MATCH(Recommendations[Id],H344:AU344,0)))/COUNTIF(H344:AU344,"&lt;&gt;"))</f>
        <v/>
      </c>
      <c r="H344" s="269"/>
      <c r="I344" s="269"/>
      <c r="J344" s="269"/>
      <c r="K344" s="269"/>
      <c r="L344" s="269"/>
      <c r="M344" s="269"/>
      <c r="N344" s="269"/>
      <c r="O344" s="269"/>
      <c r="P344" s="269"/>
      <c r="Q344" s="269"/>
      <c r="R344" s="269"/>
      <c r="S344" s="269"/>
      <c r="T344" s="269"/>
      <c r="U344" s="269"/>
      <c r="V344" s="269"/>
      <c r="W344" s="269"/>
      <c r="X344" s="269"/>
      <c r="Y344" s="269"/>
      <c r="Z344" s="269"/>
      <c r="AA344" s="269"/>
      <c r="AB344" s="269"/>
      <c r="AC344" s="269"/>
      <c r="AD344" s="269"/>
      <c r="AE344" s="269"/>
      <c r="AF344" s="269"/>
      <c r="AG344" s="269"/>
      <c r="AH344" s="269"/>
      <c r="AI344" s="269"/>
      <c r="AJ344" s="269"/>
      <c r="AK344" s="269"/>
      <c r="AL344" s="269"/>
      <c r="AM344" s="269"/>
      <c r="AN344" s="269"/>
      <c r="AO344" s="269"/>
      <c r="AP344" s="269"/>
      <c r="AQ344" s="269"/>
      <c r="AR344" s="269"/>
      <c r="AS344" s="269"/>
      <c r="AT344" s="269"/>
      <c r="AU344" s="283"/>
    </row>
    <row r="345" spans="1:47" ht="60" customHeight="1" x14ac:dyDescent="0.35">
      <c r="A345" s="279" t="s">
        <v>7073</v>
      </c>
      <c r="B345" s="257" t="s">
        <v>7205</v>
      </c>
      <c r="C345" s="258" t="s">
        <v>7215</v>
      </c>
      <c r="D345" s="261" t="s">
        <v>7216</v>
      </c>
      <c r="E345" s="262" t="s">
        <v>6551</v>
      </c>
      <c r="F345" s="265" t="s">
        <v>7212</v>
      </c>
      <c r="G345" s="268">
        <f>IF(COUNTIF(H345:AU345,"&lt;&gt;")=0,"",SUMPRODUCT(((Recommendations[ImplStatus]="Implemented")+(Recommendations[ImplStatus]="Compensated"))*ISNUMBER(MATCH(Recommendations[Id],H345:AU345,0)))/COUNTIF(H345:AU345,"&lt;&gt;"))</f>
        <v>0</v>
      </c>
      <c r="H345" s="269" t="s">
        <v>159</v>
      </c>
      <c r="I345" s="269" t="s">
        <v>204</v>
      </c>
      <c r="J345" s="269" t="s">
        <v>209</v>
      </c>
      <c r="K345" s="269" t="s">
        <v>213</v>
      </c>
      <c r="L345" s="269" t="s">
        <v>217</v>
      </c>
      <c r="M345" s="269" t="s">
        <v>221</v>
      </c>
      <c r="N345" s="269" t="s">
        <v>225</v>
      </c>
      <c r="O345" s="269" t="s">
        <v>378</v>
      </c>
      <c r="P345" s="269" t="s">
        <v>427</v>
      </c>
      <c r="Q345" s="269" t="s">
        <v>446</v>
      </c>
      <c r="R345" s="269" t="s">
        <v>511</v>
      </c>
      <c r="S345" s="269" t="s">
        <v>516</v>
      </c>
      <c r="T345" s="269" t="s">
        <v>521</v>
      </c>
      <c r="U345" s="269" t="s">
        <v>526</v>
      </c>
      <c r="V345" s="269" t="s">
        <v>531</v>
      </c>
      <c r="W345" s="269" t="s">
        <v>536</v>
      </c>
      <c r="X345" s="269" t="s">
        <v>540</v>
      </c>
      <c r="Y345" s="269" t="s">
        <v>545</v>
      </c>
      <c r="Z345" s="269" t="s">
        <v>550</v>
      </c>
      <c r="AA345" s="269" t="s">
        <v>555</v>
      </c>
      <c r="AB345" s="269" t="s">
        <v>559</v>
      </c>
      <c r="AC345" s="269" t="s">
        <v>564</v>
      </c>
      <c r="AD345" s="269" t="s">
        <v>569</v>
      </c>
      <c r="AE345" s="269" t="s">
        <v>574</v>
      </c>
      <c r="AF345" s="269" t="s">
        <v>788</v>
      </c>
      <c r="AG345" s="269" t="s">
        <v>798</v>
      </c>
      <c r="AH345" s="269" t="s">
        <v>803</v>
      </c>
      <c r="AI345" s="269" t="s">
        <v>841</v>
      </c>
      <c r="AJ345" s="269" t="s">
        <v>864</v>
      </c>
      <c r="AK345" s="269" t="s">
        <v>869</v>
      </c>
      <c r="AL345" s="269" t="s">
        <v>874</v>
      </c>
      <c r="AM345" s="269" t="s">
        <v>1657</v>
      </c>
      <c r="AN345" s="269" t="s">
        <v>1662</v>
      </c>
      <c r="AO345" s="269" t="s">
        <v>1666</v>
      </c>
      <c r="AP345" s="269"/>
      <c r="AQ345" s="269"/>
      <c r="AR345" s="269"/>
      <c r="AS345" s="269"/>
      <c r="AT345" s="269"/>
      <c r="AU345" s="283"/>
    </row>
    <row r="346" spans="1:47" ht="60" customHeight="1" x14ac:dyDescent="0.35">
      <c r="A346" s="279" t="s">
        <v>7073</v>
      </c>
      <c r="B346" s="257" t="s">
        <v>7205</v>
      </c>
      <c r="C346" s="258" t="s">
        <v>7217</v>
      </c>
      <c r="D346" s="261" t="s">
        <v>7218</v>
      </c>
      <c r="E346" s="262" t="s">
        <v>6551</v>
      </c>
      <c r="F346" s="265" t="s">
        <v>7212</v>
      </c>
      <c r="G346" s="268" t="str">
        <f>IF(COUNTIF(H346:AU346,"&lt;&gt;")=0,"",SUMPRODUCT(((Recommendations[ImplStatus]="Implemented")+(Recommendations[ImplStatus]="Compensated"))*ISNUMBER(MATCH(Recommendations[Id],H346:AU346,0)))/COUNTIF(H346:AU346,"&lt;&gt;"))</f>
        <v/>
      </c>
      <c r="H346" s="269"/>
      <c r="I346" s="269"/>
      <c r="J346" s="269"/>
      <c r="K346" s="269"/>
      <c r="L346" s="269"/>
      <c r="M346" s="269"/>
      <c r="N346" s="269"/>
      <c r="O346" s="269"/>
      <c r="P346" s="269"/>
      <c r="Q346" s="269"/>
      <c r="R346" s="269"/>
      <c r="S346" s="269"/>
      <c r="T346" s="269"/>
      <c r="U346" s="269"/>
      <c r="V346" s="269"/>
      <c r="W346" s="269"/>
      <c r="X346" s="269"/>
      <c r="Y346" s="269"/>
      <c r="Z346" s="269"/>
      <c r="AA346" s="269"/>
      <c r="AB346" s="269"/>
      <c r="AC346" s="269"/>
      <c r="AD346" s="269"/>
      <c r="AE346" s="269"/>
      <c r="AF346" s="269"/>
      <c r="AG346" s="269"/>
      <c r="AH346" s="269"/>
      <c r="AI346" s="269"/>
      <c r="AJ346" s="269"/>
      <c r="AK346" s="269"/>
      <c r="AL346" s="269"/>
      <c r="AM346" s="269"/>
      <c r="AN346" s="269"/>
      <c r="AO346" s="269"/>
      <c r="AP346" s="269"/>
      <c r="AQ346" s="269"/>
      <c r="AR346" s="269"/>
      <c r="AS346" s="269"/>
      <c r="AT346" s="269"/>
      <c r="AU346" s="283"/>
    </row>
    <row r="347" spans="1:47" ht="60" customHeight="1" x14ac:dyDescent="0.35">
      <c r="A347" s="279" t="s">
        <v>7073</v>
      </c>
      <c r="B347" s="257" t="s">
        <v>7205</v>
      </c>
      <c r="C347" s="258" t="s">
        <v>7219</v>
      </c>
      <c r="D347" s="261" t="s">
        <v>7220</v>
      </c>
      <c r="E347" s="262" t="s">
        <v>6551</v>
      </c>
      <c r="F347" s="265" t="s">
        <v>7212</v>
      </c>
      <c r="G347" s="268" t="str">
        <f>IF(COUNTIF(H347:AU347,"&lt;&gt;")=0,"",SUMPRODUCT(((Recommendations[ImplStatus]="Implemented")+(Recommendations[ImplStatus]="Compensated"))*ISNUMBER(MATCH(Recommendations[Id],H347:AU347,0)))/COUNTIF(H347:AU347,"&lt;&gt;"))</f>
        <v/>
      </c>
      <c r="H347" s="269"/>
      <c r="I347" s="269"/>
      <c r="J347" s="269"/>
      <c r="K347" s="269"/>
      <c r="L347" s="269"/>
      <c r="M347" s="269"/>
      <c r="N347" s="269"/>
      <c r="O347" s="269"/>
      <c r="P347" s="269"/>
      <c r="Q347" s="269"/>
      <c r="R347" s="269"/>
      <c r="S347" s="269"/>
      <c r="T347" s="269"/>
      <c r="U347" s="269"/>
      <c r="V347" s="269"/>
      <c r="W347" s="269"/>
      <c r="X347" s="269"/>
      <c r="Y347" s="269"/>
      <c r="Z347" s="269"/>
      <c r="AA347" s="269"/>
      <c r="AB347" s="269"/>
      <c r="AC347" s="269"/>
      <c r="AD347" s="269"/>
      <c r="AE347" s="269"/>
      <c r="AF347" s="269"/>
      <c r="AG347" s="269"/>
      <c r="AH347" s="269"/>
      <c r="AI347" s="269"/>
      <c r="AJ347" s="269"/>
      <c r="AK347" s="269"/>
      <c r="AL347" s="269"/>
      <c r="AM347" s="269"/>
      <c r="AN347" s="269"/>
      <c r="AO347" s="269"/>
      <c r="AP347" s="269"/>
      <c r="AQ347" s="269"/>
      <c r="AR347" s="269"/>
      <c r="AS347" s="269"/>
      <c r="AT347" s="269"/>
      <c r="AU347" s="283"/>
    </row>
    <row r="348" spans="1:47" ht="60" customHeight="1" x14ac:dyDescent="0.35">
      <c r="A348" s="279" t="s">
        <v>7073</v>
      </c>
      <c r="B348" s="257" t="s">
        <v>7205</v>
      </c>
      <c r="C348" s="258" t="s">
        <v>7221</v>
      </c>
      <c r="D348" s="261" t="s">
        <v>7222</v>
      </c>
      <c r="E348" s="262" t="s">
        <v>6551</v>
      </c>
      <c r="F348" s="265" t="s">
        <v>7212</v>
      </c>
      <c r="G348" s="268" t="str">
        <f>IF(COUNTIF(H348:AU348,"&lt;&gt;")=0,"",SUMPRODUCT(((Recommendations[ImplStatus]="Implemented")+(Recommendations[ImplStatus]="Compensated"))*ISNUMBER(MATCH(Recommendations[Id],H348:AU348,0)))/COUNTIF(H348:AU348,"&lt;&gt;"))</f>
        <v/>
      </c>
      <c r="H348" s="269"/>
      <c r="I348" s="269"/>
      <c r="J348" s="269"/>
      <c r="K348" s="269"/>
      <c r="L348" s="269"/>
      <c r="M348" s="269"/>
      <c r="N348" s="269"/>
      <c r="O348" s="269"/>
      <c r="P348" s="269"/>
      <c r="Q348" s="269"/>
      <c r="R348" s="269"/>
      <c r="S348" s="269"/>
      <c r="T348" s="269"/>
      <c r="U348" s="269"/>
      <c r="V348" s="269"/>
      <c r="W348" s="269"/>
      <c r="X348" s="269"/>
      <c r="Y348" s="269"/>
      <c r="Z348" s="269"/>
      <c r="AA348" s="269"/>
      <c r="AB348" s="269"/>
      <c r="AC348" s="269"/>
      <c r="AD348" s="269"/>
      <c r="AE348" s="269"/>
      <c r="AF348" s="269"/>
      <c r="AG348" s="269"/>
      <c r="AH348" s="269"/>
      <c r="AI348" s="269"/>
      <c r="AJ348" s="269"/>
      <c r="AK348" s="269"/>
      <c r="AL348" s="269"/>
      <c r="AM348" s="269"/>
      <c r="AN348" s="269"/>
      <c r="AO348" s="269"/>
      <c r="AP348" s="269"/>
      <c r="AQ348" s="269"/>
      <c r="AR348" s="269"/>
      <c r="AS348" s="269"/>
      <c r="AT348" s="269"/>
      <c r="AU348" s="283"/>
    </row>
    <row r="349" spans="1:47" ht="60" customHeight="1" x14ac:dyDescent="0.35">
      <c r="A349" s="279" t="s">
        <v>7073</v>
      </c>
      <c r="B349" s="257" t="s">
        <v>7205</v>
      </c>
      <c r="C349" s="258" t="s">
        <v>7223</v>
      </c>
      <c r="D349" s="261" t="s">
        <v>7224</v>
      </c>
      <c r="E349" s="262" t="s">
        <v>6551</v>
      </c>
      <c r="F349" s="265" t="s">
        <v>7212</v>
      </c>
      <c r="G349" s="268" t="str">
        <f>IF(COUNTIF(H349:AU349,"&lt;&gt;")=0,"",SUMPRODUCT(((Recommendations[ImplStatus]="Implemented")+(Recommendations[ImplStatus]="Compensated"))*ISNUMBER(MATCH(Recommendations[Id],H349:AU349,0)))/COUNTIF(H349:AU349,"&lt;&gt;"))</f>
        <v/>
      </c>
      <c r="H349" s="269"/>
      <c r="I349" s="269"/>
      <c r="J349" s="269"/>
      <c r="K349" s="269"/>
      <c r="L349" s="269"/>
      <c r="M349" s="269"/>
      <c r="N349" s="269"/>
      <c r="O349" s="269"/>
      <c r="P349" s="269"/>
      <c r="Q349" s="269"/>
      <c r="R349" s="269"/>
      <c r="S349" s="269"/>
      <c r="T349" s="269"/>
      <c r="U349" s="269"/>
      <c r="V349" s="269"/>
      <c r="W349" s="269"/>
      <c r="X349" s="269"/>
      <c r="Y349" s="269"/>
      <c r="Z349" s="269"/>
      <c r="AA349" s="269"/>
      <c r="AB349" s="269"/>
      <c r="AC349" s="269"/>
      <c r="AD349" s="269"/>
      <c r="AE349" s="269"/>
      <c r="AF349" s="269"/>
      <c r="AG349" s="269"/>
      <c r="AH349" s="269"/>
      <c r="AI349" s="269"/>
      <c r="AJ349" s="269"/>
      <c r="AK349" s="269"/>
      <c r="AL349" s="269"/>
      <c r="AM349" s="269"/>
      <c r="AN349" s="269"/>
      <c r="AO349" s="269"/>
      <c r="AP349" s="269"/>
      <c r="AQ349" s="269"/>
      <c r="AR349" s="269"/>
      <c r="AS349" s="269"/>
      <c r="AT349" s="269"/>
      <c r="AU349" s="283"/>
    </row>
    <row r="350" spans="1:47" ht="60" customHeight="1" x14ac:dyDescent="0.35">
      <c r="A350" s="279" t="s">
        <v>7073</v>
      </c>
      <c r="B350" s="257" t="s">
        <v>7205</v>
      </c>
      <c r="C350" s="258" t="s">
        <v>7225</v>
      </c>
      <c r="D350" s="261" t="s">
        <v>7226</v>
      </c>
      <c r="E350" s="262" t="s">
        <v>6522</v>
      </c>
      <c r="F350" s="265" t="s">
        <v>7212</v>
      </c>
      <c r="G350" s="268" t="str">
        <f>IF(COUNTIF(H350:AU350,"&lt;&gt;")=0,"",SUMPRODUCT(((Recommendations[ImplStatus]="Implemented")+(Recommendations[ImplStatus]="Compensated"))*ISNUMBER(MATCH(Recommendations[Id],H350:AU350,0)))/COUNTIF(H350:AU350,"&lt;&gt;"))</f>
        <v/>
      </c>
      <c r="H350" s="269"/>
      <c r="I350" s="269"/>
      <c r="J350" s="269"/>
      <c r="K350" s="269"/>
      <c r="L350" s="269"/>
      <c r="M350" s="269"/>
      <c r="N350" s="269"/>
      <c r="O350" s="269"/>
      <c r="P350" s="269"/>
      <c r="Q350" s="269"/>
      <c r="R350" s="269"/>
      <c r="S350" s="269"/>
      <c r="T350" s="269"/>
      <c r="U350" s="269"/>
      <c r="V350" s="269"/>
      <c r="W350" s="269"/>
      <c r="X350" s="269"/>
      <c r="Y350" s="269"/>
      <c r="Z350" s="269"/>
      <c r="AA350" s="269"/>
      <c r="AB350" s="269"/>
      <c r="AC350" s="269"/>
      <c r="AD350" s="269"/>
      <c r="AE350" s="269"/>
      <c r="AF350" s="269"/>
      <c r="AG350" s="269"/>
      <c r="AH350" s="269"/>
      <c r="AI350" s="269"/>
      <c r="AJ350" s="269"/>
      <c r="AK350" s="269"/>
      <c r="AL350" s="269"/>
      <c r="AM350" s="269"/>
      <c r="AN350" s="269"/>
      <c r="AO350" s="269"/>
      <c r="AP350" s="269"/>
      <c r="AQ350" s="269"/>
      <c r="AR350" s="269"/>
      <c r="AS350" s="269"/>
      <c r="AT350" s="269"/>
      <c r="AU350" s="283"/>
    </row>
    <row r="351" spans="1:47" ht="60" customHeight="1" x14ac:dyDescent="0.35">
      <c r="A351" s="279" t="s">
        <v>7073</v>
      </c>
      <c r="B351" s="257" t="s">
        <v>7205</v>
      </c>
      <c r="C351" s="258" t="s">
        <v>7227</v>
      </c>
      <c r="D351" s="261" t="s">
        <v>7228</v>
      </c>
      <c r="E351" s="262" t="s">
        <v>6522</v>
      </c>
      <c r="F351" s="265" t="s">
        <v>7212</v>
      </c>
      <c r="G351" s="268" t="str">
        <f>IF(COUNTIF(H351:AU351,"&lt;&gt;")=0,"",SUMPRODUCT(((Recommendations[ImplStatus]="Implemented")+(Recommendations[ImplStatus]="Compensated"))*ISNUMBER(MATCH(Recommendations[Id],H351:AU351,0)))/COUNTIF(H351:AU351,"&lt;&gt;"))</f>
        <v/>
      </c>
      <c r="H351" s="269"/>
      <c r="I351" s="269"/>
      <c r="J351" s="269"/>
      <c r="K351" s="269"/>
      <c r="L351" s="269"/>
      <c r="M351" s="269"/>
      <c r="N351" s="269"/>
      <c r="O351" s="269"/>
      <c r="P351" s="269"/>
      <c r="Q351" s="269"/>
      <c r="R351" s="269"/>
      <c r="S351" s="269"/>
      <c r="T351" s="269"/>
      <c r="U351" s="269"/>
      <c r="V351" s="269"/>
      <c r="W351" s="269"/>
      <c r="X351" s="269"/>
      <c r="Y351" s="269"/>
      <c r="Z351" s="269"/>
      <c r="AA351" s="269"/>
      <c r="AB351" s="269"/>
      <c r="AC351" s="269"/>
      <c r="AD351" s="269"/>
      <c r="AE351" s="269"/>
      <c r="AF351" s="269"/>
      <c r="AG351" s="269"/>
      <c r="AH351" s="269"/>
      <c r="AI351" s="269"/>
      <c r="AJ351" s="269"/>
      <c r="AK351" s="269"/>
      <c r="AL351" s="269"/>
      <c r="AM351" s="269"/>
      <c r="AN351" s="269"/>
      <c r="AO351" s="269"/>
      <c r="AP351" s="269"/>
      <c r="AQ351" s="269"/>
      <c r="AR351" s="269"/>
      <c r="AS351" s="269"/>
      <c r="AT351" s="269"/>
      <c r="AU351" s="283"/>
    </row>
    <row r="352" spans="1:47" ht="60" customHeight="1" x14ac:dyDescent="0.35">
      <c r="A352" s="279" t="s">
        <v>7073</v>
      </c>
      <c r="B352" s="257" t="s">
        <v>7205</v>
      </c>
      <c r="C352" s="258" t="s">
        <v>7229</v>
      </c>
      <c r="D352" s="261" t="s">
        <v>7230</v>
      </c>
      <c r="E352" s="262" t="s">
        <v>6522</v>
      </c>
      <c r="F352" s="265" t="s">
        <v>7212</v>
      </c>
      <c r="G352" s="268" t="str">
        <f>IF(COUNTIF(H352:AU352,"&lt;&gt;")=0,"",SUMPRODUCT(((Recommendations[ImplStatus]="Implemented")+(Recommendations[ImplStatus]="Compensated"))*ISNUMBER(MATCH(Recommendations[Id],H352:AU352,0)))/COUNTIF(H352:AU352,"&lt;&gt;"))</f>
        <v/>
      </c>
      <c r="H352" s="269"/>
      <c r="I352" s="269"/>
      <c r="J352" s="269"/>
      <c r="K352" s="269"/>
      <c r="L352" s="269"/>
      <c r="M352" s="269"/>
      <c r="N352" s="269"/>
      <c r="O352" s="269"/>
      <c r="P352" s="269"/>
      <c r="Q352" s="269"/>
      <c r="R352" s="269"/>
      <c r="S352" s="269"/>
      <c r="T352" s="269"/>
      <c r="U352" s="269"/>
      <c r="V352" s="269"/>
      <c r="W352" s="269"/>
      <c r="X352" s="269"/>
      <c r="Y352" s="269"/>
      <c r="Z352" s="269"/>
      <c r="AA352" s="269"/>
      <c r="AB352" s="269"/>
      <c r="AC352" s="269"/>
      <c r="AD352" s="269"/>
      <c r="AE352" s="269"/>
      <c r="AF352" s="269"/>
      <c r="AG352" s="269"/>
      <c r="AH352" s="269"/>
      <c r="AI352" s="269"/>
      <c r="AJ352" s="269"/>
      <c r="AK352" s="269"/>
      <c r="AL352" s="269"/>
      <c r="AM352" s="269"/>
      <c r="AN352" s="269"/>
      <c r="AO352" s="269"/>
      <c r="AP352" s="269"/>
      <c r="AQ352" s="269"/>
      <c r="AR352" s="269"/>
      <c r="AS352" s="269"/>
      <c r="AT352" s="269"/>
      <c r="AU352" s="283"/>
    </row>
    <row r="353" spans="1:47" ht="60" customHeight="1" x14ac:dyDescent="0.35">
      <c r="A353" s="279" t="s">
        <v>7073</v>
      </c>
      <c r="B353" s="257" t="s">
        <v>7205</v>
      </c>
      <c r="C353" s="258" t="s">
        <v>7231</v>
      </c>
      <c r="D353" s="261" t="s">
        <v>7232</v>
      </c>
      <c r="E353" s="262" t="s">
        <v>6618</v>
      </c>
      <c r="F353" s="265" t="s">
        <v>7092</v>
      </c>
      <c r="G353" s="268" t="str">
        <f>IF(COUNTIF(H353:AU353,"&lt;&gt;")=0,"",SUMPRODUCT(((Recommendations[ImplStatus]="Implemented")+(Recommendations[ImplStatus]="Compensated"))*ISNUMBER(MATCH(Recommendations[Id],H353:AU353,0)))/COUNTIF(H353:AU353,"&lt;&gt;"))</f>
        <v/>
      </c>
      <c r="H353" s="269"/>
      <c r="I353" s="269"/>
      <c r="J353" s="269"/>
      <c r="K353" s="269"/>
      <c r="L353" s="269"/>
      <c r="M353" s="269"/>
      <c r="N353" s="269"/>
      <c r="O353" s="269"/>
      <c r="P353" s="269"/>
      <c r="Q353" s="269"/>
      <c r="R353" s="269"/>
      <c r="S353" s="269"/>
      <c r="T353" s="269"/>
      <c r="U353" s="269"/>
      <c r="V353" s="269"/>
      <c r="W353" s="269"/>
      <c r="X353" s="269"/>
      <c r="Y353" s="269"/>
      <c r="Z353" s="269"/>
      <c r="AA353" s="269"/>
      <c r="AB353" s="269"/>
      <c r="AC353" s="269"/>
      <c r="AD353" s="269"/>
      <c r="AE353" s="269"/>
      <c r="AF353" s="269"/>
      <c r="AG353" s="269"/>
      <c r="AH353" s="269"/>
      <c r="AI353" s="269"/>
      <c r="AJ353" s="269"/>
      <c r="AK353" s="269"/>
      <c r="AL353" s="269"/>
      <c r="AM353" s="269"/>
      <c r="AN353" s="269"/>
      <c r="AO353" s="269"/>
      <c r="AP353" s="269"/>
      <c r="AQ353" s="269"/>
      <c r="AR353" s="269"/>
      <c r="AS353" s="269"/>
      <c r="AT353" s="269"/>
      <c r="AU353" s="283"/>
    </row>
    <row r="354" spans="1:47" ht="60" customHeight="1" outlineLevel="2" x14ac:dyDescent="0.35">
      <c r="A354" s="278" t="s">
        <v>7073</v>
      </c>
      <c r="B354" s="256" t="s">
        <v>7233</v>
      </c>
      <c r="C354" s="256"/>
      <c r="D354" s="260"/>
      <c r="E354" s="256"/>
      <c r="F354" s="264"/>
      <c r="G354" s="267" t="str">
        <f>IF(COUNTIF(H354:AU354,"&lt;&gt;")=0,"",SUMPRODUCT(((Recommendations[ImplStatus]="Implemented")+(Recommendations[ImplStatus]="Compensated"))*ISNUMBER(MATCH(Recommendations[Id],H354:AU354,0)))/COUNTIF(H354:AU354,"&lt;&gt;"))</f>
        <v/>
      </c>
      <c r="H354" s="264"/>
      <c r="I354" s="264"/>
      <c r="J354" s="264"/>
      <c r="K354" s="264"/>
      <c r="L354" s="264"/>
      <c r="M354" s="264"/>
      <c r="N354" s="264"/>
      <c r="O354" s="264"/>
      <c r="P354" s="264"/>
      <c r="Q354" s="264"/>
      <c r="R354" s="264"/>
      <c r="S354" s="264"/>
      <c r="T354" s="264"/>
      <c r="U354" s="264"/>
      <c r="V354" s="264"/>
      <c r="W354" s="264"/>
      <c r="X354" s="264"/>
      <c r="Y354" s="264"/>
      <c r="Z354" s="264"/>
      <c r="AA354" s="264"/>
      <c r="AB354" s="264"/>
      <c r="AC354" s="264"/>
      <c r="AD354" s="264"/>
      <c r="AE354" s="264"/>
      <c r="AF354" s="264"/>
      <c r="AG354" s="264"/>
      <c r="AH354" s="264"/>
      <c r="AI354" s="264"/>
      <c r="AJ354" s="264"/>
      <c r="AK354" s="264"/>
      <c r="AL354" s="264"/>
      <c r="AM354" s="264"/>
      <c r="AN354" s="264"/>
      <c r="AO354" s="264"/>
      <c r="AP354" s="264"/>
      <c r="AQ354" s="264"/>
      <c r="AR354" s="264"/>
      <c r="AS354" s="264"/>
      <c r="AT354" s="264"/>
      <c r="AU354" s="282"/>
    </row>
    <row r="355" spans="1:47" ht="60" customHeight="1" x14ac:dyDescent="0.35">
      <c r="A355" s="279" t="s">
        <v>7073</v>
      </c>
      <c r="B355" s="257" t="s">
        <v>7233</v>
      </c>
      <c r="C355" s="258" t="s">
        <v>7234</v>
      </c>
      <c r="D355" s="261" t="s">
        <v>7235</v>
      </c>
      <c r="E355" s="262" t="s">
        <v>6618</v>
      </c>
      <c r="F355" s="265" t="s">
        <v>7236</v>
      </c>
      <c r="G355" s="268">
        <f>IF(COUNTIF(H355:AU355,"&lt;&gt;")=0,"",SUMPRODUCT(((Recommendations[ImplStatus]="Implemented")+(Recommendations[ImplStatus]="Compensated"))*ISNUMBER(MATCH(Recommendations[Id],H355:AU355,0)))/COUNTIF(H355:AU355,"&lt;&gt;"))</f>
        <v>0</v>
      </c>
      <c r="H355" s="269" t="s">
        <v>1080</v>
      </c>
      <c r="I355" s="269" t="s">
        <v>1249</v>
      </c>
      <c r="J355" s="269"/>
      <c r="K355" s="269"/>
      <c r="L355" s="269"/>
      <c r="M355" s="269"/>
      <c r="N355" s="269"/>
      <c r="O355" s="269"/>
      <c r="P355" s="269"/>
      <c r="Q355" s="269"/>
      <c r="R355" s="269"/>
      <c r="S355" s="269"/>
      <c r="T355" s="269"/>
      <c r="U355" s="269"/>
      <c r="V355" s="269"/>
      <c r="W355" s="269"/>
      <c r="X355" s="269"/>
      <c r="Y355" s="269"/>
      <c r="Z355" s="269"/>
      <c r="AA355" s="269"/>
      <c r="AB355" s="269"/>
      <c r="AC355" s="269"/>
      <c r="AD355" s="269"/>
      <c r="AE355" s="269"/>
      <c r="AF355" s="269"/>
      <c r="AG355" s="269"/>
      <c r="AH355" s="269"/>
      <c r="AI355" s="269"/>
      <c r="AJ355" s="269"/>
      <c r="AK355" s="269"/>
      <c r="AL355" s="269"/>
      <c r="AM355" s="269"/>
      <c r="AN355" s="269"/>
      <c r="AO355" s="269"/>
      <c r="AP355" s="269"/>
      <c r="AQ355" s="269"/>
      <c r="AR355" s="269"/>
      <c r="AS355" s="269"/>
      <c r="AT355" s="269"/>
      <c r="AU355" s="283"/>
    </row>
    <row r="356" spans="1:47" ht="60" customHeight="1" x14ac:dyDescent="0.35">
      <c r="A356" s="279" t="s">
        <v>7073</v>
      </c>
      <c r="B356" s="257" t="s">
        <v>7233</v>
      </c>
      <c r="C356" s="258" t="s">
        <v>7237</v>
      </c>
      <c r="D356" s="261" t="s">
        <v>7238</v>
      </c>
      <c r="E356" s="262" t="s">
        <v>6618</v>
      </c>
      <c r="F356" s="265" t="s">
        <v>7236</v>
      </c>
      <c r="G356" s="268">
        <f>IF(COUNTIF(H356:AU356,"&lt;&gt;")=0,"",SUMPRODUCT(((Recommendations[ImplStatus]="Implemented")+(Recommendations[ImplStatus]="Compensated"))*ISNUMBER(MATCH(Recommendations[Id],H356:AU356,0)))/COUNTIF(H356:AU356,"&lt;&gt;"))</f>
        <v>0</v>
      </c>
      <c r="H356" s="269" t="s">
        <v>13</v>
      </c>
      <c r="I356" s="269" t="s">
        <v>23</v>
      </c>
      <c r="J356" s="269" t="s">
        <v>53</v>
      </c>
      <c r="K356" s="269" t="s">
        <v>67</v>
      </c>
      <c r="L356" s="269" t="s">
        <v>72</v>
      </c>
      <c r="M356" s="269" t="s">
        <v>77</v>
      </c>
      <c r="N356" s="269" t="s">
        <v>102</v>
      </c>
      <c r="O356" s="269" t="s">
        <v>107</v>
      </c>
      <c r="P356" s="269" t="s">
        <v>116</v>
      </c>
      <c r="Q356" s="269" t="s">
        <v>139</v>
      </c>
      <c r="R356" s="269" t="s">
        <v>144</v>
      </c>
      <c r="S356" s="269" t="s">
        <v>288</v>
      </c>
      <c r="T356" s="269" t="s">
        <v>318</v>
      </c>
      <c r="U356" s="269" t="s">
        <v>328</v>
      </c>
      <c r="V356" s="269" t="s">
        <v>405</v>
      </c>
      <c r="W356" s="269" t="s">
        <v>422</v>
      </c>
      <c r="X356" s="269" t="s">
        <v>441</v>
      </c>
      <c r="Y356" s="269" t="s">
        <v>451</v>
      </c>
      <c r="Z356" s="269" t="s">
        <v>456</v>
      </c>
      <c r="AA356" s="269" t="s">
        <v>478</v>
      </c>
      <c r="AB356" s="269" t="s">
        <v>627</v>
      </c>
      <c r="AC356" s="269" t="s">
        <v>631</v>
      </c>
      <c r="AD356" s="269" t="s">
        <v>636</v>
      </c>
      <c r="AE356" s="269" t="s">
        <v>640</v>
      </c>
      <c r="AF356" s="269" t="s">
        <v>807</v>
      </c>
      <c r="AG356" s="269" t="s">
        <v>812</v>
      </c>
      <c r="AH356" s="269" t="s">
        <v>878</v>
      </c>
      <c r="AI356" s="269" t="s">
        <v>883</v>
      </c>
      <c r="AJ356" s="269" t="s">
        <v>906</v>
      </c>
      <c r="AK356" s="269" t="s">
        <v>916</v>
      </c>
      <c r="AL356" s="269" t="s">
        <v>956</v>
      </c>
      <c r="AM356" s="269" t="s">
        <v>961</v>
      </c>
      <c r="AN356" s="269" t="s">
        <v>965</v>
      </c>
      <c r="AO356" s="269" t="s">
        <v>970</v>
      </c>
      <c r="AP356" s="269" t="s">
        <v>975</v>
      </c>
      <c r="AQ356" s="269" t="s">
        <v>979</v>
      </c>
      <c r="AR356" s="269" t="s">
        <v>983</v>
      </c>
      <c r="AS356" s="269" t="s">
        <v>987</v>
      </c>
      <c r="AT356" s="269" t="s">
        <v>992</v>
      </c>
      <c r="AU356" s="283" t="s">
        <v>997</v>
      </c>
    </row>
    <row r="357" spans="1:47" ht="60" customHeight="1" x14ac:dyDescent="0.35">
      <c r="A357" s="279" t="s">
        <v>7073</v>
      </c>
      <c r="B357" s="257" t="s">
        <v>7233</v>
      </c>
      <c r="C357" s="258" t="s">
        <v>7239</v>
      </c>
      <c r="D357" s="261" t="s">
        <v>7240</v>
      </c>
      <c r="E357" s="262" t="s">
        <v>6666</v>
      </c>
      <c r="F357" s="265" t="s">
        <v>7236</v>
      </c>
      <c r="G357" s="268" t="str">
        <f>IF(COUNTIF(H357:AU357,"&lt;&gt;")=0,"",SUMPRODUCT(((Recommendations[ImplStatus]="Implemented")+(Recommendations[ImplStatus]="Compensated"))*ISNUMBER(MATCH(Recommendations[Id],H357:AU357,0)))/COUNTIF(H357:AU357,"&lt;&gt;"))</f>
        <v/>
      </c>
      <c r="H357" s="269"/>
      <c r="I357" s="269"/>
      <c r="J357" s="269"/>
      <c r="K357" s="269"/>
      <c r="L357" s="269"/>
      <c r="M357" s="269"/>
      <c r="N357" s="269"/>
      <c r="O357" s="269"/>
      <c r="P357" s="269"/>
      <c r="Q357" s="269"/>
      <c r="R357" s="269"/>
      <c r="S357" s="269"/>
      <c r="T357" s="269"/>
      <c r="U357" s="269"/>
      <c r="V357" s="269"/>
      <c r="W357" s="269"/>
      <c r="X357" s="269"/>
      <c r="Y357" s="269"/>
      <c r="Z357" s="269"/>
      <c r="AA357" s="269"/>
      <c r="AB357" s="269"/>
      <c r="AC357" s="269"/>
      <c r="AD357" s="269"/>
      <c r="AE357" s="269"/>
      <c r="AF357" s="269"/>
      <c r="AG357" s="269"/>
      <c r="AH357" s="269"/>
      <c r="AI357" s="269"/>
      <c r="AJ357" s="269"/>
      <c r="AK357" s="269"/>
      <c r="AL357" s="269"/>
      <c r="AM357" s="269"/>
      <c r="AN357" s="269"/>
      <c r="AO357" s="269"/>
      <c r="AP357" s="269"/>
      <c r="AQ357" s="269"/>
      <c r="AR357" s="269"/>
      <c r="AS357" s="269"/>
      <c r="AT357" s="269"/>
      <c r="AU357" s="283"/>
    </row>
    <row r="358" spans="1:47" ht="60" customHeight="1" x14ac:dyDescent="0.35">
      <c r="A358" s="279" t="s">
        <v>7073</v>
      </c>
      <c r="B358" s="257" t="s">
        <v>7233</v>
      </c>
      <c r="C358" s="258" t="s">
        <v>7241</v>
      </c>
      <c r="D358" s="261" t="s">
        <v>7242</v>
      </c>
      <c r="E358" s="262" t="s">
        <v>6666</v>
      </c>
      <c r="F358" s="265" t="s">
        <v>7236</v>
      </c>
      <c r="G358" s="268" t="str">
        <f>IF(COUNTIF(H358:AU358,"&lt;&gt;")=0,"",SUMPRODUCT(((Recommendations[ImplStatus]="Implemented")+(Recommendations[ImplStatus]="Compensated"))*ISNUMBER(MATCH(Recommendations[Id],H358:AU358,0)))/COUNTIF(H358:AU358,"&lt;&gt;"))</f>
        <v/>
      </c>
      <c r="H358" s="269"/>
      <c r="I358" s="269"/>
      <c r="J358" s="269"/>
      <c r="K358" s="269"/>
      <c r="L358" s="269"/>
      <c r="M358" s="269"/>
      <c r="N358" s="269"/>
      <c r="O358" s="269"/>
      <c r="P358" s="269"/>
      <c r="Q358" s="269"/>
      <c r="R358" s="269"/>
      <c r="S358" s="269"/>
      <c r="T358" s="269"/>
      <c r="U358" s="269"/>
      <c r="V358" s="269"/>
      <c r="W358" s="269"/>
      <c r="X358" s="269"/>
      <c r="Y358" s="269"/>
      <c r="Z358" s="269"/>
      <c r="AA358" s="269"/>
      <c r="AB358" s="269"/>
      <c r="AC358" s="269"/>
      <c r="AD358" s="269"/>
      <c r="AE358" s="269"/>
      <c r="AF358" s="269"/>
      <c r="AG358" s="269"/>
      <c r="AH358" s="269"/>
      <c r="AI358" s="269"/>
      <c r="AJ358" s="269"/>
      <c r="AK358" s="269"/>
      <c r="AL358" s="269"/>
      <c r="AM358" s="269"/>
      <c r="AN358" s="269"/>
      <c r="AO358" s="269"/>
      <c r="AP358" s="269"/>
      <c r="AQ358" s="269"/>
      <c r="AR358" s="269"/>
      <c r="AS358" s="269"/>
      <c r="AT358" s="269"/>
      <c r="AU358" s="283"/>
    </row>
    <row r="359" spans="1:47" ht="60" customHeight="1" x14ac:dyDescent="0.35">
      <c r="A359" s="279" t="s">
        <v>7073</v>
      </c>
      <c r="B359" s="257" t="s">
        <v>7233</v>
      </c>
      <c r="C359" s="258" t="s">
        <v>7243</v>
      </c>
      <c r="D359" s="261" t="s">
        <v>7244</v>
      </c>
      <c r="E359" s="262" t="s">
        <v>6666</v>
      </c>
      <c r="F359" s="265" t="s">
        <v>7236</v>
      </c>
      <c r="G359" s="268" t="str">
        <f>IF(COUNTIF(H359:AU359,"&lt;&gt;")=0,"",SUMPRODUCT(((Recommendations[ImplStatus]="Implemented")+(Recommendations[ImplStatus]="Compensated"))*ISNUMBER(MATCH(Recommendations[Id],H359:AU359,0)))/COUNTIF(H359:AU359,"&lt;&gt;"))</f>
        <v/>
      </c>
      <c r="H359" s="269"/>
      <c r="I359" s="269"/>
      <c r="J359" s="269"/>
      <c r="K359" s="269"/>
      <c r="L359" s="269"/>
      <c r="M359" s="269"/>
      <c r="N359" s="269"/>
      <c r="O359" s="269"/>
      <c r="P359" s="269"/>
      <c r="Q359" s="269"/>
      <c r="R359" s="269"/>
      <c r="S359" s="269"/>
      <c r="T359" s="269"/>
      <c r="U359" s="269"/>
      <c r="V359" s="269"/>
      <c r="W359" s="269"/>
      <c r="X359" s="269"/>
      <c r="Y359" s="269"/>
      <c r="Z359" s="269"/>
      <c r="AA359" s="269"/>
      <c r="AB359" s="269"/>
      <c r="AC359" s="269"/>
      <c r="AD359" s="269"/>
      <c r="AE359" s="269"/>
      <c r="AF359" s="269"/>
      <c r="AG359" s="269"/>
      <c r="AH359" s="269"/>
      <c r="AI359" s="269"/>
      <c r="AJ359" s="269"/>
      <c r="AK359" s="269"/>
      <c r="AL359" s="269"/>
      <c r="AM359" s="269"/>
      <c r="AN359" s="269"/>
      <c r="AO359" s="269"/>
      <c r="AP359" s="269"/>
      <c r="AQ359" s="269"/>
      <c r="AR359" s="269"/>
      <c r="AS359" s="269"/>
      <c r="AT359" s="269"/>
      <c r="AU359" s="283"/>
    </row>
    <row r="360" spans="1:47" ht="60" customHeight="1" x14ac:dyDescent="0.35">
      <c r="A360" s="279" t="s">
        <v>7073</v>
      </c>
      <c r="B360" s="257" t="s">
        <v>7233</v>
      </c>
      <c r="C360" s="258" t="s">
        <v>7245</v>
      </c>
      <c r="D360" s="261" t="s">
        <v>7246</v>
      </c>
      <c r="E360" s="262" t="s">
        <v>6618</v>
      </c>
      <c r="F360" s="265" t="s">
        <v>7236</v>
      </c>
      <c r="G360" s="268">
        <f>IF(COUNTIF(H360:AU360,"&lt;&gt;")=0,"",SUMPRODUCT(((Recommendations[ImplStatus]="Implemented")+(Recommendations[ImplStatus]="Compensated"))*ISNUMBER(MATCH(Recommendations[Id],H360:AU360,0)))/COUNTIF(H360:AU360,"&lt;&gt;"))</f>
        <v>0</v>
      </c>
      <c r="H360" s="269" t="s">
        <v>911</v>
      </c>
      <c r="I360" s="269" t="s">
        <v>1209</v>
      </c>
      <c r="J360" s="269" t="s">
        <v>1214</v>
      </c>
      <c r="K360" s="269" t="s">
        <v>1229</v>
      </c>
      <c r="L360" s="269" t="s">
        <v>1234</v>
      </c>
      <c r="M360" s="269"/>
      <c r="N360" s="269"/>
      <c r="O360" s="269"/>
      <c r="P360" s="269"/>
      <c r="Q360" s="269"/>
      <c r="R360" s="269"/>
      <c r="S360" s="269"/>
      <c r="T360" s="269"/>
      <c r="U360" s="269"/>
      <c r="V360" s="269"/>
      <c r="W360" s="269"/>
      <c r="X360" s="269"/>
      <c r="Y360" s="269"/>
      <c r="Z360" s="269"/>
      <c r="AA360" s="269"/>
      <c r="AB360" s="269"/>
      <c r="AC360" s="269"/>
      <c r="AD360" s="269"/>
      <c r="AE360" s="269"/>
      <c r="AF360" s="269"/>
      <c r="AG360" s="269"/>
      <c r="AH360" s="269"/>
      <c r="AI360" s="269"/>
      <c r="AJ360" s="269"/>
      <c r="AK360" s="269"/>
      <c r="AL360" s="269"/>
      <c r="AM360" s="269"/>
      <c r="AN360" s="269"/>
      <c r="AO360" s="269"/>
      <c r="AP360" s="269"/>
      <c r="AQ360" s="269"/>
      <c r="AR360" s="269"/>
      <c r="AS360" s="269"/>
      <c r="AT360" s="269"/>
      <c r="AU360" s="283"/>
    </row>
    <row r="361" spans="1:47" ht="60" customHeight="1" x14ac:dyDescent="0.35">
      <c r="A361" s="279" t="s">
        <v>7073</v>
      </c>
      <c r="B361" s="257" t="s">
        <v>7233</v>
      </c>
      <c r="C361" s="258" t="s">
        <v>7247</v>
      </c>
      <c r="D361" s="261" t="s">
        <v>7248</v>
      </c>
      <c r="E361" s="262" t="s">
        <v>6551</v>
      </c>
      <c r="F361" s="265" t="s">
        <v>7236</v>
      </c>
      <c r="G361" s="268">
        <f>IF(COUNTIF(H361:AU361,"&lt;&gt;")=0,"",SUMPRODUCT(((Recommendations[ImplStatus]="Implemented")+(Recommendations[ImplStatus]="Compensated"))*ISNUMBER(MATCH(Recommendations[Id],H361:AU361,0)))/COUNTIF(H361:AU361,"&lt;&gt;"))</f>
        <v>0</v>
      </c>
      <c r="H361" s="269" t="s">
        <v>174</v>
      </c>
      <c r="I361" s="269" t="s">
        <v>179</v>
      </c>
      <c r="J361" s="269" t="s">
        <v>183</v>
      </c>
      <c r="K361" s="269" t="s">
        <v>187</v>
      </c>
      <c r="L361" s="269" t="s">
        <v>191</v>
      </c>
      <c r="M361" s="269" t="s">
        <v>195</v>
      </c>
      <c r="N361" s="269" t="s">
        <v>921</v>
      </c>
      <c r="O361" s="269" t="s">
        <v>926</v>
      </c>
      <c r="P361" s="269" t="s">
        <v>930</v>
      </c>
      <c r="Q361" s="269" t="s">
        <v>934</v>
      </c>
      <c r="R361" s="269" t="s">
        <v>938</v>
      </c>
      <c r="S361" s="269" t="s">
        <v>942</v>
      </c>
      <c r="T361" s="269" t="s">
        <v>947</v>
      </c>
      <c r="U361" s="269" t="s">
        <v>952</v>
      </c>
      <c r="V361" s="269" t="s">
        <v>1184</v>
      </c>
      <c r="W361" s="269" t="s">
        <v>1189</v>
      </c>
      <c r="X361" s="269" t="s">
        <v>1194</v>
      </c>
      <c r="Y361" s="269" t="s">
        <v>1199</v>
      </c>
      <c r="Z361" s="269"/>
      <c r="AA361" s="269"/>
      <c r="AB361" s="269"/>
      <c r="AC361" s="269"/>
      <c r="AD361" s="269"/>
      <c r="AE361" s="269"/>
      <c r="AF361" s="269"/>
      <c r="AG361" s="269"/>
      <c r="AH361" s="269"/>
      <c r="AI361" s="269"/>
      <c r="AJ361" s="269"/>
      <c r="AK361" s="269"/>
      <c r="AL361" s="269"/>
      <c r="AM361" s="269"/>
      <c r="AN361" s="269"/>
      <c r="AO361" s="269"/>
      <c r="AP361" s="269"/>
      <c r="AQ361" s="269"/>
      <c r="AR361" s="269"/>
      <c r="AS361" s="269"/>
      <c r="AT361" s="269"/>
      <c r="AU361" s="283"/>
    </row>
    <row r="362" spans="1:47" ht="60" customHeight="1" x14ac:dyDescent="0.35">
      <c r="A362" s="279" t="s">
        <v>7073</v>
      </c>
      <c r="B362" s="257" t="s">
        <v>7233</v>
      </c>
      <c r="C362" s="258" t="s">
        <v>7249</v>
      </c>
      <c r="D362" s="261" t="s">
        <v>7250</v>
      </c>
      <c r="E362" s="262" t="s">
        <v>6666</v>
      </c>
      <c r="F362" s="265" t="s">
        <v>7236</v>
      </c>
      <c r="G362" s="268">
        <f>IF(COUNTIF(H362:AU362,"&lt;&gt;")=0,"",SUMPRODUCT(((Recommendations[ImplStatus]="Implemented")+(Recommendations[ImplStatus]="Compensated"))*ISNUMBER(MATCH(Recommendations[Id],H362:AU362,0)))/COUNTIF(H362:AU362,"&lt;&gt;"))</f>
        <v>0</v>
      </c>
      <c r="H362" s="269" t="s">
        <v>888</v>
      </c>
      <c r="I362" s="269" t="s">
        <v>893</v>
      </c>
      <c r="J362" s="269" t="s">
        <v>897</v>
      </c>
      <c r="K362" s="269" t="s">
        <v>901</v>
      </c>
      <c r="L362" s="269" t="s">
        <v>1244</v>
      </c>
      <c r="M362" s="269"/>
      <c r="N362" s="269"/>
      <c r="O362" s="269"/>
      <c r="P362" s="269"/>
      <c r="Q362" s="269"/>
      <c r="R362" s="269"/>
      <c r="S362" s="269"/>
      <c r="T362" s="269"/>
      <c r="U362" s="269"/>
      <c r="V362" s="269"/>
      <c r="W362" s="269"/>
      <c r="X362" s="269"/>
      <c r="Y362" s="269"/>
      <c r="Z362" s="269"/>
      <c r="AA362" s="269"/>
      <c r="AB362" s="269"/>
      <c r="AC362" s="269"/>
      <c r="AD362" s="269"/>
      <c r="AE362" s="269"/>
      <c r="AF362" s="269"/>
      <c r="AG362" s="269"/>
      <c r="AH362" s="269"/>
      <c r="AI362" s="269"/>
      <c r="AJ362" s="269"/>
      <c r="AK362" s="269"/>
      <c r="AL362" s="269"/>
      <c r="AM362" s="269"/>
      <c r="AN362" s="269"/>
      <c r="AO362" s="269"/>
      <c r="AP362" s="269"/>
      <c r="AQ362" s="269"/>
      <c r="AR362" s="269"/>
      <c r="AS362" s="269"/>
      <c r="AT362" s="269"/>
      <c r="AU362" s="283"/>
    </row>
    <row r="363" spans="1:47" ht="60" customHeight="1" x14ac:dyDescent="0.35">
      <c r="A363" s="279" t="s">
        <v>7073</v>
      </c>
      <c r="B363" s="257" t="s">
        <v>7233</v>
      </c>
      <c r="C363" s="258" t="s">
        <v>7251</v>
      </c>
      <c r="D363" s="261" t="s">
        <v>7252</v>
      </c>
      <c r="E363" s="262" t="s">
        <v>6666</v>
      </c>
      <c r="F363" s="265" t="s">
        <v>7236</v>
      </c>
      <c r="G363" s="268" t="str">
        <f>IF(COUNTIF(H363:AU363,"&lt;&gt;")=0,"",SUMPRODUCT(((Recommendations[ImplStatus]="Implemented")+(Recommendations[ImplStatus]="Compensated"))*ISNUMBER(MATCH(Recommendations[Id],H363:AU363,0)))/COUNTIF(H363:AU363,"&lt;&gt;"))</f>
        <v/>
      </c>
      <c r="H363" s="269"/>
      <c r="I363" s="269"/>
      <c r="J363" s="269"/>
      <c r="K363" s="269"/>
      <c r="L363" s="269"/>
      <c r="M363" s="269"/>
      <c r="N363" s="269"/>
      <c r="O363" s="269"/>
      <c r="P363" s="269"/>
      <c r="Q363" s="269"/>
      <c r="R363" s="269"/>
      <c r="S363" s="269"/>
      <c r="T363" s="269"/>
      <c r="U363" s="269"/>
      <c r="V363" s="269"/>
      <c r="W363" s="269"/>
      <c r="X363" s="269"/>
      <c r="Y363" s="269"/>
      <c r="Z363" s="269"/>
      <c r="AA363" s="269"/>
      <c r="AB363" s="269"/>
      <c r="AC363" s="269"/>
      <c r="AD363" s="269"/>
      <c r="AE363" s="269"/>
      <c r="AF363" s="269"/>
      <c r="AG363" s="269"/>
      <c r="AH363" s="269"/>
      <c r="AI363" s="269"/>
      <c r="AJ363" s="269"/>
      <c r="AK363" s="269"/>
      <c r="AL363" s="269"/>
      <c r="AM363" s="269"/>
      <c r="AN363" s="269"/>
      <c r="AO363" s="269"/>
      <c r="AP363" s="269"/>
      <c r="AQ363" s="269"/>
      <c r="AR363" s="269"/>
      <c r="AS363" s="269"/>
      <c r="AT363" s="269"/>
      <c r="AU363" s="283"/>
    </row>
    <row r="364" spans="1:47" ht="60" customHeight="1" x14ac:dyDescent="0.35">
      <c r="A364" s="279" t="s">
        <v>7073</v>
      </c>
      <c r="B364" s="257" t="s">
        <v>7233</v>
      </c>
      <c r="C364" s="258" t="s">
        <v>7253</v>
      </c>
      <c r="D364" s="261" t="s">
        <v>7254</v>
      </c>
      <c r="E364" s="262" t="s">
        <v>6666</v>
      </c>
      <c r="F364" s="265" t="s">
        <v>7236</v>
      </c>
      <c r="G364" s="268" t="str">
        <f>IF(COUNTIF(H364:AU364,"&lt;&gt;")=0,"",SUMPRODUCT(((Recommendations[ImplStatus]="Implemented")+(Recommendations[ImplStatus]="Compensated"))*ISNUMBER(MATCH(Recommendations[Id],H364:AU364,0)))/COUNTIF(H364:AU364,"&lt;&gt;"))</f>
        <v/>
      </c>
      <c r="H364" s="269"/>
      <c r="I364" s="269"/>
      <c r="J364" s="269"/>
      <c r="K364" s="269"/>
      <c r="L364" s="269"/>
      <c r="M364" s="269"/>
      <c r="N364" s="269"/>
      <c r="O364" s="269"/>
      <c r="P364" s="269"/>
      <c r="Q364" s="269"/>
      <c r="R364" s="269"/>
      <c r="S364" s="269"/>
      <c r="T364" s="269"/>
      <c r="U364" s="269"/>
      <c r="V364" s="269"/>
      <c r="W364" s="269"/>
      <c r="X364" s="269"/>
      <c r="Y364" s="269"/>
      <c r="Z364" s="269"/>
      <c r="AA364" s="269"/>
      <c r="AB364" s="269"/>
      <c r="AC364" s="269"/>
      <c r="AD364" s="269"/>
      <c r="AE364" s="269"/>
      <c r="AF364" s="269"/>
      <c r="AG364" s="269"/>
      <c r="AH364" s="269"/>
      <c r="AI364" s="269"/>
      <c r="AJ364" s="269"/>
      <c r="AK364" s="269"/>
      <c r="AL364" s="269"/>
      <c r="AM364" s="269"/>
      <c r="AN364" s="269"/>
      <c r="AO364" s="269"/>
      <c r="AP364" s="269"/>
      <c r="AQ364" s="269"/>
      <c r="AR364" s="269"/>
      <c r="AS364" s="269"/>
      <c r="AT364" s="269"/>
      <c r="AU364" s="283"/>
    </row>
    <row r="365" spans="1:47" ht="60" customHeight="1" x14ac:dyDescent="0.35">
      <c r="A365" s="279" t="s">
        <v>7073</v>
      </c>
      <c r="B365" s="257" t="s">
        <v>7233</v>
      </c>
      <c r="C365" s="258" t="s">
        <v>7255</v>
      </c>
      <c r="D365" s="261" t="s">
        <v>7256</v>
      </c>
      <c r="E365" s="262" t="s">
        <v>6666</v>
      </c>
      <c r="F365" s="265" t="s">
        <v>7236</v>
      </c>
      <c r="G365" s="268" t="str">
        <f>IF(COUNTIF(H365:AU365,"&lt;&gt;")=0,"",SUMPRODUCT(((Recommendations[ImplStatus]="Implemented")+(Recommendations[ImplStatus]="Compensated"))*ISNUMBER(MATCH(Recommendations[Id],H365:AU365,0)))/COUNTIF(H365:AU365,"&lt;&gt;"))</f>
        <v/>
      </c>
      <c r="H365" s="269"/>
      <c r="I365" s="269"/>
      <c r="J365" s="269"/>
      <c r="K365" s="269"/>
      <c r="L365" s="269"/>
      <c r="M365" s="269"/>
      <c r="N365" s="269"/>
      <c r="O365" s="269"/>
      <c r="P365" s="269"/>
      <c r="Q365" s="269"/>
      <c r="R365" s="269"/>
      <c r="S365" s="269"/>
      <c r="T365" s="269"/>
      <c r="U365" s="269"/>
      <c r="V365" s="269"/>
      <c r="W365" s="269"/>
      <c r="X365" s="269"/>
      <c r="Y365" s="269"/>
      <c r="Z365" s="269"/>
      <c r="AA365" s="269"/>
      <c r="AB365" s="269"/>
      <c r="AC365" s="269"/>
      <c r="AD365" s="269"/>
      <c r="AE365" s="269"/>
      <c r="AF365" s="269"/>
      <c r="AG365" s="269"/>
      <c r="AH365" s="269"/>
      <c r="AI365" s="269"/>
      <c r="AJ365" s="269"/>
      <c r="AK365" s="269"/>
      <c r="AL365" s="269"/>
      <c r="AM365" s="269"/>
      <c r="AN365" s="269"/>
      <c r="AO365" s="269"/>
      <c r="AP365" s="269"/>
      <c r="AQ365" s="269"/>
      <c r="AR365" s="269"/>
      <c r="AS365" s="269"/>
      <c r="AT365" s="269"/>
      <c r="AU365" s="283"/>
    </row>
    <row r="366" spans="1:47" ht="60" customHeight="1" x14ac:dyDescent="0.35">
      <c r="A366" s="279" t="s">
        <v>7073</v>
      </c>
      <c r="B366" s="257" t="s">
        <v>7233</v>
      </c>
      <c r="C366" s="258" t="s">
        <v>7257</v>
      </c>
      <c r="D366" s="261" t="s">
        <v>7258</v>
      </c>
      <c r="E366" s="262" t="s">
        <v>6666</v>
      </c>
      <c r="F366" s="265" t="s">
        <v>7236</v>
      </c>
      <c r="G366" s="268" t="str">
        <f>IF(COUNTIF(H366:AU366,"&lt;&gt;")=0,"",SUMPRODUCT(((Recommendations[ImplStatus]="Implemented")+(Recommendations[ImplStatus]="Compensated"))*ISNUMBER(MATCH(Recommendations[Id],H366:AU366,0)))/COUNTIF(H366:AU366,"&lt;&gt;"))</f>
        <v/>
      </c>
      <c r="H366" s="269"/>
      <c r="I366" s="269"/>
      <c r="J366" s="269"/>
      <c r="K366" s="269"/>
      <c r="L366" s="269"/>
      <c r="M366" s="269"/>
      <c r="N366" s="269"/>
      <c r="O366" s="269"/>
      <c r="P366" s="269"/>
      <c r="Q366" s="269"/>
      <c r="R366" s="269"/>
      <c r="S366" s="269"/>
      <c r="T366" s="269"/>
      <c r="U366" s="269"/>
      <c r="V366" s="269"/>
      <c r="W366" s="269"/>
      <c r="X366" s="269"/>
      <c r="Y366" s="269"/>
      <c r="Z366" s="269"/>
      <c r="AA366" s="269"/>
      <c r="AB366" s="269"/>
      <c r="AC366" s="269"/>
      <c r="AD366" s="269"/>
      <c r="AE366" s="269"/>
      <c r="AF366" s="269"/>
      <c r="AG366" s="269"/>
      <c r="AH366" s="269"/>
      <c r="AI366" s="269"/>
      <c r="AJ366" s="269"/>
      <c r="AK366" s="269"/>
      <c r="AL366" s="269"/>
      <c r="AM366" s="269"/>
      <c r="AN366" s="269"/>
      <c r="AO366" s="269"/>
      <c r="AP366" s="269"/>
      <c r="AQ366" s="269"/>
      <c r="AR366" s="269"/>
      <c r="AS366" s="269"/>
      <c r="AT366" s="269"/>
      <c r="AU366" s="283"/>
    </row>
    <row r="367" spans="1:47" ht="60" customHeight="1" x14ac:dyDescent="0.35">
      <c r="A367" s="279" t="s">
        <v>7073</v>
      </c>
      <c r="B367" s="257" t="s">
        <v>7233</v>
      </c>
      <c r="C367" s="258" t="s">
        <v>7259</v>
      </c>
      <c r="D367" s="261" t="s">
        <v>7260</v>
      </c>
      <c r="E367" s="262" t="s">
        <v>6666</v>
      </c>
      <c r="F367" s="265" t="s">
        <v>7236</v>
      </c>
      <c r="G367" s="268" t="str">
        <f>IF(COUNTIF(H367:AU367,"&lt;&gt;")=0,"",SUMPRODUCT(((Recommendations[ImplStatus]="Implemented")+(Recommendations[ImplStatus]="Compensated"))*ISNUMBER(MATCH(Recommendations[Id],H367:AU367,0)))/COUNTIF(H367:AU367,"&lt;&gt;"))</f>
        <v/>
      </c>
      <c r="H367" s="269"/>
      <c r="I367" s="269"/>
      <c r="J367" s="269"/>
      <c r="K367" s="269"/>
      <c r="L367" s="269"/>
      <c r="M367" s="269"/>
      <c r="N367" s="269"/>
      <c r="O367" s="269"/>
      <c r="P367" s="269"/>
      <c r="Q367" s="269"/>
      <c r="R367" s="269"/>
      <c r="S367" s="269"/>
      <c r="T367" s="269"/>
      <c r="U367" s="269"/>
      <c r="V367" s="269"/>
      <c r="W367" s="269"/>
      <c r="X367" s="269"/>
      <c r="Y367" s="269"/>
      <c r="Z367" s="269"/>
      <c r="AA367" s="269"/>
      <c r="AB367" s="269"/>
      <c r="AC367" s="269"/>
      <c r="AD367" s="269"/>
      <c r="AE367" s="269"/>
      <c r="AF367" s="269"/>
      <c r="AG367" s="269"/>
      <c r="AH367" s="269"/>
      <c r="AI367" s="269"/>
      <c r="AJ367" s="269"/>
      <c r="AK367" s="269"/>
      <c r="AL367" s="269"/>
      <c r="AM367" s="269"/>
      <c r="AN367" s="269"/>
      <c r="AO367" s="269"/>
      <c r="AP367" s="269"/>
      <c r="AQ367" s="269"/>
      <c r="AR367" s="269"/>
      <c r="AS367" s="269"/>
      <c r="AT367" s="269"/>
      <c r="AU367" s="283"/>
    </row>
    <row r="368" spans="1:47" ht="60" customHeight="1" x14ac:dyDescent="0.35">
      <c r="A368" s="279" t="s">
        <v>7073</v>
      </c>
      <c r="B368" s="257" t="s">
        <v>7233</v>
      </c>
      <c r="C368" s="258" t="s">
        <v>7261</v>
      </c>
      <c r="D368" s="261" t="s">
        <v>7262</v>
      </c>
      <c r="E368" s="262" t="s">
        <v>6666</v>
      </c>
      <c r="F368" s="265" t="s">
        <v>7236</v>
      </c>
      <c r="G368" s="268" t="str">
        <f>IF(COUNTIF(H368:AU368,"&lt;&gt;")=0,"",SUMPRODUCT(((Recommendations[ImplStatus]="Implemented")+(Recommendations[ImplStatus]="Compensated"))*ISNUMBER(MATCH(Recommendations[Id],H368:AU368,0)))/COUNTIF(H368:AU368,"&lt;&gt;"))</f>
        <v/>
      </c>
      <c r="H368" s="269"/>
      <c r="I368" s="269"/>
      <c r="J368" s="269"/>
      <c r="K368" s="269"/>
      <c r="L368" s="269"/>
      <c r="M368" s="269"/>
      <c r="N368" s="269"/>
      <c r="O368" s="269"/>
      <c r="P368" s="269"/>
      <c r="Q368" s="269"/>
      <c r="R368" s="269"/>
      <c r="S368" s="269"/>
      <c r="T368" s="269"/>
      <c r="U368" s="269"/>
      <c r="V368" s="269"/>
      <c r="W368" s="269"/>
      <c r="X368" s="269"/>
      <c r="Y368" s="269"/>
      <c r="Z368" s="269"/>
      <c r="AA368" s="269"/>
      <c r="AB368" s="269"/>
      <c r="AC368" s="269"/>
      <c r="AD368" s="269"/>
      <c r="AE368" s="269"/>
      <c r="AF368" s="269"/>
      <c r="AG368" s="269"/>
      <c r="AH368" s="269"/>
      <c r="AI368" s="269"/>
      <c r="AJ368" s="269"/>
      <c r="AK368" s="269"/>
      <c r="AL368" s="269"/>
      <c r="AM368" s="269"/>
      <c r="AN368" s="269"/>
      <c r="AO368" s="269"/>
      <c r="AP368" s="269"/>
      <c r="AQ368" s="269"/>
      <c r="AR368" s="269"/>
      <c r="AS368" s="269"/>
      <c r="AT368" s="269"/>
      <c r="AU368" s="283"/>
    </row>
    <row r="369" spans="1:47" ht="60" customHeight="1" x14ac:dyDescent="0.35">
      <c r="A369" s="279" t="s">
        <v>7073</v>
      </c>
      <c r="B369" s="257" t="s">
        <v>7233</v>
      </c>
      <c r="C369" s="258" t="s">
        <v>7263</v>
      </c>
      <c r="D369" s="261" t="s">
        <v>7264</v>
      </c>
      <c r="E369" s="262" t="s">
        <v>6666</v>
      </c>
      <c r="F369" s="265" t="s">
        <v>7236</v>
      </c>
      <c r="G369" s="268" t="str">
        <f>IF(COUNTIF(H369:AU369,"&lt;&gt;")=0,"",SUMPRODUCT(((Recommendations[ImplStatus]="Implemented")+(Recommendations[ImplStatus]="Compensated"))*ISNUMBER(MATCH(Recommendations[Id],H369:AU369,0)))/COUNTIF(H369:AU369,"&lt;&gt;"))</f>
        <v/>
      </c>
      <c r="H369" s="269"/>
      <c r="I369" s="269"/>
      <c r="J369" s="269"/>
      <c r="K369" s="269"/>
      <c r="L369" s="269"/>
      <c r="M369" s="269"/>
      <c r="N369" s="269"/>
      <c r="O369" s="269"/>
      <c r="P369" s="269"/>
      <c r="Q369" s="269"/>
      <c r="R369" s="269"/>
      <c r="S369" s="269"/>
      <c r="T369" s="269"/>
      <c r="U369" s="269"/>
      <c r="V369" s="269"/>
      <c r="W369" s="269"/>
      <c r="X369" s="269"/>
      <c r="Y369" s="269"/>
      <c r="Z369" s="269"/>
      <c r="AA369" s="269"/>
      <c r="AB369" s="269"/>
      <c r="AC369" s="269"/>
      <c r="AD369" s="269"/>
      <c r="AE369" s="269"/>
      <c r="AF369" s="269"/>
      <c r="AG369" s="269"/>
      <c r="AH369" s="269"/>
      <c r="AI369" s="269"/>
      <c r="AJ369" s="269"/>
      <c r="AK369" s="269"/>
      <c r="AL369" s="269"/>
      <c r="AM369" s="269"/>
      <c r="AN369" s="269"/>
      <c r="AO369" s="269"/>
      <c r="AP369" s="269"/>
      <c r="AQ369" s="269"/>
      <c r="AR369" s="269"/>
      <c r="AS369" s="269"/>
      <c r="AT369" s="269"/>
      <c r="AU369" s="283"/>
    </row>
    <row r="370" spans="1:47" ht="60" customHeight="1" outlineLevel="1" x14ac:dyDescent="0.35">
      <c r="A370" s="277" t="s">
        <v>7265</v>
      </c>
      <c r="B370" s="255"/>
      <c r="C370" s="255"/>
      <c r="D370" s="259"/>
      <c r="E370" s="255"/>
      <c r="F370" s="263"/>
      <c r="G370" s="266" t="str">
        <f>IF(COUNTIF(H370:AU370,"&lt;&gt;")=0,"",SUMPRODUCT(((Recommendations[ImplStatus]="Implemented")+(Recommendations[ImplStatus]="Compensated"))*ISNUMBER(MATCH(Recommendations[Id],H370:AU370,0)))/COUNTIF(H370:AU370,"&lt;&gt;"))</f>
        <v/>
      </c>
      <c r="H370" s="263"/>
      <c r="I370" s="263"/>
      <c r="J370" s="263"/>
      <c r="K370" s="263"/>
      <c r="L370" s="263"/>
      <c r="M370" s="263"/>
      <c r="N370" s="263"/>
      <c r="O370" s="263"/>
      <c r="P370" s="263"/>
      <c r="Q370" s="263"/>
      <c r="R370" s="263"/>
      <c r="S370" s="263"/>
      <c r="T370" s="263"/>
      <c r="U370" s="263"/>
      <c r="V370" s="263"/>
      <c r="W370" s="263"/>
      <c r="X370" s="263"/>
      <c r="Y370" s="263"/>
      <c r="Z370" s="263"/>
      <c r="AA370" s="263"/>
      <c r="AB370" s="263"/>
      <c r="AC370" s="263"/>
      <c r="AD370" s="263"/>
      <c r="AE370" s="263"/>
      <c r="AF370" s="263"/>
      <c r="AG370" s="263"/>
      <c r="AH370" s="263"/>
      <c r="AI370" s="263"/>
      <c r="AJ370" s="263"/>
      <c r="AK370" s="263"/>
      <c r="AL370" s="263"/>
      <c r="AM370" s="263"/>
      <c r="AN370" s="263"/>
      <c r="AO370" s="263"/>
      <c r="AP370" s="263"/>
      <c r="AQ370" s="263"/>
      <c r="AR370" s="263"/>
      <c r="AS370" s="263"/>
      <c r="AT370" s="263"/>
      <c r="AU370" s="281"/>
    </row>
    <row r="371" spans="1:47" ht="60" customHeight="1" outlineLevel="2" x14ac:dyDescent="0.35">
      <c r="A371" s="278" t="s">
        <v>7265</v>
      </c>
      <c r="B371" s="256" t="s">
        <v>7266</v>
      </c>
      <c r="C371" s="256"/>
      <c r="D371" s="260"/>
      <c r="E371" s="256"/>
      <c r="F371" s="264"/>
      <c r="G371" s="267" t="str">
        <f>IF(COUNTIF(H371:AU371,"&lt;&gt;")=0,"",SUMPRODUCT(((Recommendations[ImplStatus]="Implemented")+(Recommendations[ImplStatus]="Compensated"))*ISNUMBER(MATCH(Recommendations[Id],H371:AU371,0)))/COUNTIF(H371:AU371,"&lt;&gt;"))</f>
        <v/>
      </c>
      <c r="H371" s="264"/>
      <c r="I371" s="264"/>
      <c r="J371" s="264"/>
      <c r="K371" s="264"/>
      <c r="L371" s="264"/>
      <c r="M371" s="264"/>
      <c r="N371" s="264"/>
      <c r="O371" s="264"/>
      <c r="P371" s="264"/>
      <c r="Q371" s="264"/>
      <c r="R371" s="264"/>
      <c r="S371" s="264"/>
      <c r="T371" s="264"/>
      <c r="U371" s="264"/>
      <c r="V371" s="264"/>
      <c r="W371" s="264"/>
      <c r="X371" s="264"/>
      <c r="Y371" s="264"/>
      <c r="Z371" s="264"/>
      <c r="AA371" s="264"/>
      <c r="AB371" s="264"/>
      <c r="AC371" s="264"/>
      <c r="AD371" s="264"/>
      <c r="AE371" s="264"/>
      <c r="AF371" s="264"/>
      <c r="AG371" s="264"/>
      <c r="AH371" s="264"/>
      <c r="AI371" s="264"/>
      <c r="AJ371" s="264"/>
      <c r="AK371" s="264"/>
      <c r="AL371" s="264"/>
      <c r="AM371" s="264"/>
      <c r="AN371" s="264"/>
      <c r="AO371" s="264"/>
      <c r="AP371" s="264"/>
      <c r="AQ371" s="264"/>
      <c r="AR371" s="264"/>
      <c r="AS371" s="264"/>
      <c r="AT371" s="264"/>
      <c r="AU371" s="282"/>
    </row>
    <row r="372" spans="1:47" ht="60" customHeight="1" x14ac:dyDescent="0.35">
      <c r="A372" s="279" t="s">
        <v>7265</v>
      </c>
      <c r="B372" s="257" t="s">
        <v>7266</v>
      </c>
      <c r="C372" s="258" t="s">
        <v>7267</v>
      </c>
      <c r="D372" s="261" t="s">
        <v>7268</v>
      </c>
      <c r="E372" s="262" t="s">
        <v>6522</v>
      </c>
      <c r="F372" s="265" t="s">
        <v>7269</v>
      </c>
      <c r="G372" s="268" t="str">
        <f>IF(COUNTIF(H372:AU372,"&lt;&gt;")=0,"",SUMPRODUCT(((Recommendations[ImplStatus]="Implemented")+(Recommendations[ImplStatus]="Compensated"))*ISNUMBER(MATCH(Recommendations[Id],H372:AU372,0)))/COUNTIF(H372:AU372,"&lt;&gt;"))</f>
        <v/>
      </c>
      <c r="H372" s="269"/>
      <c r="I372" s="269"/>
      <c r="J372" s="269"/>
      <c r="K372" s="269"/>
      <c r="L372" s="269"/>
      <c r="M372" s="269"/>
      <c r="N372" s="269"/>
      <c r="O372" s="269"/>
      <c r="P372" s="269"/>
      <c r="Q372" s="269"/>
      <c r="R372" s="269"/>
      <c r="S372" s="269"/>
      <c r="T372" s="269"/>
      <c r="U372" s="269"/>
      <c r="V372" s="269"/>
      <c r="W372" s="269"/>
      <c r="X372" s="269"/>
      <c r="Y372" s="269"/>
      <c r="Z372" s="269"/>
      <c r="AA372" s="269"/>
      <c r="AB372" s="269"/>
      <c r="AC372" s="269"/>
      <c r="AD372" s="269"/>
      <c r="AE372" s="269"/>
      <c r="AF372" s="269"/>
      <c r="AG372" s="269"/>
      <c r="AH372" s="269"/>
      <c r="AI372" s="269"/>
      <c r="AJ372" s="269"/>
      <c r="AK372" s="269"/>
      <c r="AL372" s="269"/>
      <c r="AM372" s="269"/>
      <c r="AN372" s="269"/>
      <c r="AO372" s="269"/>
      <c r="AP372" s="269"/>
      <c r="AQ372" s="269"/>
      <c r="AR372" s="269"/>
      <c r="AS372" s="269"/>
      <c r="AT372" s="269"/>
      <c r="AU372" s="283"/>
    </row>
    <row r="373" spans="1:47" ht="60" customHeight="1" x14ac:dyDescent="0.35">
      <c r="A373" s="279" t="s">
        <v>7265</v>
      </c>
      <c r="B373" s="257" t="s">
        <v>7266</v>
      </c>
      <c r="C373" s="258" t="s">
        <v>7270</v>
      </c>
      <c r="D373" s="261" t="s">
        <v>7271</v>
      </c>
      <c r="E373" s="262" t="s">
        <v>6522</v>
      </c>
      <c r="F373" s="265" t="s">
        <v>7272</v>
      </c>
      <c r="G373" s="268" t="str">
        <f>IF(COUNTIF(H373:AU373,"&lt;&gt;")=0,"",SUMPRODUCT(((Recommendations[ImplStatus]="Implemented")+(Recommendations[ImplStatus]="Compensated"))*ISNUMBER(MATCH(Recommendations[Id],H373:AU373,0)))/COUNTIF(H373:AU373,"&lt;&gt;"))</f>
        <v/>
      </c>
      <c r="H373" s="269"/>
      <c r="I373" s="269"/>
      <c r="J373" s="269"/>
      <c r="K373" s="269"/>
      <c r="L373" s="269"/>
      <c r="M373" s="269"/>
      <c r="N373" s="269"/>
      <c r="O373" s="269"/>
      <c r="P373" s="269"/>
      <c r="Q373" s="269"/>
      <c r="R373" s="269"/>
      <c r="S373" s="269"/>
      <c r="T373" s="269"/>
      <c r="U373" s="269"/>
      <c r="V373" s="269"/>
      <c r="W373" s="269"/>
      <c r="X373" s="269"/>
      <c r="Y373" s="269"/>
      <c r="Z373" s="269"/>
      <c r="AA373" s="269"/>
      <c r="AB373" s="269"/>
      <c r="AC373" s="269"/>
      <c r="AD373" s="269"/>
      <c r="AE373" s="269"/>
      <c r="AF373" s="269"/>
      <c r="AG373" s="269"/>
      <c r="AH373" s="269"/>
      <c r="AI373" s="269"/>
      <c r="AJ373" s="269"/>
      <c r="AK373" s="269"/>
      <c r="AL373" s="269"/>
      <c r="AM373" s="269"/>
      <c r="AN373" s="269"/>
      <c r="AO373" s="269"/>
      <c r="AP373" s="269"/>
      <c r="AQ373" s="269"/>
      <c r="AR373" s="269"/>
      <c r="AS373" s="269"/>
      <c r="AT373" s="269"/>
      <c r="AU373" s="283"/>
    </row>
    <row r="374" spans="1:47" ht="60" customHeight="1" x14ac:dyDescent="0.35">
      <c r="A374" s="279" t="s">
        <v>7265</v>
      </c>
      <c r="B374" s="257" t="s">
        <v>7266</v>
      </c>
      <c r="C374" s="258" t="s">
        <v>7273</v>
      </c>
      <c r="D374" s="261" t="s">
        <v>7274</v>
      </c>
      <c r="E374" s="262" t="s">
        <v>6551</v>
      </c>
      <c r="F374" s="265" t="s">
        <v>7272</v>
      </c>
      <c r="G374" s="268" t="str">
        <f>IF(COUNTIF(H374:AU374,"&lt;&gt;")=0,"",SUMPRODUCT(((Recommendations[ImplStatus]="Implemented")+(Recommendations[ImplStatus]="Compensated"))*ISNUMBER(MATCH(Recommendations[Id],H374:AU374,0)))/COUNTIF(H374:AU374,"&lt;&gt;"))</f>
        <v/>
      </c>
      <c r="H374" s="269"/>
      <c r="I374" s="269"/>
      <c r="J374" s="269"/>
      <c r="K374" s="269"/>
      <c r="L374" s="269"/>
      <c r="M374" s="269"/>
      <c r="N374" s="269"/>
      <c r="O374" s="269"/>
      <c r="P374" s="269"/>
      <c r="Q374" s="269"/>
      <c r="R374" s="269"/>
      <c r="S374" s="269"/>
      <c r="T374" s="269"/>
      <c r="U374" s="269"/>
      <c r="V374" s="269"/>
      <c r="W374" s="269"/>
      <c r="X374" s="269"/>
      <c r="Y374" s="269"/>
      <c r="Z374" s="269"/>
      <c r="AA374" s="269"/>
      <c r="AB374" s="269"/>
      <c r="AC374" s="269"/>
      <c r="AD374" s="269"/>
      <c r="AE374" s="269"/>
      <c r="AF374" s="269"/>
      <c r="AG374" s="269"/>
      <c r="AH374" s="269"/>
      <c r="AI374" s="269"/>
      <c r="AJ374" s="269"/>
      <c r="AK374" s="269"/>
      <c r="AL374" s="269"/>
      <c r="AM374" s="269"/>
      <c r="AN374" s="269"/>
      <c r="AO374" s="269"/>
      <c r="AP374" s="269"/>
      <c r="AQ374" s="269"/>
      <c r="AR374" s="269"/>
      <c r="AS374" s="269"/>
      <c r="AT374" s="269"/>
      <c r="AU374" s="283"/>
    </row>
    <row r="375" spans="1:47" ht="60" customHeight="1" x14ac:dyDescent="0.35">
      <c r="A375" s="279" t="s">
        <v>7265</v>
      </c>
      <c r="B375" s="257" t="s">
        <v>7266</v>
      </c>
      <c r="C375" s="258" t="s">
        <v>7275</v>
      </c>
      <c r="D375" s="261" t="s">
        <v>7276</v>
      </c>
      <c r="E375" s="262" t="s">
        <v>6551</v>
      </c>
      <c r="F375" s="265" t="s">
        <v>7272</v>
      </c>
      <c r="G375" s="268" t="str">
        <f>IF(COUNTIF(H375:AU375,"&lt;&gt;")=0,"",SUMPRODUCT(((Recommendations[ImplStatus]="Implemented")+(Recommendations[ImplStatus]="Compensated"))*ISNUMBER(MATCH(Recommendations[Id],H375:AU375,0)))/COUNTIF(H375:AU375,"&lt;&gt;"))</f>
        <v/>
      </c>
      <c r="H375" s="269"/>
      <c r="I375" s="269"/>
      <c r="J375" s="269"/>
      <c r="K375" s="269"/>
      <c r="L375" s="269"/>
      <c r="M375" s="269"/>
      <c r="N375" s="269"/>
      <c r="O375" s="269"/>
      <c r="P375" s="269"/>
      <c r="Q375" s="269"/>
      <c r="R375" s="269"/>
      <c r="S375" s="269"/>
      <c r="T375" s="269"/>
      <c r="U375" s="269"/>
      <c r="V375" s="269"/>
      <c r="W375" s="269"/>
      <c r="X375" s="269"/>
      <c r="Y375" s="269"/>
      <c r="Z375" s="269"/>
      <c r="AA375" s="269"/>
      <c r="AB375" s="269"/>
      <c r="AC375" s="269"/>
      <c r="AD375" s="269"/>
      <c r="AE375" s="269"/>
      <c r="AF375" s="269"/>
      <c r="AG375" s="269"/>
      <c r="AH375" s="269"/>
      <c r="AI375" s="269"/>
      <c r="AJ375" s="269"/>
      <c r="AK375" s="269"/>
      <c r="AL375" s="269"/>
      <c r="AM375" s="269"/>
      <c r="AN375" s="269"/>
      <c r="AO375" s="269"/>
      <c r="AP375" s="269"/>
      <c r="AQ375" s="269"/>
      <c r="AR375" s="269"/>
      <c r="AS375" s="269"/>
      <c r="AT375" s="269"/>
      <c r="AU375" s="283"/>
    </row>
    <row r="376" spans="1:47" ht="60" customHeight="1" x14ac:dyDescent="0.35">
      <c r="A376" s="279" t="s">
        <v>7265</v>
      </c>
      <c r="B376" s="257" t="s">
        <v>7266</v>
      </c>
      <c r="C376" s="258" t="s">
        <v>7277</v>
      </c>
      <c r="D376" s="261" t="s">
        <v>7278</v>
      </c>
      <c r="E376" s="262" t="s">
        <v>6551</v>
      </c>
      <c r="F376" s="265" t="s">
        <v>7134</v>
      </c>
      <c r="G376" s="268" t="str">
        <f>IF(COUNTIF(H376:AU376,"&lt;&gt;")=0,"",SUMPRODUCT(((Recommendations[ImplStatus]="Implemented")+(Recommendations[ImplStatus]="Compensated"))*ISNUMBER(MATCH(Recommendations[Id],H376:AU376,0)))/COUNTIF(H376:AU376,"&lt;&gt;"))</f>
        <v/>
      </c>
      <c r="H376" s="269"/>
      <c r="I376" s="269"/>
      <c r="J376" s="269"/>
      <c r="K376" s="269"/>
      <c r="L376" s="269"/>
      <c r="M376" s="269"/>
      <c r="N376" s="269"/>
      <c r="O376" s="269"/>
      <c r="P376" s="269"/>
      <c r="Q376" s="269"/>
      <c r="R376" s="269"/>
      <c r="S376" s="269"/>
      <c r="T376" s="269"/>
      <c r="U376" s="269"/>
      <c r="V376" s="269"/>
      <c r="W376" s="269"/>
      <c r="X376" s="269"/>
      <c r="Y376" s="269"/>
      <c r="Z376" s="269"/>
      <c r="AA376" s="269"/>
      <c r="AB376" s="269"/>
      <c r="AC376" s="269"/>
      <c r="AD376" s="269"/>
      <c r="AE376" s="269"/>
      <c r="AF376" s="269"/>
      <c r="AG376" s="269"/>
      <c r="AH376" s="269"/>
      <c r="AI376" s="269"/>
      <c r="AJ376" s="269"/>
      <c r="AK376" s="269"/>
      <c r="AL376" s="269"/>
      <c r="AM376" s="269"/>
      <c r="AN376" s="269"/>
      <c r="AO376" s="269"/>
      <c r="AP376" s="269"/>
      <c r="AQ376" s="269"/>
      <c r="AR376" s="269"/>
      <c r="AS376" s="269"/>
      <c r="AT376" s="269"/>
      <c r="AU376" s="283"/>
    </row>
    <row r="377" spans="1:47" ht="60" customHeight="1" x14ac:dyDescent="0.35">
      <c r="A377" s="279" t="s">
        <v>7265</v>
      </c>
      <c r="B377" s="257" t="s">
        <v>7266</v>
      </c>
      <c r="C377" s="258" t="s">
        <v>7279</v>
      </c>
      <c r="D377" s="261" t="s">
        <v>7280</v>
      </c>
      <c r="E377" s="262" t="s">
        <v>6618</v>
      </c>
      <c r="F377" s="265" t="s">
        <v>7092</v>
      </c>
      <c r="G377" s="268" t="str">
        <f>IF(COUNTIF(H377:AU377,"&lt;&gt;")=0,"",SUMPRODUCT(((Recommendations[ImplStatus]="Implemented")+(Recommendations[ImplStatus]="Compensated"))*ISNUMBER(MATCH(Recommendations[Id],H377:AU377,0)))/COUNTIF(H377:AU377,"&lt;&gt;"))</f>
        <v/>
      </c>
      <c r="H377" s="269"/>
      <c r="I377" s="269"/>
      <c r="J377" s="269"/>
      <c r="K377" s="269"/>
      <c r="L377" s="269"/>
      <c r="M377" s="269"/>
      <c r="N377" s="269"/>
      <c r="O377" s="269"/>
      <c r="P377" s="269"/>
      <c r="Q377" s="269"/>
      <c r="R377" s="269"/>
      <c r="S377" s="269"/>
      <c r="T377" s="269"/>
      <c r="U377" s="269"/>
      <c r="V377" s="269"/>
      <c r="W377" s="269"/>
      <c r="X377" s="269"/>
      <c r="Y377" s="269"/>
      <c r="Z377" s="269"/>
      <c r="AA377" s="269"/>
      <c r="AB377" s="269"/>
      <c r="AC377" s="269"/>
      <c r="AD377" s="269"/>
      <c r="AE377" s="269"/>
      <c r="AF377" s="269"/>
      <c r="AG377" s="269"/>
      <c r="AH377" s="269"/>
      <c r="AI377" s="269"/>
      <c r="AJ377" s="269"/>
      <c r="AK377" s="269"/>
      <c r="AL377" s="269"/>
      <c r="AM377" s="269"/>
      <c r="AN377" s="269"/>
      <c r="AO377" s="269"/>
      <c r="AP377" s="269"/>
      <c r="AQ377" s="269"/>
      <c r="AR377" s="269"/>
      <c r="AS377" s="269"/>
      <c r="AT377" s="269"/>
      <c r="AU377" s="283"/>
    </row>
    <row r="378" spans="1:47" ht="60" customHeight="1" x14ac:dyDescent="0.35">
      <c r="A378" s="279" t="s">
        <v>7265</v>
      </c>
      <c r="B378" s="257" t="s">
        <v>7266</v>
      </c>
      <c r="C378" s="258" t="s">
        <v>7281</v>
      </c>
      <c r="D378" s="261" t="s">
        <v>7282</v>
      </c>
      <c r="E378" s="262" t="s">
        <v>6618</v>
      </c>
      <c r="F378" s="265" t="s">
        <v>7272</v>
      </c>
      <c r="G378" s="268" t="str">
        <f>IF(COUNTIF(H378:AU378,"&lt;&gt;")=0,"",SUMPRODUCT(((Recommendations[ImplStatus]="Implemented")+(Recommendations[ImplStatus]="Compensated"))*ISNUMBER(MATCH(Recommendations[Id],H378:AU378,0)))/COUNTIF(H378:AU378,"&lt;&gt;"))</f>
        <v/>
      </c>
      <c r="H378" s="269"/>
      <c r="I378" s="269"/>
      <c r="J378" s="269"/>
      <c r="K378" s="269"/>
      <c r="L378" s="269"/>
      <c r="M378" s="269"/>
      <c r="N378" s="269"/>
      <c r="O378" s="269"/>
      <c r="P378" s="269"/>
      <c r="Q378" s="269"/>
      <c r="R378" s="269"/>
      <c r="S378" s="269"/>
      <c r="T378" s="269"/>
      <c r="U378" s="269"/>
      <c r="V378" s="269"/>
      <c r="W378" s="269"/>
      <c r="X378" s="269"/>
      <c r="Y378" s="269"/>
      <c r="Z378" s="269"/>
      <c r="AA378" s="269"/>
      <c r="AB378" s="269"/>
      <c r="AC378" s="269"/>
      <c r="AD378" s="269"/>
      <c r="AE378" s="269"/>
      <c r="AF378" s="269"/>
      <c r="AG378" s="269"/>
      <c r="AH378" s="269"/>
      <c r="AI378" s="269"/>
      <c r="AJ378" s="269"/>
      <c r="AK378" s="269"/>
      <c r="AL378" s="269"/>
      <c r="AM378" s="269"/>
      <c r="AN378" s="269"/>
      <c r="AO378" s="269"/>
      <c r="AP378" s="269"/>
      <c r="AQ378" s="269"/>
      <c r="AR378" s="269"/>
      <c r="AS378" s="269"/>
      <c r="AT378" s="269"/>
      <c r="AU378" s="283"/>
    </row>
    <row r="379" spans="1:47" ht="60" customHeight="1" x14ac:dyDescent="0.35">
      <c r="A379" s="279" t="s">
        <v>7265</v>
      </c>
      <c r="B379" s="257" t="s">
        <v>7266</v>
      </c>
      <c r="C379" s="258" t="s">
        <v>7283</v>
      </c>
      <c r="D379" s="261" t="s">
        <v>7284</v>
      </c>
      <c r="E379" s="262" t="s">
        <v>6618</v>
      </c>
      <c r="F379" s="265" t="s">
        <v>7269</v>
      </c>
      <c r="G379" s="268" t="str">
        <f>IF(COUNTIF(H379:AU379,"&lt;&gt;")=0,"",SUMPRODUCT(((Recommendations[ImplStatus]="Implemented")+(Recommendations[ImplStatus]="Compensated"))*ISNUMBER(MATCH(Recommendations[Id],H379:AU379,0)))/COUNTIF(H379:AU379,"&lt;&gt;"))</f>
        <v/>
      </c>
      <c r="H379" s="269"/>
      <c r="I379" s="269"/>
      <c r="J379" s="269"/>
      <c r="K379" s="269"/>
      <c r="L379" s="269"/>
      <c r="M379" s="269"/>
      <c r="N379" s="269"/>
      <c r="O379" s="269"/>
      <c r="P379" s="269"/>
      <c r="Q379" s="269"/>
      <c r="R379" s="269"/>
      <c r="S379" s="269"/>
      <c r="T379" s="269"/>
      <c r="U379" s="269"/>
      <c r="V379" s="269"/>
      <c r="W379" s="269"/>
      <c r="X379" s="269"/>
      <c r="Y379" s="269"/>
      <c r="Z379" s="269"/>
      <c r="AA379" s="269"/>
      <c r="AB379" s="269"/>
      <c r="AC379" s="269"/>
      <c r="AD379" s="269"/>
      <c r="AE379" s="269"/>
      <c r="AF379" s="269"/>
      <c r="AG379" s="269"/>
      <c r="AH379" s="269"/>
      <c r="AI379" s="269"/>
      <c r="AJ379" s="269"/>
      <c r="AK379" s="269"/>
      <c r="AL379" s="269"/>
      <c r="AM379" s="269"/>
      <c r="AN379" s="269"/>
      <c r="AO379" s="269"/>
      <c r="AP379" s="269"/>
      <c r="AQ379" s="269"/>
      <c r="AR379" s="269"/>
      <c r="AS379" s="269"/>
      <c r="AT379" s="269"/>
      <c r="AU379" s="283"/>
    </row>
    <row r="380" spans="1:47" ht="60" customHeight="1" x14ac:dyDescent="0.35">
      <c r="A380" s="279" t="s">
        <v>7265</v>
      </c>
      <c r="B380" s="257" t="s">
        <v>7266</v>
      </c>
      <c r="C380" s="258" t="s">
        <v>7285</v>
      </c>
      <c r="D380" s="261" t="s">
        <v>7286</v>
      </c>
      <c r="E380" s="262" t="s">
        <v>6618</v>
      </c>
      <c r="F380" s="265" t="s">
        <v>7269</v>
      </c>
      <c r="G380" s="268" t="str">
        <f>IF(COUNTIF(H380:AU380,"&lt;&gt;")=0,"",SUMPRODUCT(((Recommendations[ImplStatus]="Implemented")+(Recommendations[ImplStatus]="Compensated"))*ISNUMBER(MATCH(Recommendations[Id],H380:AU380,0)))/COUNTIF(H380:AU380,"&lt;&gt;"))</f>
        <v/>
      </c>
      <c r="H380" s="269"/>
      <c r="I380" s="269"/>
      <c r="J380" s="269"/>
      <c r="K380" s="269"/>
      <c r="L380" s="269"/>
      <c r="M380" s="269"/>
      <c r="N380" s="269"/>
      <c r="O380" s="269"/>
      <c r="P380" s="269"/>
      <c r="Q380" s="269"/>
      <c r="R380" s="269"/>
      <c r="S380" s="269"/>
      <c r="T380" s="269"/>
      <c r="U380" s="269"/>
      <c r="V380" s="269"/>
      <c r="W380" s="269"/>
      <c r="X380" s="269"/>
      <c r="Y380" s="269"/>
      <c r="Z380" s="269"/>
      <c r="AA380" s="269"/>
      <c r="AB380" s="269"/>
      <c r="AC380" s="269"/>
      <c r="AD380" s="269"/>
      <c r="AE380" s="269"/>
      <c r="AF380" s="269"/>
      <c r="AG380" s="269"/>
      <c r="AH380" s="269"/>
      <c r="AI380" s="269"/>
      <c r="AJ380" s="269"/>
      <c r="AK380" s="269"/>
      <c r="AL380" s="269"/>
      <c r="AM380" s="269"/>
      <c r="AN380" s="269"/>
      <c r="AO380" s="269"/>
      <c r="AP380" s="269"/>
      <c r="AQ380" s="269"/>
      <c r="AR380" s="269"/>
      <c r="AS380" s="269"/>
      <c r="AT380" s="269"/>
      <c r="AU380" s="283"/>
    </row>
    <row r="381" spans="1:47" ht="60" customHeight="1" x14ac:dyDescent="0.35">
      <c r="A381" s="279" t="s">
        <v>7265</v>
      </c>
      <c r="B381" s="257" t="s">
        <v>7266</v>
      </c>
      <c r="C381" s="258" t="s">
        <v>7287</v>
      </c>
      <c r="D381" s="261" t="s">
        <v>7288</v>
      </c>
      <c r="E381" s="262" t="s">
        <v>6618</v>
      </c>
      <c r="F381" s="265" t="s">
        <v>7269</v>
      </c>
      <c r="G381" s="268" t="str">
        <f>IF(COUNTIF(H381:AU381,"&lt;&gt;")=0,"",SUMPRODUCT(((Recommendations[ImplStatus]="Implemented")+(Recommendations[ImplStatus]="Compensated"))*ISNUMBER(MATCH(Recommendations[Id],H381:AU381,0)))/COUNTIF(H381:AU381,"&lt;&gt;"))</f>
        <v/>
      </c>
      <c r="H381" s="269"/>
      <c r="I381" s="269"/>
      <c r="J381" s="269"/>
      <c r="K381" s="269"/>
      <c r="L381" s="269"/>
      <c r="M381" s="269"/>
      <c r="N381" s="269"/>
      <c r="O381" s="269"/>
      <c r="P381" s="269"/>
      <c r="Q381" s="269"/>
      <c r="R381" s="269"/>
      <c r="S381" s="269"/>
      <c r="T381" s="269"/>
      <c r="U381" s="269"/>
      <c r="V381" s="269"/>
      <c r="W381" s="269"/>
      <c r="X381" s="269"/>
      <c r="Y381" s="269"/>
      <c r="Z381" s="269"/>
      <c r="AA381" s="269"/>
      <c r="AB381" s="269"/>
      <c r="AC381" s="269"/>
      <c r="AD381" s="269"/>
      <c r="AE381" s="269"/>
      <c r="AF381" s="269"/>
      <c r="AG381" s="269"/>
      <c r="AH381" s="269"/>
      <c r="AI381" s="269"/>
      <c r="AJ381" s="269"/>
      <c r="AK381" s="269"/>
      <c r="AL381" s="269"/>
      <c r="AM381" s="269"/>
      <c r="AN381" s="269"/>
      <c r="AO381" s="269"/>
      <c r="AP381" s="269"/>
      <c r="AQ381" s="269"/>
      <c r="AR381" s="269"/>
      <c r="AS381" s="269"/>
      <c r="AT381" s="269"/>
      <c r="AU381" s="283"/>
    </row>
    <row r="382" spans="1:47" ht="60" customHeight="1" x14ac:dyDescent="0.35">
      <c r="A382" s="279" t="s">
        <v>7265</v>
      </c>
      <c r="B382" s="257" t="s">
        <v>7266</v>
      </c>
      <c r="C382" s="258" t="s">
        <v>7289</v>
      </c>
      <c r="D382" s="261" t="s">
        <v>7290</v>
      </c>
      <c r="E382" s="262" t="s">
        <v>6666</v>
      </c>
      <c r="F382" s="265" t="s">
        <v>7269</v>
      </c>
      <c r="G382" s="268" t="str">
        <f>IF(COUNTIF(H382:AU382,"&lt;&gt;")=0,"",SUMPRODUCT(((Recommendations[ImplStatus]="Implemented")+(Recommendations[ImplStatus]="Compensated"))*ISNUMBER(MATCH(Recommendations[Id],H382:AU382,0)))/COUNTIF(H382:AU382,"&lt;&gt;"))</f>
        <v/>
      </c>
      <c r="H382" s="269"/>
      <c r="I382" s="269"/>
      <c r="J382" s="269"/>
      <c r="K382" s="269"/>
      <c r="L382" s="269"/>
      <c r="M382" s="269"/>
      <c r="N382" s="269"/>
      <c r="O382" s="269"/>
      <c r="P382" s="269"/>
      <c r="Q382" s="269"/>
      <c r="R382" s="269"/>
      <c r="S382" s="269"/>
      <c r="T382" s="269"/>
      <c r="U382" s="269"/>
      <c r="V382" s="269"/>
      <c r="W382" s="269"/>
      <c r="X382" s="269"/>
      <c r="Y382" s="269"/>
      <c r="Z382" s="269"/>
      <c r="AA382" s="269"/>
      <c r="AB382" s="269"/>
      <c r="AC382" s="269"/>
      <c r="AD382" s="269"/>
      <c r="AE382" s="269"/>
      <c r="AF382" s="269"/>
      <c r="AG382" s="269"/>
      <c r="AH382" s="269"/>
      <c r="AI382" s="269"/>
      <c r="AJ382" s="269"/>
      <c r="AK382" s="269"/>
      <c r="AL382" s="269"/>
      <c r="AM382" s="269"/>
      <c r="AN382" s="269"/>
      <c r="AO382" s="269"/>
      <c r="AP382" s="269"/>
      <c r="AQ382" s="269"/>
      <c r="AR382" s="269"/>
      <c r="AS382" s="269"/>
      <c r="AT382" s="269"/>
      <c r="AU382" s="283"/>
    </row>
    <row r="383" spans="1:47" ht="60" customHeight="1" x14ac:dyDescent="0.35">
      <c r="A383" s="279" t="s">
        <v>7265</v>
      </c>
      <c r="B383" s="257" t="s">
        <v>7266</v>
      </c>
      <c r="C383" s="258" t="s">
        <v>7291</v>
      </c>
      <c r="D383" s="261" t="s">
        <v>7292</v>
      </c>
      <c r="E383" s="262" t="s">
        <v>6666</v>
      </c>
      <c r="F383" s="265" t="s">
        <v>7269</v>
      </c>
      <c r="G383" s="268" t="str">
        <f>IF(COUNTIF(H383:AU383,"&lt;&gt;")=0,"",SUMPRODUCT(((Recommendations[ImplStatus]="Implemented")+(Recommendations[ImplStatus]="Compensated"))*ISNUMBER(MATCH(Recommendations[Id],H383:AU383,0)))/COUNTIF(H383:AU383,"&lt;&gt;"))</f>
        <v/>
      </c>
      <c r="H383" s="269"/>
      <c r="I383" s="269"/>
      <c r="J383" s="269"/>
      <c r="K383" s="269"/>
      <c r="L383" s="269"/>
      <c r="M383" s="269"/>
      <c r="N383" s="269"/>
      <c r="O383" s="269"/>
      <c r="P383" s="269"/>
      <c r="Q383" s="269"/>
      <c r="R383" s="269"/>
      <c r="S383" s="269"/>
      <c r="T383" s="269"/>
      <c r="U383" s="269"/>
      <c r="V383" s="269"/>
      <c r="W383" s="269"/>
      <c r="X383" s="269"/>
      <c r="Y383" s="269"/>
      <c r="Z383" s="269"/>
      <c r="AA383" s="269"/>
      <c r="AB383" s="269"/>
      <c r="AC383" s="269"/>
      <c r="AD383" s="269"/>
      <c r="AE383" s="269"/>
      <c r="AF383" s="269"/>
      <c r="AG383" s="269"/>
      <c r="AH383" s="269"/>
      <c r="AI383" s="269"/>
      <c r="AJ383" s="269"/>
      <c r="AK383" s="269"/>
      <c r="AL383" s="269"/>
      <c r="AM383" s="269"/>
      <c r="AN383" s="269"/>
      <c r="AO383" s="269"/>
      <c r="AP383" s="269"/>
      <c r="AQ383" s="269"/>
      <c r="AR383" s="269"/>
      <c r="AS383" s="269"/>
      <c r="AT383" s="269"/>
      <c r="AU383" s="283"/>
    </row>
    <row r="384" spans="1:47" ht="60" customHeight="1" x14ac:dyDescent="0.35">
      <c r="A384" s="279" t="s">
        <v>7265</v>
      </c>
      <c r="B384" s="257" t="s">
        <v>7266</v>
      </c>
      <c r="C384" s="258" t="s">
        <v>7293</v>
      </c>
      <c r="D384" s="261" t="s">
        <v>7294</v>
      </c>
      <c r="E384" s="262" t="s">
        <v>6666</v>
      </c>
      <c r="F384" s="265" t="s">
        <v>7269</v>
      </c>
      <c r="G384" s="268" t="str">
        <f>IF(COUNTIF(H384:AU384,"&lt;&gt;")=0,"",SUMPRODUCT(((Recommendations[ImplStatus]="Implemented")+(Recommendations[ImplStatus]="Compensated"))*ISNUMBER(MATCH(Recommendations[Id],H384:AU384,0)))/COUNTIF(H384:AU384,"&lt;&gt;"))</f>
        <v/>
      </c>
      <c r="H384" s="269"/>
      <c r="I384" s="269"/>
      <c r="J384" s="269"/>
      <c r="K384" s="269"/>
      <c r="L384" s="269"/>
      <c r="M384" s="269"/>
      <c r="N384" s="269"/>
      <c r="O384" s="269"/>
      <c r="P384" s="269"/>
      <c r="Q384" s="269"/>
      <c r="R384" s="269"/>
      <c r="S384" s="269"/>
      <c r="T384" s="269"/>
      <c r="U384" s="269"/>
      <c r="V384" s="269"/>
      <c r="W384" s="269"/>
      <c r="X384" s="269"/>
      <c r="Y384" s="269"/>
      <c r="Z384" s="269"/>
      <c r="AA384" s="269"/>
      <c r="AB384" s="269"/>
      <c r="AC384" s="269"/>
      <c r="AD384" s="269"/>
      <c r="AE384" s="269"/>
      <c r="AF384" s="269"/>
      <c r="AG384" s="269"/>
      <c r="AH384" s="269"/>
      <c r="AI384" s="269"/>
      <c r="AJ384" s="269"/>
      <c r="AK384" s="269"/>
      <c r="AL384" s="269"/>
      <c r="AM384" s="269"/>
      <c r="AN384" s="269"/>
      <c r="AO384" s="269"/>
      <c r="AP384" s="269"/>
      <c r="AQ384" s="269"/>
      <c r="AR384" s="269"/>
      <c r="AS384" s="269"/>
      <c r="AT384" s="269"/>
      <c r="AU384" s="283"/>
    </row>
    <row r="385" spans="1:47" ht="60" customHeight="1" x14ac:dyDescent="0.35">
      <c r="A385" s="279" t="s">
        <v>7265</v>
      </c>
      <c r="B385" s="257" t="s">
        <v>7266</v>
      </c>
      <c r="C385" s="258" t="s">
        <v>7295</v>
      </c>
      <c r="D385" s="261" t="s">
        <v>7296</v>
      </c>
      <c r="E385" s="262" t="s">
        <v>6618</v>
      </c>
      <c r="F385" s="265" t="s">
        <v>7269</v>
      </c>
      <c r="G385" s="268" t="str">
        <f>IF(COUNTIF(H385:AU385,"&lt;&gt;")=0,"",SUMPRODUCT(((Recommendations[ImplStatus]="Implemented")+(Recommendations[ImplStatus]="Compensated"))*ISNUMBER(MATCH(Recommendations[Id],H385:AU385,0)))/COUNTIF(H385:AU385,"&lt;&gt;"))</f>
        <v/>
      </c>
      <c r="H385" s="269"/>
      <c r="I385" s="269"/>
      <c r="J385" s="269"/>
      <c r="K385" s="269"/>
      <c r="L385" s="269"/>
      <c r="M385" s="269"/>
      <c r="N385" s="269"/>
      <c r="O385" s="269"/>
      <c r="P385" s="269"/>
      <c r="Q385" s="269"/>
      <c r="R385" s="269"/>
      <c r="S385" s="269"/>
      <c r="T385" s="269"/>
      <c r="U385" s="269"/>
      <c r="V385" s="269"/>
      <c r="W385" s="269"/>
      <c r="X385" s="269"/>
      <c r="Y385" s="269"/>
      <c r="Z385" s="269"/>
      <c r="AA385" s="269"/>
      <c r="AB385" s="269"/>
      <c r="AC385" s="269"/>
      <c r="AD385" s="269"/>
      <c r="AE385" s="269"/>
      <c r="AF385" s="269"/>
      <c r="AG385" s="269"/>
      <c r="AH385" s="269"/>
      <c r="AI385" s="269"/>
      <c r="AJ385" s="269"/>
      <c r="AK385" s="269"/>
      <c r="AL385" s="269"/>
      <c r="AM385" s="269"/>
      <c r="AN385" s="269"/>
      <c r="AO385" s="269"/>
      <c r="AP385" s="269"/>
      <c r="AQ385" s="269"/>
      <c r="AR385" s="269"/>
      <c r="AS385" s="269"/>
      <c r="AT385" s="269"/>
      <c r="AU385" s="283"/>
    </row>
    <row r="386" spans="1:47" ht="60" customHeight="1" outlineLevel="2" x14ac:dyDescent="0.35">
      <c r="A386" s="278" t="s">
        <v>7265</v>
      </c>
      <c r="B386" s="256" t="s">
        <v>7297</v>
      </c>
      <c r="C386" s="256"/>
      <c r="D386" s="260"/>
      <c r="E386" s="256"/>
      <c r="F386" s="264"/>
      <c r="G386" s="267" t="str">
        <f>IF(COUNTIF(H386:AU386,"&lt;&gt;")=0,"",SUMPRODUCT(((Recommendations[ImplStatus]="Implemented")+(Recommendations[ImplStatus]="Compensated"))*ISNUMBER(MATCH(Recommendations[Id],H386:AU386,0)))/COUNTIF(H386:AU386,"&lt;&gt;"))</f>
        <v/>
      </c>
      <c r="H386" s="264"/>
      <c r="I386" s="264"/>
      <c r="J386" s="264"/>
      <c r="K386" s="264"/>
      <c r="L386" s="264"/>
      <c r="M386" s="264"/>
      <c r="N386" s="264"/>
      <c r="O386" s="264"/>
      <c r="P386" s="264"/>
      <c r="Q386" s="264"/>
      <c r="R386" s="264"/>
      <c r="S386" s="264"/>
      <c r="T386" s="264"/>
      <c r="U386" s="264"/>
      <c r="V386" s="264"/>
      <c r="W386" s="264"/>
      <c r="X386" s="264"/>
      <c r="Y386" s="264"/>
      <c r="Z386" s="264"/>
      <c r="AA386" s="264"/>
      <c r="AB386" s="264"/>
      <c r="AC386" s="264"/>
      <c r="AD386" s="264"/>
      <c r="AE386" s="264"/>
      <c r="AF386" s="264"/>
      <c r="AG386" s="264"/>
      <c r="AH386" s="264"/>
      <c r="AI386" s="264"/>
      <c r="AJ386" s="264"/>
      <c r="AK386" s="264"/>
      <c r="AL386" s="264"/>
      <c r="AM386" s="264"/>
      <c r="AN386" s="264"/>
      <c r="AO386" s="264"/>
      <c r="AP386" s="264"/>
      <c r="AQ386" s="264"/>
      <c r="AR386" s="264"/>
      <c r="AS386" s="264"/>
      <c r="AT386" s="264"/>
      <c r="AU386" s="282"/>
    </row>
    <row r="387" spans="1:47" ht="60" customHeight="1" x14ac:dyDescent="0.35">
      <c r="A387" s="279" t="s">
        <v>7265</v>
      </c>
      <c r="B387" s="257" t="s">
        <v>7297</v>
      </c>
      <c r="C387" s="258" t="s">
        <v>7298</v>
      </c>
      <c r="D387" s="261" t="s">
        <v>7299</v>
      </c>
      <c r="E387" s="262" t="s">
        <v>6522</v>
      </c>
      <c r="F387" s="265" t="s">
        <v>7300</v>
      </c>
      <c r="G387" s="268" t="str">
        <f>IF(COUNTIF(H387:AU387,"&lt;&gt;")=0,"",SUMPRODUCT(((Recommendations[ImplStatus]="Implemented")+(Recommendations[ImplStatus]="Compensated"))*ISNUMBER(MATCH(Recommendations[Id],H387:AU387,0)))/COUNTIF(H387:AU387,"&lt;&gt;"))</f>
        <v/>
      </c>
      <c r="H387" s="269"/>
      <c r="I387" s="269"/>
      <c r="J387" s="269"/>
      <c r="K387" s="269"/>
      <c r="L387" s="269"/>
      <c r="M387" s="269"/>
      <c r="N387" s="269"/>
      <c r="O387" s="269"/>
      <c r="P387" s="269"/>
      <c r="Q387" s="269"/>
      <c r="R387" s="269"/>
      <c r="S387" s="269"/>
      <c r="T387" s="269"/>
      <c r="U387" s="269"/>
      <c r="V387" s="269"/>
      <c r="W387" s="269"/>
      <c r="X387" s="269"/>
      <c r="Y387" s="269"/>
      <c r="Z387" s="269"/>
      <c r="AA387" s="269"/>
      <c r="AB387" s="269"/>
      <c r="AC387" s="269"/>
      <c r="AD387" s="269"/>
      <c r="AE387" s="269"/>
      <c r="AF387" s="269"/>
      <c r="AG387" s="269"/>
      <c r="AH387" s="269"/>
      <c r="AI387" s="269"/>
      <c r="AJ387" s="269"/>
      <c r="AK387" s="269"/>
      <c r="AL387" s="269"/>
      <c r="AM387" s="269"/>
      <c r="AN387" s="269"/>
      <c r="AO387" s="269"/>
      <c r="AP387" s="269"/>
      <c r="AQ387" s="269"/>
      <c r="AR387" s="269"/>
      <c r="AS387" s="269"/>
      <c r="AT387" s="269"/>
      <c r="AU387" s="283"/>
    </row>
    <row r="388" spans="1:47" ht="60" customHeight="1" x14ac:dyDescent="0.35">
      <c r="A388" s="279" t="s">
        <v>7265</v>
      </c>
      <c r="B388" s="257" t="s">
        <v>7297</v>
      </c>
      <c r="C388" s="258" t="s">
        <v>7301</v>
      </c>
      <c r="D388" s="261" t="s">
        <v>7302</v>
      </c>
      <c r="E388" s="262" t="s">
        <v>6522</v>
      </c>
      <c r="F388" s="265" t="s">
        <v>7300</v>
      </c>
      <c r="G388" s="268" t="str">
        <f>IF(COUNTIF(H388:AU388,"&lt;&gt;")=0,"",SUMPRODUCT(((Recommendations[ImplStatus]="Implemented")+(Recommendations[ImplStatus]="Compensated"))*ISNUMBER(MATCH(Recommendations[Id],H388:AU388,0)))/COUNTIF(H388:AU388,"&lt;&gt;"))</f>
        <v/>
      </c>
      <c r="H388" s="269"/>
      <c r="I388" s="269"/>
      <c r="J388" s="269"/>
      <c r="K388" s="269"/>
      <c r="L388" s="269"/>
      <c r="M388" s="269"/>
      <c r="N388" s="269"/>
      <c r="O388" s="269"/>
      <c r="P388" s="269"/>
      <c r="Q388" s="269"/>
      <c r="R388" s="269"/>
      <c r="S388" s="269"/>
      <c r="T388" s="269"/>
      <c r="U388" s="269"/>
      <c r="V388" s="269"/>
      <c r="W388" s="269"/>
      <c r="X388" s="269"/>
      <c r="Y388" s="269"/>
      <c r="Z388" s="269"/>
      <c r="AA388" s="269"/>
      <c r="AB388" s="269"/>
      <c r="AC388" s="269"/>
      <c r="AD388" s="269"/>
      <c r="AE388" s="269"/>
      <c r="AF388" s="269"/>
      <c r="AG388" s="269"/>
      <c r="AH388" s="269"/>
      <c r="AI388" s="269"/>
      <c r="AJ388" s="269"/>
      <c r="AK388" s="269"/>
      <c r="AL388" s="269"/>
      <c r="AM388" s="269"/>
      <c r="AN388" s="269"/>
      <c r="AO388" s="269"/>
      <c r="AP388" s="269"/>
      <c r="AQ388" s="269"/>
      <c r="AR388" s="269"/>
      <c r="AS388" s="269"/>
      <c r="AT388" s="269"/>
      <c r="AU388" s="283"/>
    </row>
    <row r="389" spans="1:47" ht="60" customHeight="1" x14ac:dyDescent="0.35">
      <c r="A389" s="279" t="s">
        <v>7265</v>
      </c>
      <c r="B389" s="257" t="s">
        <v>7297</v>
      </c>
      <c r="C389" s="258" t="s">
        <v>7303</v>
      </c>
      <c r="D389" s="261" t="s">
        <v>7304</v>
      </c>
      <c r="E389" s="262" t="s">
        <v>6801</v>
      </c>
      <c r="F389" s="265" t="s">
        <v>7300</v>
      </c>
      <c r="G389" s="268" t="str">
        <f>IF(COUNTIF(H389:AU389,"&lt;&gt;")=0,"",SUMPRODUCT(((Recommendations[ImplStatus]="Implemented")+(Recommendations[ImplStatus]="Compensated"))*ISNUMBER(MATCH(Recommendations[Id],H389:AU389,0)))/COUNTIF(H389:AU389,"&lt;&gt;"))</f>
        <v/>
      </c>
      <c r="H389" s="269"/>
      <c r="I389" s="269"/>
      <c r="J389" s="269"/>
      <c r="K389" s="269"/>
      <c r="L389" s="269"/>
      <c r="M389" s="269"/>
      <c r="N389" s="269"/>
      <c r="O389" s="269"/>
      <c r="P389" s="269"/>
      <c r="Q389" s="269"/>
      <c r="R389" s="269"/>
      <c r="S389" s="269"/>
      <c r="T389" s="269"/>
      <c r="U389" s="269"/>
      <c r="V389" s="269"/>
      <c r="W389" s="269"/>
      <c r="X389" s="269"/>
      <c r="Y389" s="269"/>
      <c r="Z389" s="269"/>
      <c r="AA389" s="269"/>
      <c r="AB389" s="269"/>
      <c r="AC389" s="269"/>
      <c r="AD389" s="269"/>
      <c r="AE389" s="269"/>
      <c r="AF389" s="269"/>
      <c r="AG389" s="269"/>
      <c r="AH389" s="269"/>
      <c r="AI389" s="269"/>
      <c r="AJ389" s="269"/>
      <c r="AK389" s="269"/>
      <c r="AL389" s="269"/>
      <c r="AM389" s="269"/>
      <c r="AN389" s="269"/>
      <c r="AO389" s="269"/>
      <c r="AP389" s="269"/>
      <c r="AQ389" s="269"/>
      <c r="AR389" s="269"/>
      <c r="AS389" s="269"/>
      <c r="AT389" s="269"/>
      <c r="AU389" s="283"/>
    </row>
    <row r="390" spans="1:47" ht="60" customHeight="1" x14ac:dyDescent="0.35">
      <c r="A390" s="279" t="s">
        <v>7265</v>
      </c>
      <c r="B390" s="257" t="s">
        <v>7297</v>
      </c>
      <c r="C390" s="258" t="s">
        <v>7305</v>
      </c>
      <c r="D390" s="261" t="s">
        <v>7306</v>
      </c>
      <c r="E390" s="262" t="s">
        <v>6618</v>
      </c>
      <c r="F390" s="265" t="s">
        <v>7300</v>
      </c>
      <c r="G390" s="268" t="str">
        <f>IF(COUNTIF(H390:AU390,"&lt;&gt;")=0,"",SUMPRODUCT(((Recommendations[ImplStatus]="Implemented")+(Recommendations[ImplStatus]="Compensated"))*ISNUMBER(MATCH(Recommendations[Id],H390:AU390,0)))/COUNTIF(H390:AU390,"&lt;&gt;"))</f>
        <v/>
      </c>
      <c r="H390" s="269"/>
      <c r="I390" s="269"/>
      <c r="J390" s="269"/>
      <c r="K390" s="269"/>
      <c r="L390" s="269"/>
      <c r="M390" s="269"/>
      <c r="N390" s="269"/>
      <c r="O390" s="269"/>
      <c r="P390" s="269"/>
      <c r="Q390" s="269"/>
      <c r="R390" s="269"/>
      <c r="S390" s="269"/>
      <c r="T390" s="269"/>
      <c r="U390" s="269"/>
      <c r="V390" s="269"/>
      <c r="W390" s="269"/>
      <c r="X390" s="269"/>
      <c r="Y390" s="269"/>
      <c r="Z390" s="269"/>
      <c r="AA390" s="269"/>
      <c r="AB390" s="269"/>
      <c r="AC390" s="269"/>
      <c r="AD390" s="269"/>
      <c r="AE390" s="269"/>
      <c r="AF390" s="269"/>
      <c r="AG390" s="269"/>
      <c r="AH390" s="269"/>
      <c r="AI390" s="269"/>
      <c r="AJ390" s="269"/>
      <c r="AK390" s="269"/>
      <c r="AL390" s="269"/>
      <c r="AM390" s="269"/>
      <c r="AN390" s="269"/>
      <c r="AO390" s="269"/>
      <c r="AP390" s="269"/>
      <c r="AQ390" s="269"/>
      <c r="AR390" s="269"/>
      <c r="AS390" s="269"/>
      <c r="AT390" s="269"/>
      <c r="AU390" s="283"/>
    </row>
    <row r="391" spans="1:47" ht="60" customHeight="1" x14ac:dyDescent="0.35">
      <c r="A391" s="279" t="s">
        <v>7265</v>
      </c>
      <c r="B391" s="257" t="s">
        <v>7297</v>
      </c>
      <c r="C391" s="258" t="s">
        <v>7307</v>
      </c>
      <c r="D391" s="261" t="s">
        <v>7308</v>
      </c>
      <c r="E391" s="262" t="s">
        <v>6801</v>
      </c>
      <c r="F391" s="265" t="s">
        <v>7300</v>
      </c>
      <c r="G391" s="268" t="str">
        <f>IF(COUNTIF(H391:AU391,"&lt;&gt;")=0,"",SUMPRODUCT(((Recommendations[ImplStatus]="Implemented")+(Recommendations[ImplStatus]="Compensated"))*ISNUMBER(MATCH(Recommendations[Id],H391:AU391,0)))/COUNTIF(H391:AU391,"&lt;&gt;"))</f>
        <v/>
      </c>
      <c r="H391" s="269"/>
      <c r="I391" s="269"/>
      <c r="J391" s="269"/>
      <c r="K391" s="269"/>
      <c r="L391" s="269"/>
      <c r="M391" s="269"/>
      <c r="N391" s="269"/>
      <c r="O391" s="269"/>
      <c r="P391" s="269"/>
      <c r="Q391" s="269"/>
      <c r="R391" s="269"/>
      <c r="S391" s="269"/>
      <c r="T391" s="269"/>
      <c r="U391" s="269"/>
      <c r="V391" s="269"/>
      <c r="W391" s="269"/>
      <c r="X391" s="269"/>
      <c r="Y391" s="269"/>
      <c r="Z391" s="269"/>
      <c r="AA391" s="269"/>
      <c r="AB391" s="269"/>
      <c r="AC391" s="269"/>
      <c r="AD391" s="269"/>
      <c r="AE391" s="269"/>
      <c r="AF391" s="269"/>
      <c r="AG391" s="269"/>
      <c r="AH391" s="269"/>
      <c r="AI391" s="269"/>
      <c r="AJ391" s="269"/>
      <c r="AK391" s="269"/>
      <c r="AL391" s="269"/>
      <c r="AM391" s="269"/>
      <c r="AN391" s="269"/>
      <c r="AO391" s="269"/>
      <c r="AP391" s="269"/>
      <c r="AQ391" s="269"/>
      <c r="AR391" s="269"/>
      <c r="AS391" s="269"/>
      <c r="AT391" s="269"/>
      <c r="AU391" s="283"/>
    </row>
    <row r="392" spans="1:47" ht="60" customHeight="1" x14ac:dyDescent="0.35">
      <c r="A392" s="279" t="s">
        <v>7265</v>
      </c>
      <c r="B392" s="257" t="s">
        <v>7297</v>
      </c>
      <c r="C392" s="258" t="s">
        <v>7309</v>
      </c>
      <c r="D392" s="261" t="s">
        <v>7310</v>
      </c>
      <c r="E392" s="262" t="s">
        <v>6551</v>
      </c>
      <c r="F392" s="265" t="s">
        <v>7300</v>
      </c>
      <c r="G392" s="268" t="str">
        <f>IF(COUNTIF(H392:AU392,"&lt;&gt;")=0,"",SUMPRODUCT(((Recommendations[ImplStatus]="Implemented")+(Recommendations[ImplStatus]="Compensated"))*ISNUMBER(MATCH(Recommendations[Id],H392:AU392,0)))/COUNTIF(H392:AU392,"&lt;&gt;"))</f>
        <v/>
      </c>
      <c r="H392" s="269"/>
      <c r="I392" s="269"/>
      <c r="J392" s="269"/>
      <c r="K392" s="269"/>
      <c r="L392" s="269"/>
      <c r="M392" s="269"/>
      <c r="N392" s="269"/>
      <c r="O392" s="269"/>
      <c r="P392" s="269"/>
      <c r="Q392" s="269"/>
      <c r="R392" s="269"/>
      <c r="S392" s="269"/>
      <c r="T392" s="269"/>
      <c r="U392" s="269"/>
      <c r="V392" s="269"/>
      <c r="W392" s="269"/>
      <c r="X392" s="269"/>
      <c r="Y392" s="269"/>
      <c r="Z392" s="269"/>
      <c r="AA392" s="269"/>
      <c r="AB392" s="269"/>
      <c r="AC392" s="269"/>
      <c r="AD392" s="269"/>
      <c r="AE392" s="269"/>
      <c r="AF392" s="269"/>
      <c r="AG392" s="269"/>
      <c r="AH392" s="269"/>
      <c r="AI392" s="269"/>
      <c r="AJ392" s="269"/>
      <c r="AK392" s="269"/>
      <c r="AL392" s="269"/>
      <c r="AM392" s="269"/>
      <c r="AN392" s="269"/>
      <c r="AO392" s="269"/>
      <c r="AP392" s="269"/>
      <c r="AQ392" s="269"/>
      <c r="AR392" s="269"/>
      <c r="AS392" s="269"/>
      <c r="AT392" s="269"/>
      <c r="AU392" s="283"/>
    </row>
    <row r="393" spans="1:47" ht="60" customHeight="1" x14ac:dyDescent="0.35">
      <c r="A393" s="279" t="s">
        <v>7265</v>
      </c>
      <c r="B393" s="257" t="s">
        <v>7297</v>
      </c>
      <c r="C393" s="258" t="s">
        <v>7311</v>
      </c>
      <c r="D393" s="261" t="s">
        <v>7312</v>
      </c>
      <c r="E393" s="262" t="s">
        <v>6551</v>
      </c>
      <c r="F393" s="265" t="s">
        <v>7300</v>
      </c>
      <c r="G393" s="268" t="str">
        <f>IF(COUNTIF(H393:AU393,"&lt;&gt;")=0,"",SUMPRODUCT(((Recommendations[ImplStatus]="Implemented")+(Recommendations[ImplStatus]="Compensated"))*ISNUMBER(MATCH(Recommendations[Id],H393:AU393,0)))/COUNTIF(H393:AU393,"&lt;&gt;"))</f>
        <v/>
      </c>
      <c r="H393" s="269"/>
      <c r="I393" s="269"/>
      <c r="J393" s="269"/>
      <c r="K393" s="269"/>
      <c r="L393" s="269"/>
      <c r="M393" s="269"/>
      <c r="N393" s="269"/>
      <c r="O393" s="269"/>
      <c r="P393" s="269"/>
      <c r="Q393" s="269"/>
      <c r="R393" s="269"/>
      <c r="S393" s="269"/>
      <c r="T393" s="269"/>
      <c r="U393" s="269"/>
      <c r="V393" s="269"/>
      <c r="W393" s="269"/>
      <c r="X393" s="269"/>
      <c r="Y393" s="269"/>
      <c r="Z393" s="269"/>
      <c r="AA393" s="269"/>
      <c r="AB393" s="269"/>
      <c r="AC393" s="269"/>
      <c r="AD393" s="269"/>
      <c r="AE393" s="269"/>
      <c r="AF393" s="269"/>
      <c r="AG393" s="269"/>
      <c r="AH393" s="269"/>
      <c r="AI393" s="269"/>
      <c r="AJ393" s="269"/>
      <c r="AK393" s="269"/>
      <c r="AL393" s="269"/>
      <c r="AM393" s="269"/>
      <c r="AN393" s="269"/>
      <c r="AO393" s="269"/>
      <c r="AP393" s="269"/>
      <c r="AQ393" s="269"/>
      <c r="AR393" s="269"/>
      <c r="AS393" s="269"/>
      <c r="AT393" s="269"/>
      <c r="AU393" s="283"/>
    </row>
    <row r="394" spans="1:47" ht="60" customHeight="1" x14ac:dyDescent="0.35">
      <c r="A394" s="279" t="s">
        <v>7265</v>
      </c>
      <c r="B394" s="257" t="s">
        <v>7297</v>
      </c>
      <c r="C394" s="258" t="s">
        <v>7313</v>
      </c>
      <c r="D394" s="261" t="s">
        <v>7314</v>
      </c>
      <c r="E394" s="262" t="s">
        <v>6801</v>
      </c>
      <c r="F394" s="265" t="s">
        <v>7300</v>
      </c>
      <c r="G394" s="268" t="str">
        <f>IF(COUNTIF(H394:AU394,"&lt;&gt;")=0,"",SUMPRODUCT(((Recommendations[ImplStatus]="Implemented")+(Recommendations[ImplStatus]="Compensated"))*ISNUMBER(MATCH(Recommendations[Id],H394:AU394,0)))/COUNTIF(H394:AU394,"&lt;&gt;"))</f>
        <v/>
      </c>
      <c r="H394" s="269"/>
      <c r="I394" s="269"/>
      <c r="J394" s="269"/>
      <c r="K394" s="269"/>
      <c r="L394" s="269"/>
      <c r="M394" s="269"/>
      <c r="N394" s="269"/>
      <c r="O394" s="269"/>
      <c r="P394" s="269"/>
      <c r="Q394" s="269"/>
      <c r="R394" s="269"/>
      <c r="S394" s="269"/>
      <c r="T394" s="269"/>
      <c r="U394" s="269"/>
      <c r="V394" s="269"/>
      <c r="W394" s="269"/>
      <c r="X394" s="269"/>
      <c r="Y394" s="269"/>
      <c r="Z394" s="269"/>
      <c r="AA394" s="269"/>
      <c r="AB394" s="269"/>
      <c r="AC394" s="269"/>
      <c r="AD394" s="269"/>
      <c r="AE394" s="269"/>
      <c r="AF394" s="269"/>
      <c r="AG394" s="269"/>
      <c r="AH394" s="269"/>
      <c r="AI394" s="269"/>
      <c r="AJ394" s="269"/>
      <c r="AK394" s="269"/>
      <c r="AL394" s="269"/>
      <c r="AM394" s="269"/>
      <c r="AN394" s="269"/>
      <c r="AO394" s="269"/>
      <c r="AP394" s="269"/>
      <c r="AQ394" s="269"/>
      <c r="AR394" s="269"/>
      <c r="AS394" s="269"/>
      <c r="AT394" s="269"/>
      <c r="AU394" s="283"/>
    </row>
    <row r="395" spans="1:47" ht="60" customHeight="1" x14ac:dyDescent="0.35">
      <c r="A395" s="279" t="s">
        <v>7265</v>
      </c>
      <c r="B395" s="257" t="s">
        <v>7297</v>
      </c>
      <c r="C395" s="258" t="s">
        <v>7315</v>
      </c>
      <c r="D395" s="261" t="s">
        <v>7316</v>
      </c>
      <c r="E395" s="262" t="s">
        <v>6618</v>
      </c>
      <c r="F395" s="265" t="s">
        <v>7300</v>
      </c>
      <c r="G395" s="268" t="str">
        <f>IF(COUNTIF(H395:AU395,"&lt;&gt;")=0,"",SUMPRODUCT(((Recommendations[ImplStatus]="Implemented")+(Recommendations[ImplStatus]="Compensated"))*ISNUMBER(MATCH(Recommendations[Id],H395:AU395,0)))/COUNTIF(H395:AU395,"&lt;&gt;"))</f>
        <v/>
      </c>
      <c r="H395" s="269"/>
      <c r="I395" s="269"/>
      <c r="J395" s="269"/>
      <c r="K395" s="269"/>
      <c r="L395" s="269"/>
      <c r="M395" s="269"/>
      <c r="N395" s="269"/>
      <c r="O395" s="269"/>
      <c r="P395" s="269"/>
      <c r="Q395" s="269"/>
      <c r="R395" s="269"/>
      <c r="S395" s="269"/>
      <c r="T395" s="269"/>
      <c r="U395" s="269"/>
      <c r="V395" s="269"/>
      <c r="W395" s="269"/>
      <c r="X395" s="269"/>
      <c r="Y395" s="269"/>
      <c r="Z395" s="269"/>
      <c r="AA395" s="269"/>
      <c r="AB395" s="269"/>
      <c r="AC395" s="269"/>
      <c r="AD395" s="269"/>
      <c r="AE395" s="269"/>
      <c r="AF395" s="269"/>
      <c r="AG395" s="269"/>
      <c r="AH395" s="269"/>
      <c r="AI395" s="269"/>
      <c r="AJ395" s="269"/>
      <c r="AK395" s="269"/>
      <c r="AL395" s="269"/>
      <c r="AM395" s="269"/>
      <c r="AN395" s="269"/>
      <c r="AO395" s="269"/>
      <c r="AP395" s="269"/>
      <c r="AQ395" s="269"/>
      <c r="AR395" s="269"/>
      <c r="AS395" s="269"/>
      <c r="AT395" s="269"/>
      <c r="AU395" s="283"/>
    </row>
    <row r="396" spans="1:47" ht="60" customHeight="1" x14ac:dyDescent="0.35">
      <c r="A396" s="279" t="s">
        <v>7265</v>
      </c>
      <c r="B396" s="257" t="s">
        <v>7297</v>
      </c>
      <c r="C396" s="258" t="s">
        <v>7317</v>
      </c>
      <c r="D396" s="261" t="s">
        <v>7318</v>
      </c>
      <c r="E396" s="262" t="s">
        <v>6801</v>
      </c>
      <c r="F396" s="265" t="s">
        <v>7300</v>
      </c>
      <c r="G396" s="268" t="str">
        <f>IF(COUNTIF(H396:AU396,"&lt;&gt;")=0,"",SUMPRODUCT(((Recommendations[ImplStatus]="Implemented")+(Recommendations[ImplStatus]="Compensated"))*ISNUMBER(MATCH(Recommendations[Id],H396:AU396,0)))/COUNTIF(H396:AU396,"&lt;&gt;"))</f>
        <v/>
      </c>
      <c r="H396" s="269"/>
      <c r="I396" s="269"/>
      <c r="J396" s="269"/>
      <c r="K396" s="269"/>
      <c r="L396" s="269"/>
      <c r="M396" s="269"/>
      <c r="N396" s="269"/>
      <c r="O396" s="269"/>
      <c r="P396" s="269"/>
      <c r="Q396" s="269"/>
      <c r="R396" s="269"/>
      <c r="S396" s="269"/>
      <c r="T396" s="269"/>
      <c r="U396" s="269"/>
      <c r="V396" s="269"/>
      <c r="W396" s="269"/>
      <c r="X396" s="269"/>
      <c r="Y396" s="269"/>
      <c r="Z396" s="269"/>
      <c r="AA396" s="269"/>
      <c r="AB396" s="269"/>
      <c r="AC396" s="269"/>
      <c r="AD396" s="269"/>
      <c r="AE396" s="269"/>
      <c r="AF396" s="269"/>
      <c r="AG396" s="269"/>
      <c r="AH396" s="269"/>
      <c r="AI396" s="269"/>
      <c r="AJ396" s="269"/>
      <c r="AK396" s="269"/>
      <c r="AL396" s="269"/>
      <c r="AM396" s="269"/>
      <c r="AN396" s="269"/>
      <c r="AO396" s="269"/>
      <c r="AP396" s="269"/>
      <c r="AQ396" s="269"/>
      <c r="AR396" s="269"/>
      <c r="AS396" s="269"/>
      <c r="AT396" s="269"/>
      <c r="AU396" s="283"/>
    </row>
    <row r="397" spans="1:47" ht="60" customHeight="1" x14ac:dyDescent="0.35">
      <c r="A397" s="279" t="s">
        <v>7265</v>
      </c>
      <c r="B397" s="257" t="s">
        <v>7297</v>
      </c>
      <c r="C397" s="258" t="s">
        <v>7319</v>
      </c>
      <c r="D397" s="261" t="s">
        <v>7320</v>
      </c>
      <c r="E397" s="262" t="s">
        <v>6551</v>
      </c>
      <c r="F397" s="265" t="s">
        <v>7300</v>
      </c>
      <c r="G397" s="268" t="str">
        <f>IF(COUNTIF(H397:AU397,"&lt;&gt;")=0,"",SUMPRODUCT(((Recommendations[ImplStatus]="Implemented")+(Recommendations[ImplStatus]="Compensated"))*ISNUMBER(MATCH(Recommendations[Id],H397:AU397,0)))/COUNTIF(H397:AU397,"&lt;&gt;"))</f>
        <v/>
      </c>
      <c r="H397" s="269"/>
      <c r="I397" s="269"/>
      <c r="J397" s="269"/>
      <c r="K397" s="269"/>
      <c r="L397" s="269"/>
      <c r="M397" s="269"/>
      <c r="N397" s="269"/>
      <c r="O397" s="269"/>
      <c r="P397" s="269"/>
      <c r="Q397" s="269"/>
      <c r="R397" s="269"/>
      <c r="S397" s="269"/>
      <c r="T397" s="269"/>
      <c r="U397" s="269"/>
      <c r="V397" s="269"/>
      <c r="W397" s="269"/>
      <c r="X397" s="269"/>
      <c r="Y397" s="269"/>
      <c r="Z397" s="269"/>
      <c r="AA397" s="269"/>
      <c r="AB397" s="269"/>
      <c r="AC397" s="269"/>
      <c r="AD397" s="269"/>
      <c r="AE397" s="269"/>
      <c r="AF397" s="269"/>
      <c r="AG397" s="269"/>
      <c r="AH397" s="269"/>
      <c r="AI397" s="269"/>
      <c r="AJ397" s="269"/>
      <c r="AK397" s="269"/>
      <c r="AL397" s="269"/>
      <c r="AM397" s="269"/>
      <c r="AN397" s="269"/>
      <c r="AO397" s="269"/>
      <c r="AP397" s="269"/>
      <c r="AQ397" s="269"/>
      <c r="AR397" s="269"/>
      <c r="AS397" s="269"/>
      <c r="AT397" s="269"/>
      <c r="AU397" s="283"/>
    </row>
    <row r="398" spans="1:47" ht="60" customHeight="1" x14ac:dyDescent="0.35">
      <c r="A398" s="279" t="s">
        <v>7265</v>
      </c>
      <c r="B398" s="257" t="s">
        <v>7297</v>
      </c>
      <c r="C398" s="258" t="s">
        <v>7321</v>
      </c>
      <c r="D398" s="261" t="s">
        <v>7322</v>
      </c>
      <c r="E398" s="262" t="s">
        <v>6666</v>
      </c>
      <c r="F398" s="265" t="s">
        <v>7300</v>
      </c>
      <c r="G398" s="268" t="str">
        <f>IF(COUNTIF(H398:AU398,"&lt;&gt;")=0,"",SUMPRODUCT(((Recommendations[ImplStatus]="Implemented")+(Recommendations[ImplStatus]="Compensated"))*ISNUMBER(MATCH(Recommendations[Id],H398:AU398,0)))/COUNTIF(H398:AU398,"&lt;&gt;"))</f>
        <v/>
      </c>
      <c r="H398" s="269"/>
      <c r="I398" s="269"/>
      <c r="J398" s="269"/>
      <c r="K398" s="269"/>
      <c r="L398" s="269"/>
      <c r="M398" s="269"/>
      <c r="N398" s="269"/>
      <c r="O398" s="269"/>
      <c r="P398" s="269"/>
      <c r="Q398" s="269"/>
      <c r="R398" s="269"/>
      <c r="S398" s="269"/>
      <c r="T398" s="269"/>
      <c r="U398" s="269"/>
      <c r="V398" s="269"/>
      <c r="W398" s="269"/>
      <c r="X398" s="269"/>
      <c r="Y398" s="269"/>
      <c r="Z398" s="269"/>
      <c r="AA398" s="269"/>
      <c r="AB398" s="269"/>
      <c r="AC398" s="269"/>
      <c r="AD398" s="269"/>
      <c r="AE398" s="269"/>
      <c r="AF398" s="269"/>
      <c r="AG398" s="269"/>
      <c r="AH398" s="269"/>
      <c r="AI398" s="269"/>
      <c r="AJ398" s="269"/>
      <c r="AK398" s="269"/>
      <c r="AL398" s="269"/>
      <c r="AM398" s="269"/>
      <c r="AN398" s="269"/>
      <c r="AO398" s="269"/>
      <c r="AP398" s="269"/>
      <c r="AQ398" s="269"/>
      <c r="AR398" s="269"/>
      <c r="AS398" s="269"/>
      <c r="AT398" s="269"/>
      <c r="AU398" s="283"/>
    </row>
    <row r="399" spans="1:47" ht="60" customHeight="1" x14ac:dyDescent="0.35">
      <c r="A399" s="279" t="s">
        <v>7265</v>
      </c>
      <c r="B399" s="257" t="s">
        <v>7297</v>
      </c>
      <c r="C399" s="258" t="s">
        <v>7323</v>
      </c>
      <c r="D399" s="261" t="s">
        <v>7324</v>
      </c>
      <c r="E399" s="262" t="s">
        <v>6801</v>
      </c>
      <c r="F399" s="265" t="s">
        <v>7300</v>
      </c>
      <c r="G399" s="268" t="str">
        <f>IF(COUNTIF(H399:AU399,"&lt;&gt;")=0,"",SUMPRODUCT(((Recommendations[ImplStatus]="Implemented")+(Recommendations[ImplStatus]="Compensated"))*ISNUMBER(MATCH(Recommendations[Id],H399:AU399,0)))/COUNTIF(H399:AU399,"&lt;&gt;"))</f>
        <v/>
      </c>
      <c r="H399" s="269"/>
      <c r="I399" s="269"/>
      <c r="J399" s="269"/>
      <c r="K399" s="269"/>
      <c r="L399" s="269"/>
      <c r="M399" s="269"/>
      <c r="N399" s="269"/>
      <c r="O399" s="269"/>
      <c r="P399" s="269"/>
      <c r="Q399" s="269"/>
      <c r="R399" s="269"/>
      <c r="S399" s="269"/>
      <c r="T399" s="269"/>
      <c r="U399" s="269"/>
      <c r="V399" s="269"/>
      <c r="W399" s="269"/>
      <c r="X399" s="269"/>
      <c r="Y399" s="269"/>
      <c r="Z399" s="269"/>
      <c r="AA399" s="269"/>
      <c r="AB399" s="269"/>
      <c r="AC399" s="269"/>
      <c r="AD399" s="269"/>
      <c r="AE399" s="269"/>
      <c r="AF399" s="269"/>
      <c r="AG399" s="269"/>
      <c r="AH399" s="269"/>
      <c r="AI399" s="269"/>
      <c r="AJ399" s="269"/>
      <c r="AK399" s="269"/>
      <c r="AL399" s="269"/>
      <c r="AM399" s="269"/>
      <c r="AN399" s="269"/>
      <c r="AO399" s="269"/>
      <c r="AP399" s="269"/>
      <c r="AQ399" s="269"/>
      <c r="AR399" s="269"/>
      <c r="AS399" s="269"/>
      <c r="AT399" s="269"/>
      <c r="AU399" s="283"/>
    </row>
    <row r="400" spans="1:47" ht="60" customHeight="1" x14ac:dyDescent="0.35">
      <c r="A400" s="279" t="s">
        <v>7265</v>
      </c>
      <c r="B400" s="257" t="s">
        <v>7297</v>
      </c>
      <c r="C400" s="258" t="s">
        <v>7325</v>
      </c>
      <c r="D400" s="261" t="s">
        <v>7326</v>
      </c>
      <c r="E400" s="262" t="s">
        <v>6801</v>
      </c>
      <c r="F400" s="265" t="s">
        <v>7300</v>
      </c>
      <c r="G400" s="268" t="str">
        <f>IF(COUNTIF(H400:AU400,"&lt;&gt;")=0,"",SUMPRODUCT(((Recommendations[ImplStatus]="Implemented")+(Recommendations[ImplStatus]="Compensated"))*ISNUMBER(MATCH(Recommendations[Id],H400:AU400,0)))/COUNTIF(H400:AU400,"&lt;&gt;"))</f>
        <v/>
      </c>
      <c r="H400" s="269"/>
      <c r="I400" s="269"/>
      <c r="J400" s="269"/>
      <c r="K400" s="269"/>
      <c r="L400" s="269"/>
      <c r="M400" s="269"/>
      <c r="N400" s="269"/>
      <c r="O400" s="269"/>
      <c r="P400" s="269"/>
      <c r="Q400" s="269"/>
      <c r="R400" s="269"/>
      <c r="S400" s="269"/>
      <c r="T400" s="269"/>
      <c r="U400" s="269"/>
      <c r="V400" s="269"/>
      <c r="W400" s="269"/>
      <c r="X400" s="269"/>
      <c r="Y400" s="269"/>
      <c r="Z400" s="269"/>
      <c r="AA400" s="269"/>
      <c r="AB400" s="269"/>
      <c r="AC400" s="269"/>
      <c r="AD400" s="269"/>
      <c r="AE400" s="269"/>
      <c r="AF400" s="269"/>
      <c r="AG400" s="269"/>
      <c r="AH400" s="269"/>
      <c r="AI400" s="269"/>
      <c r="AJ400" s="269"/>
      <c r="AK400" s="269"/>
      <c r="AL400" s="269"/>
      <c r="AM400" s="269"/>
      <c r="AN400" s="269"/>
      <c r="AO400" s="269"/>
      <c r="AP400" s="269"/>
      <c r="AQ400" s="269"/>
      <c r="AR400" s="269"/>
      <c r="AS400" s="269"/>
      <c r="AT400" s="269"/>
      <c r="AU400" s="283"/>
    </row>
    <row r="401" spans="1:47" ht="60" customHeight="1" x14ac:dyDescent="0.35">
      <c r="A401" s="279" t="s">
        <v>7265</v>
      </c>
      <c r="B401" s="257" t="s">
        <v>7297</v>
      </c>
      <c r="C401" s="258" t="s">
        <v>7327</v>
      </c>
      <c r="D401" s="261" t="s">
        <v>7328</v>
      </c>
      <c r="E401" s="262" t="s">
        <v>6551</v>
      </c>
      <c r="F401" s="265" t="s">
        <v>7300</v>
      </c>
      <c r="G401" s="268" t="str">
        <f>IF(COUNTIF(H401:AU401,"&lt;&gt;")=0,"",SUMPRODUCT(((Recommendations[ImplStatus]="Implemented")+(Recommendations[ImplStatus]="Compensated"))*ISNUMBER(MATCH(Recommendations[Id],H401:AU401,0)))/COUNTIF(H401:AU401,"&lt;&gt;"))</f>
        <v/>
      </c>
      <c r="H401" s="269"/>
      <c r="I401" s="269"/>
      <c r="J401" s="269"/>
      <c r="K401" s="269"/>
      <c r="L401" s="269"/>
      <c r="M401" s="269"/>
      <c r="N401" s="269"/>
      <c r="O401" s="269"/>
      <c r="P401" s="269"/>
      <c r="Q401" s="269"/>
      <c r="R401" s="269"/>
      <c r="S401" s="269"/>
      <c r="T401" s="269"/>
      <c r="U401" s="269"/>
      <c r="V401" s="269"/>
      <c r="W401" s="269"/>
      <c r="X401" s="269"/>
      <c r="Y401" s="269"/>
      <c r="Z401" s="269"/>
      <c r="AA401" s="269"/>
      <c r="AB401" s="269"/>
      <c r="AC401" s="269"/>
      <c r="AD401" s="269"/>
      <c r="AE401" s="269"/>
      <c r="AF401" s="269"/>
      <c r="AG401" s="269"/>
      <c r="AH401" s="269"/>
      <c r="AI401" s="269"/>
      <c r="AJ401" s="269"/>
      <c r="AK401" s="269"/>
      <c r="AL401" s="269"/>
      <c r="AM401" s="269"/>
      <c r="AN401" s="269"/>
      <c r="AO401" s="269"/>
      <c r="AP401" s="269"/>
      <c r="AQ401" s="269"/>
      <c r="AR401" s="269"/>
      <c r="AS401" s="269"/>
      <c r="AT401" s="269"/>
      <c r="AU401" s="283"/>
    </row>
    <row r="402" spans="1:47" ht="60" customHeight="1" x14ac:dyDescent="0.35">
      <c r="A402" s="279" t="s">
        <v>7265</v>
      </c>
      <c r="B402" s="257" t="s">
        <v>7297</v>
      </c>
      <c r="C402" s="258" t="s">
        <v>7329</v>
      </c>
      <c r="D402" s="261" t="s">
        <v>7330</v>
      </c>
      <c r="E402" s="262" t="s">
        <v>6551</v>
      </c>
      <c r="F402" s="265" t="s">
        <v>7300</v>
      </c>
      <c r="G402" s="268" t="str">
        <f>IF(COUNTIF(H402:AU402,"&lt;&gt;")=0,"",SUMPRODUCT(((Recommendations[ImplStatus]="Implemented")+(Recommendations[ImplStatus]="Compensated"))*ISNUMBER(MATCH(Recommendations[Id],H402:AU402,0)))/COUNTIF(H402:AU402,"&lt;&gt;"))</f>
        <v/>
      </c>
      <c r="H402" s="269"/>
      <c r="I402" s="269"/>
      <c r="J402" s="269"/>
      <c r="K402" s="269"/>
      <c r="L402" s="269"/>
      <c r="M402" s="269"/>
      <c r="N402" s="269"/>
      <c r="O402" s="269"/>
      <c r="P402" s="269"/>
      <c r="Q402" s="269"/>
      <c r="R402" s="269"/>
      <c r="S402" s="269"/>
      <c r="T402" s="269"/>
      <c r="U402" s="269"/>
      <c r="V402" s="269"/>
      <c r="W402" s="269"/>
      <c r="X402" s="269"/>
      <c r="Y402" s="269"/>
      <c r="Z402" s="269"/>
      <c r="AA402" s="269"/>
      <c r="AB402" s="269"/>
      <c r="AC402" s="269"/>
      <c r="AD402" s="269"/>
      <c r="AE402" s="269"/>
      <c r="AF402" s="269"/>
      <c r="AG402" s="269"/>
      <c r="AH402" s="269"/>
      <c r="AI402" s="269"/>
      <c r="AJ402" s="269"/>
      <c r="AK402" s="269"/>
      <c r="AL402" s="269"/>
      <c r="AM402" s="269"/>
      <c r="AN402" s="269"/>
      <c r="AO402" s="269"/>
      <c r="AP402" s="269"/>
      <c r="AQ402" s="269"/>
      <c r="AR402" s="269"/>
      <c r="AS402" s="269"/>
      <c r="AT402" s="269"/>
      <c r="AU402" s="283"/>
    </row>
    <row r="403" spans="1:47" ht="60" customHeight="1" x14ac:dyDescent="0.35">
      <c r="A403" s="279" t="s">
        <v>7265</v>
      </c>
      <c r="B403" s="257" t="s">
        <v>7297</v>
      </c>
      <c r="C403" s="258" t="s">
        <v>7331</v>
      </c>
      <c r="D403" s="261" t="s">
        <v>7332</v>
      </c>
      <c r="E403" s="262" t="s">
        <v>6551</v>
      </c>
      <c r="F403" s="265" t="s">
        <v>7300</v>
      </c>
      <c r="G403" s="268" t="str">
        <f>IF(COUNTIF(H403:AU403,"&lt;&gt;")=0,"",SUMPRODUCT(((Recommendations[ImplStatus]="Implemented")+(Recommendations[ImplStatus]="Compensated"))*ISNUMBER(MATCH(Recommendations[Id],H403:AU403,0)))/COUNTIF(H403:AU403,"&lt;&gt;"))</f>
        <v/>
      </c>
      <c r="H403" s="269"/>
      <c r="I403" s="269"/>
      <c r="J403" s="269"/>
      <c r="K403" s="269"/>
      <c r="L403" s="269"/>
      <c r="M403" s="269"/>
      <c r="N403" s="269"/>
      <c r="O403" s="269"/>
      <c r="P403" s="269"/>
      <c r="Q403" s="269"/>
      <c r="R403" s="269"/>
      <c r="S403" s="269"/>
      <c r="T403" s="269"/>
      <c r="U403" s="269"/>
      <c r="V403" s="269"/>
      <c r="W403" s="269"/>
      <c r="X403" s="269"/>
      <c r="Y403" s="269"/>
      <c r="Z403" s="269"/>
      <c r="AA403" s="269"/>
      <c r="AB403" s="269"/>
      <c r="AC403" s="269"/>
      <c r="AD403" s="269"/>
      <c r="AE403" s="269"/>
      <c r="AF403" s="269"/>
      <c r="AG403" s="269"/>
      <c r="AH403" s="269"/>
      <c r="AI403" s="269"/>
      <c r="AJ403" s="269"/>
      <c r="AK403" s="269"/>
      <c r="AL403" s="269"/>
      <c r="AM403" s="269"/>
      <c r="AN403" s="269"/>
      <c r="AO403" s="269"/>
      <c r="AP403" s="269"/>
      <c r="AQ403" s="269"/>
      <c r="AR403" s="269"/>
      <c r="AS403" s="269"/>
      <c r="AT403" s="269"/>
      <c r="AU403" s="283"/>
    </row>
    <row r="404" spans="1:47" ht="60" customHeight="1" x14ac:dyDescent="0.35">
      <c r="A404" s="279" t="s">
        <v>7265</v>
      </c>
      <c r="B404" s="257" t="s">
        <v>7297</v>
      </c>
      <c r="C404" s="258" t="s">
        <v>7333</v>
      </c>
      <c r="D404" s="261" t="s">
        <v>7334</v>
      </c>
      <c r="E404" s="262" t="s">
        <v>6666</v>
      </c>
      <c r="F404" s="265" t="s">
        <v>7300</v>
      </c>
      <c r="G404" s="268" t="str">
        <f>IF(COUNTIF(H404:AU404,"&lt;&gt;")=0,"",SUMPRODUCT(((Recommendations[ImplStatus]="Implemented")+(Recommendations[ImplStatus]="Compensated"))*ISNUMBER(MATCH(Recommendations[Id],H404:AU404,0)))/COUNTIF(H404:AU404,"&lt;&gt;"))</f>
        <v/>
      </c>
      <c r="H404" s="269"/>
      <c r="I404" s="269"/>
      <c r="J404" s="269"/>
      <c r="K404" s="269"/>
      <c r="L404" s="269"/>
      <c r="M404" s="269"/>
      <c r="N404" s="269"/>
      <c r="O404" s="269"/>
      <c r="P404" s="269"/>
      <c r="Q404" s="269"/>
      <c r="R404" s="269"/>
      <c r="S404" s="269"/>
      <c r="T404" s="269"/>
      <c r="U404" s="269"/>
      <c r="V404" s="269"/>
      <c r="W404" s="269"/>
      <c r="X404" s="269"/>
      <c r="Y404" s="269"/>
      <c r="Z404" s="269"/>
      <c r="AA404" s="269"/>
      <c r="AB404" s="269"/>
      <c r="AC404" s="269"/>
      <c r="AD404" s="269"/>
      <c r="AE404" s="269"/>
      <c r="AF404" s="269"/>
      <c r="AG404" s="269"/>
      <c r="AH404" s="269"/>
      <c r="AI404" s="269"/>
      <c r="AJ404" s="269"/>
      <c r="AK404" s="269"/>
      <c r="AL404" s="269"/>
      <c r="AM404" s="269"/>
      <c r="AN404" s="269"/>
      <c r="AO404" s="269"/>
      <c r="AP404" s="269"/>
      <c r="AQ404" s="269"/>
      <c r="AR404" s="269"/>
      <c r="AS404" s="269"/>
      <c r="AT404" s="269"/>
      <c r="AU404" s="283"/>
    </row>
    <row r="405" spans="1:47" ht="60" customHeight="1" x14ac:dyDescent="0.35">
      <c r="A405" s="279" t="s">
        <v>7265</v>
      </c>
      <c r="B405" s="257" t="s">
        <v>7297</v>
      </c>
      <c r="C405" s="258" t="s">
        <v>7335</v>
      </c>
      <c r="D405" s="261" t="s">
        <v>7336</v>
      </c>
      <c r="E405" s="262" t="s">
        <v>6666</v>
      </c>
      <c r="F405" s="265" t="s">
        <v>7300</v>
      </c>
      <c r="G405" s="268" t="str">
        <f>IF(COUNTIF(H405:AU405,"&lt;&gt;")=0,"",SUMPRODUCT(((Recommendations[ImplStatus]="Implemented")+(Recommendations[ImplStatus]="Compensated"))*ISNUMBER(MATCH(Recommendations[Id],H405:AU405,0)))/COUNTIF(H405:AU405,"&lt;&gt;"))</f>
        <v/>
      </c>
      <c r="H405" s="269"/>
      <c r="I405" s="269"/>
      <c r="J405" s="269"/>
      <c r="K405" s="269"/>
      <c r="L405" s="269"/>
      <c r="M405" s="269"/>
      <c r="N405" s="269"/>
      <c r="O405" s="269"/>
      <c r="P405" s="269"/>
      <c r="Q405" s="269"/>
      <c r="R405" s="269"/>
      <c r="S405" s="269"/>
      <c r="T405" s="269"/>
      <c r="U405" s="269"/>
      <c r="V405" s="269"/>
      <c r="W405" s="269"/>
      <c r="X405" s="269"/>
      <c r="Y405" s="269"/>
      <c r="Z405" s="269"/>
      <c r="AA405" s="269"/>
      <c r="AB405" s="269"/>
      <c r="AC405" s="269"/>
      <c r="AD405" s="269"/>
      <c r="AE405" s="269"/>
      <c r="AF405" s="269"/>
      <c r="AG405" s="269"/>
      <c r="AH405" s="269"/>
      <c r="AI405" s="269"/>
      <c r="AJ405" s="269"/>
      <c r="AK405" s="269"/>
      <c r="AL405" s="269"/>
      <c r="AM405" s="269"/>
      <c r="AN405" s="269"/>
      <c r="AO405" s="269"/>
      <c r="AP405" s="269"/>
      <c r="AQ405" s="269"/>
      <c r="AR405" s="269"/>
      <c r="AS405" s="269"/>
      <c r="AT405" s="269"/>
      <c r="AU405" s="283"/>
    </row>
    <row r="406" spans="1:47" ht="60" customHeight="1" x14ac:dyDescent="0.35">
      <c r="A406" s="279" t="s">
        <v>7265</v>
      </c>
      <c r="B406" s="257" t="s">
        <v>7297</v>
      </c>
      <c r="C406" s="258" t="s">
        <v>7337</v>
      </c>
      <c r="D406" s="261" t="s">
        <v>7338</v>
      </c>
      <c r="E406" s="262" t="s">
        <v>6666</v>
      </c>
      <c r="F406" s="265" t="s">
        <v>7339</v>
      </c>
      <c r="G406" s="268" t="str">
        <f>IF(COUNTIF(H406:AU406,"&lt;&gt;")=0,"",SUMPRODUCT(((Recommendations[ImplStatus]="Implemented")+(Recommendations[ImplStatus]="Compensated"))*ISNUMBER(MATCH(Recommendations[Id],H406:AU406,0)))/COUNTIF(H406:AU406,"&lt;&gt;"))</f>
        <v/>
      </c>
      <c r="H406" s="269"/>
      <c r="I406" s="269"/>
      <c r="J406" s="269"/>
      <c r="K406" s="269"/>
      <c r="L406" s="269"/>
      <c r="M406" s="269"/>
      <c r="N406" s="269"/>
      <c r="O406" s="269"/>
      <c r="P406" s="269"/>
      <c r="Q406" s="269"/>
      <c r="R406" s="269"/>
      <c r="S406" s="269"/>
      <c r="T406" s="269"/>
      <c r="U406" s="269"/>
      <c r="V406" s="269"/>
      <c r="W406" s="269"/>
      <c r="X406" s="269"/>
      <c r="Y406" s="269"/>
      <c r="Z406" s="269"/>
      <c r="AA406" s="269"/>
      <c r="AB406" s="269"/>
      <c r="AC406" s="269"/>
      <c r="AD406" s="269"/>
      <c r="AE406" s="269"/>
      <c r="AF406" s="269"/>
      <c r="AG406" s="269"/>
      <c r="AH406" s="269"/>
      <c r="AI406" s="269"/>
      <c r="AJ406" s="269"/>
      <c r="AK406" s="269"/>
      <c r="AL406" s="269"/>
      <c r="AM406" s="269"/>
      <c r="AN406" s="269"/>
      <c r="AO406" s="269"/>
      <c r="AP406" s="269"/>
      <c r="AQ406" s="269"/>
      <c r="AR406" s="269"/>
      <c r="AS406" s="269"/>
      <c r="AT406" s="269"/>
      <c r="AU406" s="283"/>
    </row>
    <row r="407" spans="1:47" ht="60" customHeight="1" x14ac:dyDescent="0.35">
      <c r="A407" s="279" t="s">
        <v>7265</v>
      </c>
      <c r="B407" s="257" t="s">
        <v>7297</v>
      </c>
      <c r="C407" s="258" t="s">
        <v>7340</v>
      </c>
      <c r="D407" s="261" t="s">
        <v>7341</v>
      </c>
      <c r="E407" s="262" t="s">
        <v>6666</v>
      </c>
      <c r="F407" s="265" t="s">
        <v>7300</v>
      </c>
      <c r="G407" s="268" t="str">
        <f>IF(COUNTIF(H407:AU407,"&lt;&gt;")=0,"",SUMPRODUCT(((Recommendations[ImplStatus]="Implemented")+(Recommendations[ImplStatus]="Compensated"))*ISNUMBER(MATCH(Recommendations[Id],H407:AU407,0)))/COUNTIF(H407:AU407,"&lt;&gt;"))</f>
        <v/>
      </c>
      <c r="H407" s="269"/>
      <c r="I407" s="269"/>
      <c r="J407" s="269"/>
      <c r="K407" s="269"/>
      <c r="L407" s="269"/>
      <c r="M407" s="269"/>
      <c r="N407" s="269"/>
      <c r="O407" s="269"/>
      <c r="P407" s="269"/>
      <c r="Q407" s="269"/>
      <c r="R407" s="269"/>
      <c r="S407" s="269"/>
      <c r="T407" s="269"/>
      <c r="U407" s="269"/>
      <c r="V407" s="269"/>
      <c r="W407" s="269"/>
      <c r="X407" s="269"/>
      <c r="Y407" s="269"/>
      <c r="Z407" s="269"/>
      <c r="AA407" s="269"/>
      <c r="AB407" s="269"/>
      <c r="AC407" s="269"/>
      <c r="AD407" s="269"/>
      <c r="AE407" s="269"/>
      <c r="AF407" s="269"/>
      <c r="AG407" s="269"/>
      <c r="AH407" s="269"/>
      <c r="AI407" s="269"/>
      <c r="AJ407" s="269"/>
      <c r="AK407" s="269"/>
      <c r="AL407" s="269"/>
      <c r="AM407" s="269"/>
      <c r="AN407" s="269"/>
      <c r="AO407" s="269"/>
      <c r="AP407" s="269"/>
      <c r="AQ407" s="269"/>
      <c r="AR407" s="269"/>
      <c r="AS407" s="269"/>
      <c r="AT407" s="269"/>
      <c r="AU407" s="283"/>
    </row>
    <row r="408" spans="1:47" ht="60" customHeight="1" x14ac:dyDescent="0.35">
      <c r="A408" s="279" t="s">
        <v>7265</v>
      </c>
      <c r="B408" s="257" t="s">
        <v>7297</v>
      </c>
      <c r="C408" s="258" t="s">
        <v>7342</v>
      </c>
      <c r="D408" s="261" t="s">
        <v>7343</v>
      </c>
      <c r="E408" s="262" t="s">
        <v>6666</v>
      </c>
      <c r="F408" s="265" t="s">
        <v>7300</v>
      </c>
      <c r="G408" s="268" t="str">
        <f>IF(COUNTIF(H408:AU408,"&lt;&gt;")=0,"",SUMPRODUCT(((Recommendations[ImplStatus]="Implemented")+(Recommendations[ImplStatus]="Compensated"))*ISNUMBER(MATCH(Recommendations[Id],H408:AU408,0)))/COUNTIF(H408:AU408,"&lt;&gt;"))</f>
        <v/>
      </c>
      <c r="H408" s="269"/>
      <c r="I408" s="269"/>
      <c r="J408" s="269"/>
      <c r="K408" s="269"/>
      <c r="L408" s="269"/>
      <c r="M408" s="269"/>
      <c r="N408" s="269"/>
      <c r="O408" s="269"/>
      <c r="P408" s="269"/>
      <c r="Q408" s="269"/>
      <c r="R408" s="269"/>
      <c r="S408" s="269"/>
      <c r="T408" s="269"/>
      <c r="U408" s="269"/>
      <c r="V408" s="269"/>
      <c r="W408" s="269"/>
      <c r="X408" s="269"/>
      <c r="Y408" s="269"/>
      <c r="Z408" s="269"/>
      <c r="AA408" s="269"/>
      <c r="AB408" s="269"/>
      <c r="AC408" s="269"/>
      <c r="AD408" s="269"/>
      <c r="AE408" s="269"/>
      <c r="AF408" s="269"/>
      <c r="AG408" s="269"/>
      <c r="AH408" s="269"/>
      <c r="AI408" s="269"/>
      <c r="AJ408" s="269"/>
      <c r="AK408" s="269"/>
      <c r="AL408" s="269"/>
      <c r="AM408" s="269"/>
      <c r="AN408" s="269"/>
      <c r="AO408" s="269"/>
      <c r="AP408" s="269"/>
      <c r="AQ408" s="269"/>
      <c r="AR408" s="269"/>
      <c r="AS408" s="269"/>
      <c r="AT408" s="269"/>
      <c r="AU408" s="283"/>
    </row>
    <row r="409" spans="1:47" ht="60" customHeight="1" x14ac:dyDescent="0.35">
      <c r="A409" s="279" t="s">
        <v>7265</v>
      </c>
      <c r="B409" s="257" t="s">
        <v>7297</v>
      </c>
      <c r="C409" s="258" t="s">
        <v>7344</v>
      </c>
      <c r="D409" s="261" t="s">
        <v>7345</v>
      </c>
      <c r="E409" s="262" t="s">
        <v>6666</v>
      </c>
      <c r="F409" s="265" t="s">
        <v>7346</v>
      </c>
      <c r="G409" s="268" t="str">
        <f>IF(COUNTIF(H409:AU409,"&lt;&gt;")=0,"",SUMPRODUCT(((Recommendations[ImplStatus]="Implemented")+(Recommendations[ImplStatus]="Compensated"))*ISNUMBER(MATCH(Recommendations[Id],H409:AU409,0)))/COUNTIF(H409:AU409,"&lt;&gt;"))</f>
        <v/>
      </c>
      <c r="H409" s="269"/>
      <c r="I409" s="269"/>
      <c r="J409" s="269"/>
      <c r="K409" s="269"/>
      <c r="L409" s="269"/>
      <c r="M409" s="269"/>
      <c r="N409" s="269"/>
      <c r="O409" s="269"/>
      <c r="P409" s="269"/>
      <c r="Q409" s="269"/>
      <c r="R409" s="269"/>
      <c r="S409" s="269"/>
      <c r="T409" s="269"/>
      <c r="U409" s="269"/>
      <c r="V409" s="269"/>
      <c r="W409" s="269"/>
      <c r="X409" s="269"/>
      <c r="Y409" s="269"/>
      <c r="Z409" s="269"/>
      <c r="AA409" s="269"/>
      <c r="AB409" s="269"/>
      <c r="AC409" s="269"/>
      <c r="AD409" s="269"/>
      <c r="AE409" s="269"/>
      <c r="AF409" s="269"/>
      <c r="AG409" s="269"/>
      <c r="AH409" s="269"/>
      <c r="AI409" s="269"/>
      <c r="AJ409" s="269"/>
      <c r="AK409" s="269"/>
      <c r="AL409" s="269"/>
      <c r="AM409" s="269"/>
      <c r="AN409" s="269"/>
      <c r="AO409" s="269"/>
      <c r="AP409" s="269"/>
      <c r="AQ409" s="269"/>
      <c r="AR409" s="269"/>
      <c r="AS409" s="269"/>
      <c r="AT409" s="269"/>
      <c r="AU409" s="283"/>
    </row>
    <row r="410" spans="1:47" ht="60" customHeight="1" outlineLevel="2" x14ac:dyDescent="0.35">
      <c r="A410" s="278" t="s">
        <v>7265</v>
      </c>
      <c r="B410" s="256" t="s">
        <v>7347</v>
      </c>
      <c r="C410" s="256"/>
      <c r="D410" s="260"/>
      <c r="E410" s="256"/>
      <c r="F410" s="264"/>
      <c r="G410" s="267" t="str">
        <f>IF(COUNTIF(H410:AU410,"&lt;&gt;")=0,"",SUMPRODUCT(((Recommendations[ImplStatus]="Implemented")+(Recommendations[ImplStatus]="Compensated"))*ISNUMBER(MATCH(Recommendations[Id],H410:AU410,0)))/COUNTIF(H410:AU410,"&lt;&gt;"))</f>
        <v/>
      </c>
      <c r="H410" s="264"/>
      <c r="I410" s="264"/>
      <c r="J410" s="264"/>
      <c r="K410" s="264"/>
      <c r="L410" s="264"/>
      <c r="M410" s="264"/>
      <c r="N410" s="264"/>
      <c r="O410" s="264"/>
      <c r="P410" s="264"/>
      <c r="Q410" s="264"/>
      <c r="R410" s="264"/>
      <c r="S410" s="264"/>
      <c r="T410" s="264"/>
      <c r="U410" s="264"/>
      <c r="V410" s="264"/>
      <c r="W410" s="264"/>
      <c r="X410" s="264"/>
      <c r="Y410" s="264"/>
      <c r="Z410" s="264"/>
      <c r="AA410" s="264"/>
      <c r="AB410" s="264"/>
      <c r="AC410" s="264"/>
      <c r="AD410" s="264"/>
      <c r="AE410" s="264"/>
      <c r="AF410" s="264"/>
      <c r="AG410" s="264"/>
      <c r="AH410" s="264"/>
      <c r="AI410" s="264"/>
      <c r="AJ410" s="264"/>
      <c r="AK410" s="264"/>
      <c r="AL410" s="264"/>
      <c r="AM410" s="264"/>
      <c r="AN410" s="264"/>
      <c r="AO410" s="264"/>
      <c r="AP410" s="264"/>
      <c r="AQ410" s="264"/>
      <c r="AR410" s="264"/>
      <c r="AS410" s="264"/>
      <c r="AT410" s="264"/>
      <c r="AU410" s="282"/>
    </row>
    <row r="411" spans="1:47" ht="60" customHeight="1" x14ac:dyDescent="0.35">
      <c r="A411" s="279" t="s">
        <v>7265</v>
      </c>
      <c r="B411" s="257" t="s">
        <v>7347</v>
      </c>
      <c r="C411" s="258" t="s">
        <v>7348</v>
      </c>
      <c r="D411" s="261" t="s">
        <v>7349</v>
      </c>
      <c r="E411" s="262" t="s">
        <v>6522</v>
      </c>
      <c r="F411" s="265" t="s">
        <v>7272</v>
      </c>
      <c r="G411" s="268" t="str">
        <f>IF(COUNTIF(H411:AU411,"&lt;&gt;")=0,"",SUMPRODUCT(((Recommendations[ImplStatus]="Implemented")+(Recommendations[ImplStatus]="Compensated"))*ISNUMBER(MATCH(Recommendations[Id],H411:AU411,0)))/COUNTIF(H411:AU411,"&lt;&gt;"))</f>
        <v/>
      </c>
      <c r="H411" s="269"/>
      <c r="I411" s="269"/>
      <c r="J411" s="269"/>
      <c r="K411" s="269"/>
      <c r="L411" s="269"/>
      <c r="M411" s="269"/>
      <c r="N411" s="269"/>
      <c r="O411" s="269"/>
      <c r="P411" s="269"/>
      <c r="Q411" s="269"/>
      <c r="R411" s="269"/>
      <c r="S411" s="269"/>
      <c r="T411" s="269"/>
      <c r="U411" s="269"/>
      <c r="V411" s="269"/>
      <c r="W411" s="269"/>
      <c r="X411" s="269"/>
      <c r="Y411" s="269"/>
      <c r="Z411" s="269"/>
      <c r="AA411" s="269"/>
      <c r="AB411" s="269"/>
      <c r="AC411" s="269"/>
      <c r="AD411" s="269"/>
      <c r="AE411" s="269"/>
      <c r="AF411" s="269"/>
      <c r="AG411" s="269"/>
      <c r="AH411" s="269"/>
      <c r="AI411" s="269"/>
      <c r="AJ411" s="269"/>
      <c r="AK411" s="269"/>
      <c r="AL411" s="269"/>
      <c r="AM411" s="269"/>
      <c r="AN411" s="269"/>
      <c r="AO411" s="269"/>
      <c r="AP411" s="269"/>
      <c r="AQ411" s="269"/>
      <c r="AR411" s="269"/>
      <c r="AS411" s="269"/>
      <c r="AT411" s="269"/>
      <c r="AU411" s="283"/>
    </row>
    <row r="412" spans="1:47" ht="60" customHeight="1" x14ac:dyDescent="0.35">
      <c r="A412" s="279" t="s">
        <v>7265</v>
      </c>
      <c r="B412" s="257" t="s">
        <v>7347</v>
      </c>
      <c r="C412" s="258" t="s">
        <v>7350</v>
      </c>
      <c r="D412" s="261" t="s">
        <v>7351</v>
      </c>
      <c r="E412" s="262" t="s">
        <v>6522</v>
      </c>
      <c r="F412" s="265" t="s">
        <v>7272</v>
      </c>
      <c r="G412" s="268" t="str">
        <f>IF(COUNTIF(H412:AU412,"&lt;&gt;")=0,"",SUMPRODUCT(((Recommendations[ImplStatus]="Implemented")+(Recommendations[ImplStatus]="Compensated"))*ISNUMBER(MATCH(Recommendations[Id],H412:AU412,0)))/COUNTIF(H412:AU412,"&lt;&gt;"))</f>
        <v/>
      </c>
      <c r="H412" s="269"/>
      <c r="I412" s="269"/>
      <c r="J412" s="269"/>
      <c r="K412" s="269"/>
      <c r="L412" s="269"/>
      <c r="M412" s="269"/>
      <c r="N412" s="269"/>
      <c r="O412" s="269"/>
      <c r="P412" s="269"/>
      <c r="Q412" s="269"/>
      <c r="R412" s="269"/>
      <c r="S412" s="269"/>
      <c r="T412" s="269"/>
      <c r="U412" s="269"/>
      <c r="V412" s="269"/>
      <c r="W412" s="269"/>
      <c r="X412" s="269"/>
      <c r="Y412" s="269"/>
      <c r="Z412" s="269"/>
      <c r="AA412" s="269"/>
      <c r="AB412" s="269"/>
      <c r="AC412" s="269"/>
      <c r="AD412" s="269"/>
      <c r="AE412" s="269"/>
      <c r="AF412" s="269"/>
      <c r="AG412" s="269"/>
      <c r="AH412" s="269"/>
      <c r="AI412" s="269"/>
      <c r="AJ412" s="269"/>
      <c r="AK412" s="269"/>
      <c r="AL412" s="269"/>
      <c r="AM412" s="269"/>
      <c r="AN412" s="269"/>
      <c r="AO412" s="269"/>
      <c r="AP412" s="269"/>
      <c r="AQ412" s="269"/>
      <c r="AR412" s="269"/>
      <c r="AS412" s="269"/>
      <c r="AT412" s="269"/>
      <c r="AU412" s="283"/>
    </row>
    <row r="413" spans="1:47" ht="60" customHeight="1" x14ac:dyDescent="0.35">
      <c r="A413" s="279" t="s">
        <v>7265</v>
      </c>
      <c r="B413" s="257" t="s">
        <v>7347</v>
      </c>
      <c r="C413" s="258" t="s">
        <v>7352</v>
      </c>
      <c r="D413" s="261" t="s">
        <v>7353</v>
      </c>
      <c r="E413" s="262" t="s">
        <v>6522</v>
      </c>
      <c r="F413" s="265" t="s">
        <v>7272</v>
      </c>
      <c r="G413" s="268" t="str">
        <f>IF(COUNTIF(H413:AU413,"&lt;&gt;")=0,"",SUMPRODUCT(((Recommendations[ImplStatus]="Implemented")+(Recommendations[ImplStatus]="Compensated"))*ISNUMBER(MATCH(Recommendations[Id],H413:AU413,0)))/COUNTIF(H413:AU413,"&lt;&gt;"))</f>
        <v/>
      </c>
      <c r="H413" s="269"/>
      <c r="I413" s="269"/>
      <c r="J413" s="269"/>
      <c r="K413" s="269"/>
      <c r="L413" s="269"/>
      <c r="M413" s="269"/>
      <c r="N413" s="269"/>
      <c r="O413" s="269"/>
      <c r="P413" s="269"/>
      <c r="Q413" s="269"/>
      <c r="R413" s="269"/>
      <c r="S413" s="269"/>
      <c r="T413" s="269"/>
      <c r="U413" s="269"/>
      <c r="V413" s="269"/>
      <c r="W413" s="269"/>
      <c r="X413" s="269"/>
      <c r="Y413" s="269"/>
      <c r="Z413" s="269"/>
      <c r="AA413" s="269"/>
      <c r="AB413" s="269"/>
      <c r="AC413" s="269"/>
      <c r="AD413" s="269"/>
      <c r="AE413" s="269"/>
      <c r="AF413" s="269"/>
      <c r="AG413" s="269"/>
      <c r="AH413" s="269"/>
      <c r="AI413" s="269"/>
      <c r="AJ413" s="269"/>
      <c r="AK413" s="269"/>
      <c r="AL413" s="269"/>
      <c r="AM413" s="269"/>
      <c r="AN413" s="269"/>
      <c r="AO413" s="269"/>
      <c r="AP413" s="269"/>
      <c r="AQ413" s="269"/>
      <c r="AR413" s="269"/>
      <c r="AS413" s="269"/>
      <c r="AT413" s="269"/>
      <c r="AU413" s="283"/>
    </row>
    <row r="414" spans="1:47" ht="60" customHeight="1" x14ac:dyDescent="0.35">
      <c r="A414" s="279" t="s">
        <v>7265</v>
      </c>
      <c r="B414" s="257" t="s">
        <v>7347</v>
      </c>
      <c r="C414" s="258" t="s">
        <v>7354</v>
      </c>
      <c r="D414" s="261" t="s">
        <v>7355</v>
      </c>
      <c r="E414" s="262" t="s">
        <v>6522</v>
      </c>
      <c r="F414" s="265" t="s">
        <v>7272</v>
      </c>
      <c r="G414" s="268" t="str">
        <f>IF(COUNTIF(H414:AU414,"&lt;&gt;")=0,"",SUMPRODUCT(((Recommendations[ImplStatus]="Implemented")+(Recommendations[ImplStatus]="Compensated"))*ISNUMBER(MATCH(Recommendations[Id],H414:AU414,0)))/COUNTIF(H414:AU414,"&lt;&gt;"))</f>
        <v/>
      </c>
      <c r="H414" s="269"/>
      <c r="I414" s="269"/>
      <c r="J414" s="269"/>
      <c r="K414" s="269"/>
      <c r="L414" s="269"/>
      <c r="M414" s="269"/>
      <c r="N414" s="269"/>
      <c r="O414" s="269"/>
      <c r="P414" s="269"/>
      <c r="Q414" s="269"/>
      <c r="R414" s="269"/>
      <c r="S414" s="269"/>
      <c r="T414" s="269"/>
      <c r="U414" s="269"/>
      <c r="V414" s="269"/>
      <c r="W414" s="269"/>
      <c r="X414" s="269"/>
      <c r="Y414" s="269"/>
      <c r="Z414" s="269"/>
      <c r="AA414" s="269"/>
      <c r="AB414" s="269"/>
      <c r="AC414" s="269"/>
      <c r="AD414" s="269"/>
      <c r="AE414" s="269"/>
      <c r="AF414" s="269"/>
      <c r="AG414" s="269"/>
      <c r="AH414" s="269"/>
      <c r="AI414" s="269"/>
      <c r="AJ414" s="269"/>
      <c r="AK414" s="269"/>
      <c r="AL414" s="269"/>
      <c r="AM414" s="269"/>
      <c r="AN414" s="269"/>
      <c r="AO414" s="269"/>
      <c r="AP414" s="269"/>
      <c r="AQ414" s="269"/>
      <c r="AR414" s="269"/>
      <c r="AS414" s="269"/>
      <c r="AT414" s="269"/>
      <c r="AU414" s="283"/>
    </row>
    <row r="415" spans="1:47" ht="60" customHeight="1" x14ac:dyDescent="0.35">
      <c r="A415" s="279" t="s">
        <v>7265</v>
      </c>
      <c r="B415" s="257" t="s">
        <v>7347</v>
      </c>
      <c r="C415" s="258" t="s">
        <v>7356</v>
      </c>
      <c r="D415" s="261" t="s">
        <v>7357</v>
      </c>
      <c r="E415" s="262" t="s">
        <v>6551</v>
      </c>
      <c r="F415" s="265" t="s">
        <v>7272</v>
      </c>
      <c r="G415" s="268" t="str">
        <f>IF(COUNTIF(H415:AU415,"&lt;&gt;")=0,"",SUMPRODUCT(((Recommendations[ImplStatus]="Implemented")+(Recommendations[ImplStatus]="Compensated"))*ISNUMBER(MATCH(Recommendations[Id],H415:AU415,0)))/COUNTIF(H415:AU415,"&lt;&gt;"))</f>
        <v/>
      </c>
      <c r="H415" s="269"/>
      <c r="I415" s="269"/>
      <c r="J415" s="269"/>
      <c r="K415" s="269"/>
      <c r="L415" s="269"/>
      <c r="M415" s="269"/>
      <c r="N415" s="269"/>
      <c r="O415" s="269"/>
      <c r="P415" s="269"/>
      <c r="Q415" s="269"/>
      <c r="R415" s="269"/>
      <c r="S415" s="269"/>
      <c r="T415" s="269"/>
      <c r="U415" s="269"/>
      <c r="V415" s="269"/>
      <c r="W415" s="269"/>
      <c r="X415" s="269"/>
      <c r="Y415" s="269"/>
      <c r="Z415" s="269"/>
      <c r="AA415" s="269"/>
      <c r="AB415" s="269"/>
      <c r="AC415" s="269"/>
      <c r="AD415" s="269"/>
      <c r="AE415" s="269"/>
      <c r="AF415" s="269"/>
      <c r="AG415" s="269"/>
      <c r="AH415" s="269"/>
      <c r="AI415" s="269"/>
      <c r="AJ415" s="269"/>
      <c r="AK415" s="269"/>
      <c r="AL415" s="269"/>
      <c r="AM415" s="269"/>
      <c r="AN415" s="269"/>
      <c r="AO415" s="269"/>
      <c r="AP415" s="269"/>
      <c r="AQ415" s="269"/>
      <c r="AR415" s="269"/>
      <c r="AS415" s="269"/>
      <c r="AT415" s="269"/>
      <c r="AU415" s="283"/>
    </row>
    <row r="416" spans="1:47" ht="60" customHeight="1" x14ac:dyDescent="0.35">
      <c r="A416" s="279" t="s">
        <v>7265</v>
      </c>
      <c r="B416" s="257" t="s">
        <v>7347</v>
      </c>
      <c r="C416" s="258" t="s">
        <v>7358</v>
      </c>
      <c r="D416" s="261" t="s">
        <v>7359</v>
      </c>
      <c r="E416" s="262" t="s">
        <v>6551</v>
      </c>
      <c r="F416" s="265" t="s">
        <v>7360</v>
      </c>
      <c r="G416" s="268" t="str">
        <f>IF(COUNTIF(H416:AU416,"&lt;&gt;")=0,"",SUMPRODUCT(((Recommendations[ImplStatus]="Implemented")+(Recommendations[ImplStatus]="Compensated"))*ISNUMBER(MATCH(Recommendations[Id],H416:AU416,0)))/COUNTIF(H416:AU416,"&lt;&gt;"))</f>
        <v/>
      </c>
      <c r="H416" s="269"/>
      <c r="I416" s="269"/>
      <c r="J416" s="269"/>
      <c r="K416" s="269"/>
      <c r="L416" s="269"/>
      <c r="M416" s="269"/>
      <c r="N416" s="269"/>
      <c r="O416" s="269"/>
      <c r="P416" s="269"/>
      <c r="Q416" s="269"/>
      <c r="R416" s="269"/>
      <c r="S416" s="269"/>
      <c r="T416" s="269"/>
      <c r="U416" s="269"/>
      <c r="V416" s="269"/>
      <c r="W416" s="269"/>
      <c r="X416" s="269"/>
      <c r="Y416" s="269"/>
      <c r="Z416" s="269"/>
      <c r="AA416" s="269"/>
      <c r="AB416" s="269"/>
      <c r="AC416" s="269"/>
      <c r="AD416" s="269"/>
      <c r="AE416" s="269"/>
      <c r="AF416" s="269"/>
      <c r="AG416" s="269"/>
      <c r="AH416" s="269"/>
      <c r="AI416" s="269"/>
      <c r="AJ416" s="269"/>
      <c r="AK416" s="269"/>
      <c r="AL416" s="269"/>
      <c r="AM416" s="269"/>
      <c r="AN416" s="269"/>
      <c r="AO416" s="269"/>
      <c r="AP416" s="269"/>
      <c r="AQ416" s="269"/>
      <c r="AR416" s="269"/>
      <c r="AS416" s="269"/>
      <c r="AT416" s="269"/>
      <c r="AU416" s="283"/>
    </row>
    <row r="417" spans="1:47" ht="60" customHeight="1" x14ac:dyDescent="0.35">
      <c r="A417" s="279" t="s">
        <v>7265</v>
      </c>
      <c r="B417" s="257" t="s">
        <v>7347</v>
      </c>
      <c r="C417" s="258" t="s">
        <v>7361</v>
      </c>
      <c r="D417" s="261" t="s">
        <v>7362</v>
      </c>
      <c r="E417" s="262" t="s">
        <v>6551</v>
      </c>
      <c r="F417" s="265" t="s">
        <v>7360</v>
      </c>
      <c r="G417" s="268" t="str">
        <f>IF(COUNTIF(H417:AU417,"&lt;&gt;")=0,"",SUMPRODUCT(((Recommendations[ImplStatus]="Implemented")+(Recommendations[ImplStatus]="Compensated"))*ISNUMBER(MATCH(Recommendations[Id],H417:AU417,0)))/COUNTIF(H417:AU417,"&lt;&gt;"))</f>
        <v/>
      </c>
      <c r="H417" s="269"/>
      <c r="I417" s="269"/>
      <c r="J417" s="269"/>
      <c r="K417" s="269"/>
      <c r="L417" s="269"/>
      <c r="M417" s="269"/>
      <c r="N417" s="269"/>
      <c r="O417" s="269"/>
      <c r="P417" s="269"/>
      <c r="Q417" s="269"/>
      <c r="R417" s="269"/>
      <c r="S417" s="269"/>
      <c r="T417" s="269"/>
      <c r="U417" s="269"/>
      <c r="V417" s="269"/>
      <c r="W417" s="269"/>
      <c r="X417" s="269"/>
      <c r="Y417" s="269"/>
      <c r="Z417" s="269"/>
      <c r="AA417" s="269"/>
      <c r="AB417" s="269"/>
      <c r="AC417" s="269"/>
      <c r="AD417" s="269"/>
      <c r="AE417" s="269"/>
      <c r="AF417" s="269"/>
      <c r="AG417" s="269"/>
      <c r="AH417" s="269"/>
      <c r="AI417" s="269"/>
      <c r="AJ417" s="269"/>
      <c r="AK417" s="269"/>
      <c r="AL417" s="269"/>
      <c r="AM417" s="269"/>
      <c r="AN417" s="269"/>
      <c r="AO417" s="269"/>
      <c r="AP417" s="269"/>
      <c r="AQ417" s="269"/>
      <c r="AR417" s="269"/>
      <c r="AS417" s="269"/>
      <c r="AT417" s="269"/>
      <c r="AU417" s="283"/>
    </row>
    <row r="418" spans="1:47" ht="60" customHeight="1" x14ac:dyDescent="0.35">
      <c r="A418" s="279" t="s">
        <v>7265</v>
      </c>
      <c r="B418" s="257" t="s">
        <v>7347</v>
      </c>
      <c r="C418" s="258" t="s">
        <v>7363</v>
      </c>
      <c r="D418" s="261" t="s">
        <v>7364</v>
      </c>
      <c r="E418" s="262" t="s">
        <v>6801</v>
      </c>
      <c r="F418" s="265" t="s">
        <v>7360</v>
      </c>
      <c r="G418" s="268" t="str">
        <f>IF(COUNTIF(H418:AU418,"&lt;&gt;")=0,"",SUMPRODUCT(((Recommendations[ImplStatus]="Implemented")+(Recommendations[ImplStatus]="Compensated"))*ISNUMBER(MATCH(Recommendations[Id],H418:AU418,0)))/COUNTIF(H418:AU418,"&lt;&gt;"))</f>
        <v/>
      </c>
      <c r="H418" s="269"/>
      <c r="I418" s="269"/>
      <c r="J418" s="269"/>
      <c r="K418" s="269"/>
      <c r="L418" s="269"/>
      <c r="M418" s="269"/>
      <c r="N418" s="269"/>
      <c r="O418" s="269"/>
      <c r="P418" s="269"/>
      <c r="Q418" s="269"/>
      <c r="R418" s="269"/>
      <c r="S418" s="269"/>
      <c r="T418" s="269"/>
      <c r="U418" s="269"/>
      <c r="V418" s="269"/>
      <c r="W418" s="269"/>
      <c r="X418" s="269"/>
      <c r="Y418" s="269"/>
      <c r="Z418" s="269"/>
      <c r="AA418" s="269"/>
      <c r="AB418" s="269"/>
      <c r="AC418" s="269"/>
      <c r="AD418" s="269"/>
      <c r="AE418" s="269"/>
      <c r="AF418" s="269"/>
      <c r="AG418" s="269"/>
      <c r="AH418" s="269"/>
      <c r="AI418" s="269"/>
      <c r="AJ418" s="269"/>
      <c r="AK418" s="269"/>
      <c r="AL418" s="269"/>
      <c r="AM418" s="269"/>
      <c r="AN418" s="269"/>
      <c r="AO418" s="269"/>
      <c r="AP418" s="269"/>
      <c r="AQ418" s="269"/>
      <c r="AR418" s="269"/>
      <c r="AS418" s="269"/>
      <c r="AT418" s="269"/>
      <c r="AU418" s="283"/>
    </row>
    <row r="419" spans="1:47" ht="60" customHeight="1" x14ac:dyDescent="0.35">
      <c r="A419" s="279" t="s">
        <v>7265</v>
      </c>
      <c r="B419" s="257" t="s">
        <v>7347</v>
      </c>
      <c r="C419" s="258" t="s">
        <v>7365</v>
      </c>
      <c r="D419" s="261" t="s">
        <v>7366</v>
      </c>
      <c r="E419" s="262" t="s">
        <v>6551</v>
      </c>
      <c r="F419" s="265" t="s">
        <v>7360</v>
      </c>
      <c r="G419" s="268" t="str">
        <f>IF(COUNTIF(H419:AU419,"&lt;&gt;")=0,"",SUMPRODUCT(((Recommendations[ImplStatus]="Implemented")+(Recommendations[ImplStatus]="Compensated"))*ISNUMBER(MATCH(Recommendations[Id],H419:AU419,0)))/COUNTIF(H419:AU419,"&lt;&gt;"))</f>
        <v/>
      </c>
      <c r="H419" s="269"/>
      <c r="I419" s="269"/>
      <c r="J419" s="269"/>
      <c r="K419" s="269"/>
      <c r="L419" s="269"/>
      <c r="M419" s="269"/>
      <c r="N419" s="269"/>
      <c r="O419" s="269"/>
      <c r="P419" s="269"/>
      <c r="Q419" s="269"/>
      <c r="R419" s="269"/>
      <c r="S419" s="269"/>
      <c r="T419" s="269"/>
      <c r="U419" s="269"/>
      <c r="V419" s="269"/>
      <c r="W419" s="269"/>
      <c r="X419" s="269"/>
      <c r="Y419" s="269"/>
      <c r="Z419" s="269"/>
      <c r="AA419" s="269"/>
      <c r="AB419" s="269"/>
      <c r="AC419" s="269"/>
      <c r="AD419" s="269"/>
      <c r="AE419" s="269"/>
      <c r="AF419" s="269"/>
      <c r="AG419" s="269"/>
      <c r="AH419" s="269"/>
      <c r="AI419" s="269"/>
      <c r="AJ419" s="269"/>
      <c r="AK419" s="269"/>
      <c r="AL419" s="269"/>
      <c r="AM419" s="269"/>
      <c r="AN419" s="269"/>
      <c r="AO419" s="269"/>
      <c r="AP419" s="269"/>
      <c r="AQ419" s="269"/>
      <c r="AR419" s="269"/>
      <c r="AS419" s="269"/>
      <c r="AT419" s="269"/>
      <c r="AU419" s="283"/>
    </row>
    <row r="420" spans="1:47" ht="60" customHeight="1" x14ac:dyDescent="0.35">
      <c r="A420" s="279" t="s">
        <v>7265</v>
      </c>
      <c r="B420" s="257" t="s">
        <v>7347</v>
      </c>
      <c r="C420" s="258" t="s">
        <v>7367</v>
      </c>
      <c r="D420" s="261" t="s">
        <v>7368</v>
      </c>
      <c r="E420" s="262" t="s">
        <v>6801</v>
      </c>
      <c r="F420" s="265" t="s">
        <v>7360</v>
      </c>
      <c r="G420" s="268" t="str">
        <f>IF(COUNTIF(H420:AU420,"&lt;&gt;")=0,"",SUMPRODUCT(((Recommendations[ImplStatus]="Implemented")+(Recommendations[ImplStatus]="Compensated"))*ISNUMBER(MATCH(Recommendations[Id],H420:AU420,0)))/COUNTIF(H420:AU420,"&lt;&gt;"))</f>
        <v/>
      </c>
      <c r="H420" s="269"/>
      <c r="I420" s="269"/>
      <c r="J420" s="269"/>
      <c r="K420" s="269"/>
      <c r="L420" s="269"/>
      <c r="M420" s="269"/>
      <c r="N420" s="269"/>
      <c r="O420" s="269"/>
      <c r="P420" s="269"/>
      <c r="Q420" s="269"/>
      <c r="R420" s="269"/>
      <c r="S420" s="269"/>
      <c r="T420" s="269"/>
      <c r="U420" s="269"/>
      <c r="V420" s="269"/>
      <c r="W420" s="269"/>
      <c r="X420" s="269"/>
      <c r="Y420" s="269"/>
      <c r="Z420" s="269"/>
      <c r="AA420" s="269"/>
      <c r="AB420" s="269"/>
      <c r="AC420" s="269"/>
      <c r="AD420" s="269"/>
      <c r="AE420" s="269"/>
      <c r="AF420" s="269"/>
      <c r="AG420" s="269"/>
      <c r="AH420" s="269"/>
      <c r="AI420" s="269"/>
      <c r="AJ420" s="269"/>
      <c r="AK420" s="269"/>
      <c r="AL420" s="269"/>
      <c r="AM420" s="269"/>
      <c r="AN420" s="269"/>
      <c r="AO420" s="269"/>
      <c r="AP420" s="269"/>
      <c r="AQ420" s="269"/>
      <c r="AR420" s="269"/>
      <c r="AS420" s="269"/>
      <c r="AT420" s="269"/>
      <c r="AU420" s="283"/>
    </row>
    <row r="421" spans="1:47" ht="60" customHeight="1" x14ac:dyDescent="0.35">
      <c r="A421" s="279" t="s">
        <v>7265</v>
      </c>
      <c r="B421" s="257" t="s">
        <v>7347</v>
      </c>
      <c r="C421" s="258" t="s">
        <v>7369</v>
      </c>
      <c r="D421" s="261" t="s">
        <v>7370</v>
      </c>
      <c r="E421" s="262" t="s">
        <v>6801</v>
      </c>
      <c r="F421" s="265" t="s">
        <v>7360</v>
      </c>
      <c r="G421" s="268" t="str">
        <f>IF(COUNTIF(H421:AU421,"&lt;&gt;")=0,"",SUMPRODUCT(((Recommendations[ImplStatus]="Implemented")+(Recommendations[ImplStatus]="Compensated"))*ISNUMBER(MATCH(Recommendations[Id],H421:AU421,0)))/COUNTIF(H421:AU421,"&lt;&gt;"))</f>
        <v/>
      </c>
      <c r="H421" s="269"/>
      <c r="I421" s="269"/>
      <c r="J421" s="269"/>
      <c r="K421" s="269"/>
      <c r="L421" s="269"/>
      <c r="M421" s="269"/>
      <c r="N421" s="269"/>
      <c r="O421" s="269"/>
      <c r="P421" s="269"/>
      <c r="Q421" s="269"/>
      <c r="R421" s="269"/>
      <c r="S421" s="269"/>
      <c r="T421" s="269"/>
      <c r="U421" s="269"/>
      <c r="V421" s="269"/>
      <c r="W421" s="269"/>
      <c r="X421" s="269"/>
      <c r="Y421" s="269"/>
      <c r="Z421" s="269"/>
      <c r="AA421" s="269"/>
      <c r="AB421" s="269"/>
      <c r="AC421" s="269"/>
      <c r="AD421" s="269"/>
      <c r="AE421" s="269"/>
      <c r="AF421" s="269"/>
      <c r="AG421" s="269"/>
      <c r="AH421" s="269"/>
      <c r="AI421" s="269"/>
      <c r="AJ421" s="269"/>
      <c r="AK421" s="269"/>
      <c r="AL421" s="269"/>
      <c r="AM421" s="269"/>
      <c r="AN421" s="269"/>
      <c r="AO421" s="269"/>
      <c r="AP421" s="269"/>
      <c r="AQ421" s="269"/>
      <c r="AR421" s="269"/>
      <c r="AS421" s="269"/>
      <c r="AT421" s="269"/>
      <c r="AU421" s="283"/>
    </row>
    <row r="422" spans="1:47" ht="60" customHeight="1" x14ac:dyDescent="0.35">
      <c r="A422" s="279" t="s">
        <v>7265</v>
      </c>
      <c r="B422" s="257" t="s">
        <v>7347</v>
      </c>
      <c r="C422" s="258" t="s">
        <v>7371</v>
      </c>
      <c r="D422" s="261" t="s">
        <v>7372</v>
      </c>
      <c r="E422" s="262" t="s">
        <v>6551</v>
      </c>
      <c r="F422" s="265" t="s">
        <v>7360</v>
      </c>
      <c r="G422" s="268" t="str">
        <f>IF(COUNTIF(H422:AU422,"&lt;&gt;")=0,"",SUMPRODUCT(((Recommendations[ImplStatus]="Implemented")+(Recommendations[ImplStatus]="Compensated"))*ISNUMBER(MATCH(Recommendations[Id],H422:AU422,0)))/COUNTIF(H422:AU422,"&lt;&gt;"))</f>
        <v/>
      </c>
      <c r="H422" s="269"/>
      <c r="I422" s="269"/>
      <c r="J422" s="269"/>
      <c r="K422" s="269"/>
      <c r="L422" s="269"/>
      <c r="M422" s="269"/>
      <c r="N422" s="269"/>
      <c r="O422" s="269"/>
      <c r="P422" s="269"/>
      <c r="Q422" s="269"/>
      <c r="R422" s="269"/>
      <c r="S422" s="269"/>
      <c r="T422" s="269"/>
      <c r="U422" s="269"/>
      <c r="V422" s="269"/>
      <c r="W422" s="269"/>
      <c r="X422" s="269"/>
      <c r="Y422" s="269"/>
      <c r="Z422" s="269"/>
      <c r="AA422" s="269"/>
      <c r="AB422" s="269"/>
      <c r="AC422" s="269"/>
      <c r="AD422" s="269"/>
      <c r="AE422" s="269"/>
      <c r="AF422" s="269"/>
      <c r="AG422" s="269"/>
      <c r="AH422" s="269"/>
      <c r="AI422" s="269"/>
      <c r="AJ422" s="269"/>
      <c r="AK422" s="269"/>
      <c r="AL422" s="269"/>
      <c r="AM422" s="269"/>
      <c r="AN422" s="269"/>
      <c r="AO422" s="269"/>
      <c r="AP422" s="269"/>
      <c r="AQ422" s="269"/>
      <c r="AR422" s="269"/>
      <c r="AS422" s="269"/>
      <c r="AT422" s="269"/>
      <c r="AU422" s="283"/>
    </row>
    <row r="423" spans="1:47" ht="60" customHeight="1" x14ac:dyDescent="0.35">
      <c r="A423" s="279" t="s">
        <v>7265</v>
      </c>
      <c r="B423" s="257" t="s">
        <v>7347</v>
      </c>
      <c r="C423" s="258" t="s">
        <v>7373</v>
      </c>
      <c r="D423" s="261" t="s">
        <v>7374</v>
      </c>
      <c r="E423" s="262" t="s">
        <v>6551</v>
      </c>
      <c r="F423" s="265" t="s">
        <v>7360</v>
      </c>
      <c r="G423" s="268" t="str">
        <f>IF(COUNTIF(H423:AU423,"&lt;&gt;")=0,"",SUMPRODUCT(((Recommendations[ImplStatus]="Implemented")+(Recommendations[ImplStatus]="Compensated"))*ISNUMBER(MATCH(Recommendations[Id],H423:AU423,0)))/COUNTIF(H423:AU423,"&lt;&gt;"))</f>
        <v/>
      </c>
      <c r="H423" s="269"/>
      <c r="I423" s="269"/>
      <c r="J423" s="269"/>
      <c r="K423" s="269"/>
      <c r="L423" s="269"/>
      <c r="M423" s="269"/>
      <c r="N423" s="269"/>
      <c r="O423" s="269"/>
      <c r="P423" s="269"/>
      <c r="Q423" s="269"/>
      <c r="R423" s="269"/>
      <c r="S423" s="269"/>
      <c r="T423" s="269"/>
      <c r="U423" s="269"/>
      <c r="V423" s="269"/>
      <c r="W423" s="269"/>
      <c r="X423" s="269"/>
      <c r="Y423" s="269"/>
      <c r="Z423" s="269"/>
      <c r="AA423" s="269"/>
      <c r="AB423" s="269"/>
      <c r="AC423" s="269"/>
      <c r="AD423" s="269"/>
      <c r="AE423" s="269"/>
      <c r="AF423" s="269"/>
      <c r="AG423" s="269"/>
      <c r="AH423" s="269"/>
      <c r="AI423" s="269"/>
      <c r="AJ423" s="269"/>
      <c r="AK423" s="269"/>
      <c r="AL423" s="269"/>
      <c r="AM423" s="269"/>
      <c r="AN423" s="269"/>
      <c r="AO423" s="269"/>
      <c r="AP423" s="269"/>
      <c r="AQ423" s="269"/>
      <c r="AR423" s="269"/>
      <c r="AS423" s="269"/>
      <c r="AT423" s="269"/>
      <c r="AU423" s="283"/>
    </row>
    <row r="424" spans="1:47" ht="60" customHeight="1" outlineLevel="1" x14ac:dyDescent="0.35">
      <c r="A424" s="277" t="s">
        <v>7375</v>
      </c>
      <c r="B424" s="255"/>
      <c r="C424" s="255"/>
      <c r="D424" s="259"/>
      <c r="E424" s="255"/>
      <c r="F424" s="263"/>
      <c r="G424" s="266" t="str">
        <f>IF(COUNTIF(H424:AU424,"&lt;&gt;")=0,"",SUMPRODUCT(((Recommendations[ImplStatus]="Implemented")+(Recommendations[ImplStatus]="Compensated"))*ISNUMBER(MATCH(Recommendations[Id],H424:AU424,0)))/COUNTIF(H424:AU424,"&lt;&gt;"))</f>
        <v/>
      </c>
      <c r="H424" s="263"/>
      <c r="I424" s="263"/>
      <c r="J424" s="263"/>
      <c r="K424" s="263"/>
      <c r="L424" s="263"/>
      <c r="M424" s="263"/>
      <c r="N424" s="263"/>
      <c r="O424" s="263"/>
      <c r="P424" s="263"/>
      <c r="Q424" s="263"/>
      <c r="R424" s="263"/>
      <c r="S424" s="263"/>
      <c r="T424" s="263"/>
      <c r="U424" s="263"/>
      <c r="V424" s="263"/>
      <c r="W424" s="263"/>
      <c r="X424" s="263"/>
      <c r="Y424" s="263"/>
      <c r="Z424" s="263"/>
      <c r="AA424" s="263"/>
      <c r="AB424" s="263"/>
      <c r="AC424" s="263"/>
      <c r="AD424" s="263"/>
      <c r="AE424" s="263"/>
      <c r="AF424" s="263"/>
      <c r="AG424" s="263"/>
      <c r="AH424" s="263"/>
      <c r="AI424" s="263"/>
      <c r="AJ424" s="263"/>
      <c r="AK424" s="263"/>
      <c r="AL424" s="263"/>
      <c r="AM424" s="263"/>
      <c r="AN424" s="263"/>
      <c r="AO424" s="263"/>
      <c r="AP424" s="263"/>
      <c r="AQ424" s="263"/>
      <c r="AR424" s="263"/>
      <c r="AS424" s="263"/>
      <c r="AT424" s="263"/>
      <c r="AU424" s="281"/>
    </row>
    <row r="425" spans="1:47" ht="60" customHeight="1" outlineLevel="2" x14ac:dyDescent="0.35">
      <c r="A425" s="278" t="s">
        <v>7375</v>
      </c>
      <c r="B425" s="256" t="s">
        <v>7376</v>
      </c>
      <c r="C425" s="256"/>
      <c r="D425" s="260"/>
      <c r="E425" s="256"/>
      <c r="F425" s="264"/>
      <c r="G425" s="267" t="str">
        <f>IF(COUNTIF(H425:AU425,"&lt;&gt;")=0,"",SUMPRODUCT(((Recommendations[ImplStatus]="Implemented")+(Recommendations[ImplStatus]="Compensated"))*ISNUMBER(MATCH(Recommendations[Id],H425:AU425,0)))/COUNTIF(H425:AU425,"&lt;&gt;"))</f>
        <v/>
      </c>
      <c r="H425" s="264"/>
      <c r="I425" s="264"/>
      <c r="J425" s="264"/>
      <c r="K425" s="264"/>
      <c r="L425" s="264"/>
      <c r="M425" s="264"/>
      <c r="N425" s="264"/>
      <c r="O425" s="264"/>
      <c r="P425" s="264"/>
      <c r="Q425" s="264"/>
      <c r="R425" s="264"/>
      <c r="S425" s="264"/>
      <c r="T425" s="264"/>
      <c r="U425" s="264"/>
      <c r="V425" s="264"/>
      <c r="W425" s="264"/>
      <c r="X425" s="264"/>
      <c r="Y425" s="264"/>
      <c r="Z425" s="264"/>
      <c r="AA425" s="264"/>
      <c r="AB425" s="264"/>
      <c r="AC425" s="264"/>
      <c r="AD425" s="264"/>
      <c r="AE425" s="264"/>
      <c r="AF425" s="264"/>
      <c r="AG425" s="264"/>
      <c r="AH425" s="264"/>
      <c r="AI425" s="264"/>
      <c r="AJ425" s="264"/>
      <c r="AK425" s="264"/>
      <c r="AL425" s="264"/>
      <c r="AM425" s="264"/>
      <c r="AN425" s="264"/>
      <c r="AO425" s="264"/>
      <c r="AP425" s="264"/>
      <c r="AQ425" s="264"/>
      <c r="AR425" s="264"/>
      <c r="AS425" s="264"/>
      <c r="AT425" s="264"/>
      <c r="AU425" s="282"/>
    </row>
    <row r="426" spans="1:47" ht="60" customHeight="1" x14ac:dyDescent="0.35">
      <c r="A426" s="279" t="s">
        <v>7375</v>
      </c>
      <c r="B426" s="257" t="s">
        <v>7376</v>
      </c>
      <c r="C426" s="258" t="s">
        <v>7377</v>
      </c>
      <c r="D426" s="261" t="s">
        <v>7378</v>
      </c>
      <c r="E426" s="262" t="s">
        <v>6522</v>
      </c>
      <c r="F426" s="265" t="s">
        <v>7339</v>
      </c>
      <c r="G426" s="268" t="str">
        <f>IF(COUNTIF(H426:AU426,"&lt;&gt;")=0,"",SUMPRODUCT(((Recommendations[ImplStatus]="Implemented")+(Recommendations[ImplStatus]="Compensated"))*ISNUMBER(MATCH(Recommendations[Id],H426:AU426,0)))/COUNTIF(H426:AU426,"&lt;&gt;"))</f>
        <v/>
      </c>
      <c r="H426" s="269"/>
      <c r="I426" s="269"/>
      <c r="J426" s="269"/>
      <c r="K426" s="269"/>
      <c r="L426" s="269"/>
      <c r="M426" s="269"/>
      <c r="N426" s="269"/>
      <c r="O426" s="269"/>
      <c r="P426" s="269"/>
      <c r="Q426" s="269"/>
      <c r="R426" s="269"/>
      <c r="S426" s="269"/>
      <c r="T426" s="269"/>
      <c r="U426" s="269"/>
      <c r="V426" s="269"/>
      <c r="W426" s="269"/>
      <c r="X426" s="269"/>
      <c r="Y426" s="269"/>
      <c r="Z426" s="269"/>
      <c r="AA426" s="269"/>
      <c r="AB426" s="269"/>
      <c r="AC426" s="269"/>
      <c r="AD426" s="269"/>
      <c r="AE426" s="269"/>
      <c r="AF426" s="269"/>
      <c r="AG426" s="269"/>
      <c r="AH426" s="269"/>
      <c r="AI426" s="269"/>
      <c r="AJ426" s="269"/>
      <c r="AK426" s="269"/>
      <c r="AL426" s="269"/>
      <c r="AM426" s="269"/>
      <c r="AN426" s="269"/>
      <c r="AO426" s="269"/>
      <c r="AP426" s="269"/>
      <c r="AQ426" s="269"/>
      <c r="AR426" s="269"/>
      <c r="AS426" s="269"/>
      <c r="AT426" s="269"/>
      <c r="AU426" s="283"/>
    </row>
    <row r="427" spans="1:47" ht="60" customHeight="1" x14ac:dyDescent="0.35">
      <c r="A427" s="279" t="s">
        <v>7375</v>
      </c>
      <c r="B427" s="257" t="s">
        <v>7376</v>
      </c>
      <c r="C427" s="258" t="s">
        <v>7379</v>
      </c>
      <c r="D427" s="261" t="s">
        <v>7380</v>
      </c>
      <c r="E427" s="262" t="s">
        <v>6522</v>
      </c>
      <c r="F427" s="265" t="s">
        <v>7339</v>
      </c>
      <c r="G427" s="268" t="str">
        <f>IF(COUNTIF(H427:AU427,"&lt;&gt;")=0,"",SUMPRODUCT(((Recommendations[ImplStatus]="Implemented")+(Recommendations[ImplStatus]="Compensated"))*ISNUMBER(MATCH(Recommendations[Id],H427:AU427,0)))/COUNTIF(H427:AU427,"&lt;&gt;"))</f>
        <v/>
      </c>
      <c r="H427" s="269"/>
      <c r="I427" s="269"/>
      <c r="J427" s="269"/>
      <c r="K427" s="269"/>
      <c r="L427" s="269"/>
      <c r="M427" s="269"/>
      <c r="N427" s="269"/>
      <c r="O427" s="269"/>
      <c r="P427" s="269"/>
      <c r="Q427" s="269"/>
      <c r="R427" s="269"/>
      <c r="S427" s="269"/>
      <c r="T427" s="269"/>
      <c r="U427" s="269"/>
      <c r="V427" s="269"/>
      <c r="W427" s="269"/>
      <c r="X427" s="269"/>
      <c r="Y427" s="269"/>
      <c r="Z427" s="269"/>
      <c r="AA427" s="269"/>
      <c r="AB427" s="269"/>
      <c r="AC427" s="269"/>
      <c r="AD427" s="269"/>
      <c r="AE427" s="269"/>
      <c r="AF427" s="269"/>
      <c r="AG427" s="269"/>
      <c r="AH427" s="269"/>
      <c r="AI427" s="269"/>
      <c r="AJ427" s="269"/>
      <c r="AK427" s="269"/>
      <c r="AL427" s="269"/>
      <c r="AM427" s="269"/>
      <c r="AN427" s="269"/>
      <c r="AO427" s="269"/>
      <c r="AP427" s="269"/>
      <c r="AQ427" s="269"/>
      <c r="AR427" s="269"/>
      <c r="AS427" s="269"/>
      <c r="AT427" s="269"/>
      <c r="AU427" s="283"/>
    </row>
    <row r="428" spans="1:47" ht="60" customHeight="1" x14ac:dyDescent="0.35">
      <c r="A428" s="279" t="s">
        <v>7375</v>
      </c>
      <c r="B428" s="257" t="s">
        <v>7376</v>
      </c>
      <c r="C428" s="258" t="s">
        <v>7381</v>
      </c>
      <c r="D428" s="261" t="s">
        <v>7382</v>
      </c>
      <c r="E428" s="262" t="s">
        <v>6801</v>
      </c>
      <c r="F428" s="265" t="s">
        <v>7339</v>
      </c>
      <c r="G428" s="268" t="str">
        <f>IF(COUNTIF(H428:AU428,"&lt;&gt;")=0,"",SUMPRODUCT(((Recommendations[ImplStatus]="Implemented")+(Recommendations[ImplStatus]="Compensated"))*ISNUMBER(MATCH(Recommendations[Id],H428:AU428,0)))/COUNTIF(H428:AU428,"&lt;&gt;"))</f>
        <v/>
      </c>
      <c r="H428" s="269"/>
      <c r="I428" s="269"/>
      <c r="J428" s="269"/>
      <c r="K428" s="269"/>
      <c r="L428" s="269"/>
      <c r="M428" s="269"/>
      <c r="N428" s="269"/>
      <c r="O428" s="269"/>
      <c r="P428" s="269"/>
      <c r="Q428" s="269"/>
      <c r="R428" s="269"/>
      <c r="S428" s="269"/>
      <c r="T428" s="269"/>
      <c r="U428" s="269"/>
      <c r="V428" s="269"/>
      <c r="W428" s="269"/>
      <c r="X428" s="269"/>
      <c r="Y428" s="269"/>
      <c r="Z428" s="269"/>
      <c r="AA428" s="269"/>
      <c r="AB428" s="269"/>
      <c r="AC428" s="269"/>
      <c r="AD428" s="269"/>
      <c r="AE428" s="269"/>
      <c r="AF428" s="269"/>
      <c r="AG428" s="269"/>
      <c r="AH428" s="269"/>
      <c r="AI428" s="269"/>
      <c r="AJ428" s="269"/>
      <c r="AK428" s="269"/>
      <c r="AL428" s="269"/>
      <c r="AM428" s="269"/>
      <c r="AN428" s="269"/>
      <c r="AO428" s="269"/>
      <c r="AP428" s="269"/>
      <c r="AQ428" s="269"/>
      <c r="AR428" s="269"/>
      <c r="AS428" s="269"/>
      <c r="AT428" s="269"/>
      <c r="AU428" s="283"/>
    </row>
    <row r="429" spans="1:47" ht="60" customHeight="1" x14ac:dyDescent="0.35">
      <c r="A429" s="279" t="s">
        <v>7375</v>
      </c>
      <c r="B429" s="257" t="s">
        <v>7376</v>
      </c>
      <c r="C429" s="258" t="s">
        <v>7383</v>
      </c>
      <c r="D429" s="261" t="s">
        <v>7384</v>
      </c>
      <c r="E429" s="262" t="s">
        <v>6551</v>
      </c>
      <c r="F429" s="265" t="s">
        <v>7339</v>
      </c>
      <c r="G429" s="268" t="str">
        <f>IF(COUNTIF(H429:AU429,"&lt;&gt;")=0,"",SUMPRODUCT(((Recommendations[ImplStatus]="Implemented")+(Recommendations[ImplStatus]="Compensated"))*ISNUMBER(MATCH(Recommendations[Id],H429:AU429,0)))/COUNTIF(H429:AU429,"&lt;&gt;"))</f>
        <v/>
      </c>
      <c r="H429" s="269"/>
      <c r="I429" s="269"/>
      <c r="J429" s="269"/>
      <c r="K429" s="269"/>
      <c r="L429" s="269"/>
      <c r="M429" s="269"/>
      <c r="N429" s="269"/>
      <c r="O429" s="269"/>
      <c r="P429" s="269"/>
      <c r="Q429" s="269"/>
      <c r="R429" s="269"/>
      <c r="S429" s="269"/>
      <c r="T429" s="269"/>
      <c r="U429" s="269"/>
      <c r="V429" s="269"/>
      <c r="W429" s="269"/>
      <c r="X429" s="269"/>
      <c r="Y429" s="269"/>
      <c r="Z429" s="269"/>
      <c r="AA429" s="269"/>
      <c r="AB429" s="269"/>
      <c r="AC429" s="269"/>
      <c r="AD429" s="269"/>
      <c r="AE429" s="269"/>
      <c r="AF429" s="269"/>
      <c r="AG429" s="269"/>
      <c r="AH429" s="269"/>
      <c r="AI429" s="269"/>
      <c r="AJ429" s="269"/>
      <c r="AK429" s="269"/>
      <c r="AL429" s="269"/>
      <c r="AM429" s="269"/>
      <c r="AN429" s="269"/>
      <c r="AO429" s="269"/>
      <c r="AP429" s="269"/>
      <c r="AQ429" s="269"/>
      <c r="AR429" s="269"/>
      <c r="AS429" s="269"/>
      <c r="AT429" s="269"/>
      <c r="AU429" s="283"/>
    </row>
    <row r="430" spans="1:47" ht="60" customHeight="1" x14ac:dyDescent="0.35">
      <c r="A430" s="279" t="s">
        <v>7375</v>
      </c>
      <c r="B430" s="257" t="s">
        <v>7376</v>
      </c>
      <c r="C430" s="258" t="s">
        <v>7385</v>
      </c>
      <c r="D430" s="261" t="s">
        <v>7386</v>
      </c>
      <c r="E430" s="262" t="s">
        <v>6551</v>
      </c>
      <c r="F430" s="265" t="s">
        <v>7339</v>
      </c>
      <c r="G430" s="268" t="str">
        <f>IF(COUNTIF(H430:AU430,"&lt;&gt;")=0,"",SUMPRODUCT(((Recommendations[ImplStatus]="Implemented")+(Recommendations[ImplStatus]="Compensated"))*ISNUMBER(MATCH(Recommendations[Id],H430:AU430,0)))/COUNTIF(H430:AU430,"&lt;&gt;"))</f>
        <v/>
      </c>
      <c r="H430" s="269"/>
      <c r="I430" s="269"/>
      <c r="J430" s="269"/>
      <c r="K430" s="269"/>
      <c r="L430" s="269"/>
      <c r="M430" s="269"/>
      <c r="N430" s="269"/>
      <c r="O430" s="269"/>
      <c r="P430" s="269"/>
      <c r="Q430" s="269"/>
      <c r="R430" s="269"/>
      <c r="S430" s="269"/>
      <c r="T430" s="269"/>
      <c r="U430" s="269"/>
      <c r="V430" s="269"/>
      <c r="W430" s="269"/>
      <c r="X430" s="269"/>
      <c r="Y430" s="269"/>
      <c r="Z430" s="269"/>
      <c r="AA430" s="269"/>
      <c r="AB430" s="269"/>
      <c r="AC430" s="269"/>
      <c r="AD430" s="269"/>
      <c r="AE430" s="269"/>
      <c r="AF430" s="269"/>
      <c r="AG430" s="269"/>
      <c r="AH430" s="269"/>
      <c r="AI430" s="269"/>
      <c r="AJ430" s="269"/>
      <c r="AK430" s="269"/>
      <c r="AL430" s="269"/>
      <c r="AM430" s="269"/>
      <c r="AN430" s="269"/>
      <c r="AO430" s="269"/>
      <c r="AP430" s="269"/>
      <c r="AQ430" s="269"/>
      <c r="AR430" s="269"/>
      <c r="AS430" s="269"/>
      <c r="AT430" s="269"/>
      <c r="AU430" s="283"/>
    </row>
    <row r="431" spans="1:47" ht="60" customHeight="1" x14ac:dyDescent="0.35">
      <c r="A431" s="279" t="s">
        <v>7375</v>
      </c>
      <c r="B431" s="257" t="s">
        <v>7376</v>
      </c>
      <c r="C431" s="258" t="s">
        <v>7387</v>
      </c>
      <c r="D431" s="261" t="s">
        <v>7388</v>
      </c>
      <c r="E431" s="262" t="s">
        <v>6801</v>
      </c>
      <c r="F431" s="265" t="s">
        <v>7339</v>
      </c>
      <c r="G431" s="268" t="str">
        <f>IF(COUNTIF(H431:AU431,"&lt;&gt;")=0,"",SUMPRODUCT(((Recommendations[ImplStatus]="Implemented")+(Recommendations[ImplStatus]="Compensated"))*ISNUMBER(MATCH(Recommendations[Id],H431:AU431,0)))/COUNTIF(H431:AU431,"&lt;&gt;"))</f>
        <v/>
      </c>
      <c r="H431" s="269"/>
      <c r="I431" s="269"/>
      <c r="J431" s="269"/>
      <c r="K431" s="269"/>
      <c r="L431" s="269"/>
      <c r="M431" s="269"/>
      <c r="N431" s="269"/>
      <c r="O431" s="269"/>
      <c r="P431" s="269"/>
      <c r="Q431" s="269"/>
      <c r="R431" s="269"/>
      <c r="S431" s="269"/>
      <c r="T431" s="269"/>
      <c r="U431" s="269"/>
      <c r="V431" s="269"/>
      <c r="W431" s="269"/>
      <c r="X431" s="269"/>
      <c r="Y431" s="269"/>
      <c r="Z431" s="269"/>
      <c r="AA431" s="269"/>
      <c r="AB431" s="269"/>
      <c r="AC431" s="269"/>
      <c r="AD431" s="269"/>
      <c r="AE431" s="269"/>
      <c r="AF431" s="269"/>
      <c r="AG431" s="269"/>
      <c r="AH431" s="269"/>
      <c r="AI431" s="269"/>
      <c r="AJ431" s="269"/>
      <c r="AK431" s="269"/>
      <c r="AL431" s="269"/>
      <c r="AM431" s="269"/>
      <c r="AN431" s="269"/>
      <c r="AO431" s="269"/>
      <c r="AP431" s="269"/>
      <c r="AQ431" s="269"/>
      <c r="AR431" s="269"/>
      <c r="AS431" s="269"/>
      <c r="AT431" s="269"/>
      <c r="AU431" s="283"/>
    </row>
    <row r="432" spans="1:47" ht="60" customHeight="1" x14ac:dyDescent="0.35">
      <c r="A432" s="279" t="s">
        <v>7375</v>
      </c>
      <c r="B432" s="257" t="s">
        <v>7376</v>
      </c>
      <c r="C432" s="258" t="s">
        <v>7389</v>
      </c>
      <c r="D432" s="261" t="s">
        <v>7390</v>
      </c>
      <c r="E432" s="262" t="s">
        <v>6801</v>
      </c>
      <c r="F432" s="265" t="s">
        <v>7339</v>
      </c>
      <c r="G432" s="268" t="str">
        <f>IF(COUNTIF(H432:AU432,"&lt;&gt;")=0,"",SUMPRODUCT(((Recommendations[ImplStatus]="Implemented")+(Recommendations[ImplStatus]="Compensated"))*ISNUMBER(MATCH(Recommendations[Id],H432:AU432,0)))/COUNTIF(H432:AU432,"&lt;&gt;"))</f>
        <v/>
      </c>
      <c r="H432" s="269"/>
      <c r="I432" s="269"/>
      <c r="J432" s="269"/>
      <c r="K432" s="269"/>
      <c r="L432" s="269"/>
      <c r="M432" s="269"/>
      <c r="N432" s="269"/>
      <c r="O432" s="269"/>
      <c r="P432" s="269"/>
      <c r="Q432" s="269"/>
      <c r="R432" s="269"/>
      <c r="S432" s="269"/>
      <c r="T432" s="269"/>
      <c r="U432" s="269"/>
      <c r="V432" s="269"/>
      <c r="W432" s="269"/>
      <c r="X432" s="269"/>
      <c r="Y432" s="269"/>
      <c r="Z432" s="269"/>
      <c r="AA432" s="269"/>
      <c r="AB432" s="269"/>
      <c r="AC432" s="269"/>
      <c r="AD432" s="269"/>
      <c r="AE432" s="269"/>
      <c r="AF432" s="269"/>
      <c r="AG432" s="269"/>
      <c r="AH432" s="269"/>
      <c r="AI432" s="269"/>
      <c r="AJ432" s="269"/>
      <c r="AK432" s="269"/>
      <c r="AL432" s="269"/>
      <c r="AM432" s="269"/>
      <c r="AN432" s="269"/>
      <c r="AO432" s="269"/>
      <c r="AP432" s="269"/>
      <c r="AQ432" s="269"/>
      <c r="AR432" s="269"/>
      <c r="AS432" s="269"/>
      <c r="AT432" s="269"/>
      <c r="AU432" s="283"/>
    </row>
    <row r="433" spans="1:47" ht="60" customHeight="1" x14ac:dyDescent="0.35">
      <c r="A433" s="279" t="s">
        <v>7375</v>
      </c>
      <c r="B433" s="257" t="s">
        <v>7376</v>
      </c>
      <c r="C433" s="258" t="s">
        <v>7391</v>
      </c>
      <c r="D433" s="261" t="s">
        <v>7392</v>
      </c>
      <c r="E433" s="262" t="s">
        <v>6618</v>
      </c>
      <c r="F433" s="265" t="s">
        <v>7339</v>
      </c>
      <c r="G433" s="268" t="str">
        <f>IF(COUNTIF(H433:AU433,"&lt;&gt;")=0,"",SUMPRODUCT(((Recommendations[ImplStatus]="Implemented")+(Recommendations[ImplStatus]="Compensated"))*ISNUMBER(MATCH(Recommendations[Id],H433:AU433,0)))/COUNTIF(H433:AU433,"&lt;&gt;"))</f>
        <v/>
      </c>
      <c r="H433" s="269"/>
      <c r="I433" s="269"/>
      <c r="J433" s="269"/>
      <c r="K433" s="269"/>
      <c r="L433" s="269"/>
      <c r="M433" s="269"/>
      <c r="N433" s="269"/>
      <c r="O433" s="269"/>
      <c r="P433" s="269"/>
      <c r="Q433" s="269"/>
      <c r="R433" s="269"/>
      <c r="S433" s="269"/>
      <c r="T433" s="269"/>
      <c r="U433" s="269"/>
      <c r="V433" s="269"/>
      <c r="W433" s="269"/>
      <c r="X433" s="269"/>
      <c r="Y433" s="269"/>
      <c r="Z433" s="269"/>
      <c r="AA433" s="269"/>
      <c r="AB433" s="269"/>
      <c r="AC433" s="269"/>
      <c r="AD433" s="269"/>
      <c r="AE433" s="269"/>
      <c r="AF433" s="269"/>
      <c r="AG433" s="269"/>
      <c r="AH433" s="269"/>
      <c r="AI433" s="269"/>
      <c r="AJ433" s="269"/>
      <c r="AK433" s="269"/>
      <c r="AL433" s="269"/>
      <c r="AM433" s="269"/>
      <c r="AN433" s="269"/>
      <c r="AO433" s="269"/>
      <c r="AP433" s="269"/>
      <c r="AQ433" s="269"/>
      <c r="AR433" s="269"/>
      <c r="AS433" s="269"/>
      <c r="AT433" s="269"/>
      <c r="AU433" s="283"/>
    </row>
    <row r="434" spans="1:47" ht="60" customHeight="1" x14ac:dyDescent="0.35">
      <c r="A434" s="279" t="s">
        <v>7375</v>
      </c>
      <c r="B434" s="257" t="s">
        <v>7376</v>
      </c>
      <c r="C434" s="258" t="s">
        <v>7393</v>
      </c>
      <c r="D434" s="261" t="s">
        <v>7394</v>
      </c>
      <c r="E434" s="262" t="s">
        <v>6618</v>
      </c>
      <c r="F434" s="265" t="s">
        <v>7339</v>
      </c>
      <c r="G434" s="268" t="str">
        <f>IF(COUNTIF(H434:AU434,"&lt;&gt;")=0,"",SUMPRODUCT(((Recommendations[ImplStatus]="Implemented")+(Recommendations[ImplStatus]="Compensated"))*ISNUMBER(MATCH(Recommendations[Id],H434:AU434,0)))/COUNTIF(H434:AU434,"&lt;&gt;"))</f>
        <v/>
      </c>
      <c r="H434" s="269"/>
      <c r="I434" s="269"/>
      <c r="J434" s="269"/>
      <c r="K434" s="269"/>
      <c r="L434" s="269"/>
      <c r="M434" s="269"/>
      <c r="N434" s="269"/>
      <c r="O434" s="269"/>
      <c r="P434" s="269"/>
      <c r="Q434" s="269"/>
      <c r="R434" s="269"/>
      <c r="S434" s="269"/>
      <c r="T434" s="269"/>
      <c r="U434" s="269"/>
      <c r="V434" s="269"/>
      <c r="W434" s="269"/>
      <c r="X434" s="269"/>
      <c r="Y434" s="269"/>
      <c r="Z434" s="269"/>
      <c r="AA434" s="269"/>
      <c r="AB434" s="269"/>
      <c r="AC434" s="269"/>
      <c r="AD434" s="269"/>
      <c r="AE434" s="269"/>
      <c r="AF434" s="269"/>
      <c r="AG434" s="269"/>
      <c r="AH434" s="269"/>
      <c r="AI434" s="269"/>
      <c r="AJ434" s="269"/>
      <c r="AK434" s="269"/>
      <c r="AL434" s="269"/>
      <c r="AM434" s="269"/>
      <c r="AN434" s="269"/>
      <c r="AO434" s="269"/>
      <c r="AP434" s="269"/>
      <c r="AQ434" s="269"/>
      <c r="AR434" s="269"/>
      <c r="AS434" s="269"/>
      <c r="AT434" s="269"/>
      <c r="AU434" s="283"/>
    </row>
    <row r="435" spans="1:47" ht="60" customHeight="1" x14ac:dyDescent="0.35">
      <c r="A435" s="279" t="s">
        <v>7375</v>
      </c>
      <c r="B435" s="257" t="s">
        <v>7376</v>
      </c>
      <c r="C435" s="258" t="s">
        <v>7395</v>
      </c>
      <c r="D435" s="261" t="s">
        <v>7396</v>
      </c>
      <c r="E435" s="262" t="s">
        <v>6551</v>
      </c>
      <c r="F435" s="265" t="s">
        <v>7339</v>
      </c>
      <c r="G435" s="268" t="str">
        <f>IF(COUNTIF(H435:AU435,"&lt;&gt;")=0,"",SUMPRODUCT(((Recommendations[ImplStatus]="Implemented")+(Recommendations[ImplStatus]="Compensated"))*ISNUMBER(MATCH(Recommendations[Id],H435:AU435,0)))/COUNTIF(H435:AU435,"&lt;&gt;"))</f>
        <v/>
      </c>
      <c r="H435" s="269"/>
      <c r="I435" s="269"/>
      <c r="J435" s="269"/>
      <c r="K435" s="269"/>
      <c r="L435" s="269"/>
      <c r="M435" s="269"/>
      <c r="N435" s="269"/>
      <c r="O435" s="269"/>
      <c r="P435" s="269"/>
      <c r="Q435" s="269"/>
      <c r="R435" s="269"/>
      <c r="S435" s="269"/>
      <c r="T435" s="269"/>
      <c r="U435" s="269"/>
      <c r="V435" s="269"/>
      <c r="W435" s="269"/>
      <c r="X435" s="269"/>
      <c r="Y435" s="269"/>
      <c r="Z435" s="269"/>
      <c r="AA435" s="269"/>
      <c r="AB435" s="269"/>
      <c r="AC435" s="269"/>
      <c r="AD435" s="269"/>
      <c r="AE435" s="269"/>
      <c r="AF435" s="269"/>
      <c r="AG435" s="269"/>
      <c r="AH435" s="269"/>
      <c r="AI435" s="269"/>
      <c r="AJ435" s="269"/>
      <c r="AK435" s="269"/>
      <c r="AL435" s="269"/>
      <c r="AM435" s="269"/>
      <c r="AN435" s="269"/>
      <c r="AO435" s="269"/>
      <c r="AP435" s="269"/>
      <c r="AQ435" s="269"/>
      <c r="AR435" s="269"/>
      <c r="AS435" s="269"/>
      <c r="AT435" s="269"/>
      <c r="AU435" s="283"/>
    </row>
    <row r="436" spans="1:47" ht="60" customHeight="1" x14ac:dyDescent="0.35">
      <c r="A436" s="279" t="s">
        <v>7375</v>
      </c>
      <c r="B436" s="257" t="s">
        <v>7376</v>
      </c>
      <c r="C436" s="258" t="s">
        <v>7397</v>
      </c>
      <c r="D436" s="261" t="s">
        <v>7398</v>
      </c>
      <c r="E436" s="262" t="s">
        <v>6618</v>
      </c>
      <c r="F436" s="265" t="s">
        <v>7339</v>
      </c>
      <c r="G436" s="268" t="str">
        <f>IF(COUNTIF(H436:AU436,"&lt;&gt;")=0,"",SUMPRODUCT(((Recommendations[ImplStatus]="Implemented")+(Recommendations[ImplStatus]="Compensated"))*ISNUMBER(MATCH(Recommendations[Id],H436:AU436,0)))/COUNTIF(H436:AU436,"&lt;&gt;"))</f>
        <v/>
      </c>
      <c r="H436" s="269"/>
      <c r="I436" s="269"/>
      <c r="J436" s="269"/>
      <c r="K436" s="269"/>
      <c r="L436" s="269"/>
      <c r="M436" s="269"/>
      <c r="N436" s="269"/>
      <c r="O436" s="269"/>
      <c r="P436" s="269"/>
      <c r="Q436" s="269"/>
      <c r="R436" s="269"/>
      <c r="S436" s="269"/>
      <c r="T436" s="269"/>
      <c r="U436" s="269"/>
      <c r="V436" s="269"/>
      <c r="W436" s="269"/>
      <c r="X436" s="269"/>
      <c r="Y436" s="269"/>
      <c r="Z436" s="269"/>
      <c r="AA436" s="269"/>
      <c r="AB436" s="269"/>
      <c r="AC436" s="269"/>
      <c r="AD436" s="269"/>
      <c r="AE436" s="269"/>
      <c r="AF436" s="269"/>
      <c r="AG436" s="269"/>
      <c r="AH436" s="269"/>
      <c r="AI436" s="269"/>
      <c r="AJ436" s="269"/>
      <c r="AK436" s="269"/>
      <c r="AL436" s="269"/>
      <c r="AM436" s="269"/>
      <c r="AN436" s="269"/>
      <c r="AO436" s="269"/>
      <c r="AP436" s="269"/>
      <c r="AQ436" s="269"/>
      <c r="AR436" s="269"/>
      <c r="AS436" s="269"/>
      <c r="AT436" s="269"/>
      <c r="AU436" s="283"/>
    </row>
    <row r="437" spans="1:47" ht="60" customHeight="1" x14ac:dyDescent="0.35">
      <c r="A437" s="279" t="s">
        <v>7375</v>
      </c>
      <c r="B437" s="257" t="s">
        <v>7376</v>
      </c>
      <c r="C437" s="258" t="s">
        <v>7399</v>
      </c>
      <c r="D437" s="261" t="s">
        <v>7400</v>
      </c>
      <c r="E437" s="262" t="s">
        <v>6551</v>
      </c>
      <c r="F437" s="265" t="s">
        <v>7339</v>
      </c>
      <c r="G437" s="268" t="str">
        <f>IF(COUNTIF(H437:AU437,"&lt;&gt;")=0,"",SUMPRODUCT(((Recommendations[ImplStatus]="Implemented")+(Recommendations[ImplStatus]="Compensated"))*ISNUMBER(MATCH(Recommendations[Id],H437:AU437,0)))/COUNTIF(H437:AU437,"&lt;&gt;"))</f>
        <v/>
      </c>
      <c r="H437" s="269"/>
      <c r="I437" s="269"/>
      <c r="J437" s="269"/>
      <c r="K437" s="269"/>
      <c r="L437" s="269"/>
      <c r="M437" s="269"/>
      <c r="N437" s="269"/>
      <c r="O437" s="269"/>
      <c r="P437" s="269"/>
      <c r="Q437" s="269"/>
      <c r="R437" s="269"/>
      <c r="S437" s="269"/>
      <c r="T437" s="269"/>
      <c r="U437" s="269"/>
      <c r="V437" s="269"/>
      <c r="W437" s="269"/>
      <c r="X437" s="269"/>
      <c r="Y437" s="269"/>
      <c r="Z437" s="269"/>
      <c r="AA437" s="269"/>
      <c r="AB437" s="269"/>
      <c r="AC437" s="269"/>
      <c r="AD437" s="269"/>
      <c r="AE437" s="269"/>
      <c r="AF437" s="269"/>
      <c r="AG437" s="269"/>
      <c r="AH437" s="269"/>
      <c r="AI437" s="269"/>
      <c r="AJ437" s="269"/>
      <c r="AK437" s="269"/>
      <c r="AL437" s="269"/>
      <c r="AM437" s="269"/>
      <c r="AN437" s="269"/>
      <c r="AO437" s="269"/>
      <c r="AP437" s="269"/>
      <c r="AQ437" s="269"/>
      <c r="AR437" s="269"/>
      <c r="AS437" s="269"/>
      <c r="AT437" s="269"/>
      <c r="AU437" s="283"/>
    </row>
    <row r="438" spans="1:47" ht="60" customHeight="1" outlineLevel="2" x14ac:dyDescent="0.35">
      <c r="A438" s="278" t="s">
        <v>7375</v>
      </c>
      <c r="B438" s="256" t="s">
        <v>7401</v>
      </c>
      <c r="C438" s="256"/>
      <c r="D438" s="260"/>
      <c r="E438" s="256"/>
      <c r="F438" s="264"/>
      <c r="G438" s="267" t="str">
        <f>IF(COUNTIF(H438:AU438,"&lt;&gt;")=0,"",SUMPRODUCT(((Recommendations[ImplStatus]="Implemented")+(Recommendations[ImplStatus]="Compensated"))*ISNUMBER(MATCH(Recommendations[Id],H438:AU438,0)))/COUNTIF(H438:AU438,"&lt;&gt;"))</f>
        <v/>
      </c>
      <c r="H438" s="264"/>
      <c r="I438" s="264"/>
      <c r="J438" s="264"/>
      <c r="K438" s="264"/>
      <c r="L438" s="264"/>
      <c r="M438" s="264"/>
      <c r="N438" s="264"/>
      <c r="O438" s="264"/>
      <c r="P438" s="264"/>
      <c r="Q438" s="264"/>
      <c r="R438" s="264"/>
      <c r="S438" s="264"/>
      <c r="T438" s="264"/>
      <c r="U438" s="264"/>
      <c r="V438" s="264"/>
      <c r="W438" s="264"/>
      <c r="X438" s="264"/>
      <c r="Y438" s="264"/>
      <c r="Z438" s="264"/>
      <c r="AA438" s="264"/>
      <c r="AB438" s="264"/>
      <c r="AC438" s="264"/>
      <c r="AD438" s="264"/>
      <c r="AE438" s="264"/>
      <c r="AF438" s="264"/>
      <c r="AG438" s="264"/>
      <c r="AH438" s="264"/>
      <c r="AI438" s="264"/>
      <c r="AJ438" s="264"/>
      <c r="AK438" s="264"/>
      <c r="AL438" s="264"/>
      <c r="AM438" s="264"/>
      <c r="AN438" s="264"/>
      <c r="AO438" s="264"/>
      <c r="AP438" s="264"/>
      <c r="AQ438" s="264"/>
      <c r="AR438" s="264"/>
      <c r="AS438" s="264"/>
      <c r="AT438" s="264"/>
      <c r="AU438" s="282"/>
    </row>
    <row r="439" spans="1:47" ht="60" customHeight="1" x14ac:dyDescent="0.35">
      <c r="A439" s="279" t="s">
        <v>7375</v>
      </c>
      <c r="B439" s="257" t="s">
        <v>7401</v>
      </c>
      <c r="C439" s="258" t="s">
        <v>7402</v>
      </c>
      <c r="D439" s="261" t="s">
        <v>7403</v>
      </c>
      <c r="E439" s="262" t="s">
        <v>6522</v>
      </c>
      <c r="F439" s="265" t="s">
        <v>7404</v>
      </c>
      <c r="G439" s="268" t="str">
        <f>IF(COUNTIF(H439:AU439,"&lt;&gt;")=0,"",SUMPRODUCT(((Recommendations[ImplStatus]="Implemented")+(Recommendations[ImplStatus]="Compensated"))*ISNUMBER(MATCH(Recommendations[Id],H439:AU439,0)))/COUNTIF(H439:AU439,"&lt;&gt;"))</f>
        <v/>
      </c>
      <c r="H439" s="269"/>
      <c r="I439" s="269"/>
      <c r="J439" s="269"/>
      <c r="K439" s="269"/>
      <c r="L439" s="269"/>
      <c r="M439" s="269"/>
      <c r="N439" s="269"/>
      <c r="O439" s="269"/>
      <c r="P439" s="269"/>
      <c r="Q439" s="269"/>
      <c r="R439" s="269"/>
      <c r="S439" s="269"/>
      <c r="T439" s="269"/>
      <c r="U439" s="269"/>
      <c r="V439" s="269"/>
      <c r="W439" s="269"/>
      <c r="X439" s="269"/>
      <c r="Y439" s="269"/>
      <c r="Z439" s="269"/>
      <c r="AA439" s="269"/>
      <c r="AB439" s="269"/>
      <c r="AC439" s="269"/>
      <c r="AD439" s="269"/>
      <c r="AE439" s="269"/>
      <c r="AF439" s="269"/>
      <c r="AG439" s="269"/>
      <c r="AH439" s="269"/>
      <c r="AI439" s="269"/>
      <c r="AJ439" s="269"/>
      <c r="AK439" s="269"/>
      <c r="AL439" s="269"/>
      <c r="AM439" s="269"/>
      <c r="AN439" s="269"/>
      <c r="AO439" s="269"/>
      <c r="AP439" s="269"/>
      <c r="AQ439" s="269"/>
      <c r="AR439" s="269"/>
      <c r="AS439" s="269"/>
      <c r="AT439" s="269"/>
      <c r="AU439" s="283"/>
    </row>
    <row r="440" spans="1:47" ht="60" customHeight="1" x14ac:dyDescent="0.35">
      <c r="A440" s="279" t="s">
        <v>7375</v>
      </c>
      <c r="B440" s="257" t="s">
        <v>7401</v>
      </c>
      <c r="C440" s="258" t="s">
        <v>7405</v>
      </c>
      <c r="D440" s="261" t="s">
        <v>7406</v>
      </c>
      <c r="E440" s="262" t="s">
        <v>6522</v>
      </c>
      <c r="F440" s="265" t="s">
        <v>7404</v>
      </c>
      <c r="G440" s="268" t="str">
        <f>IF(COUNTIF(H440:AU440,"&lt;&gt;")=0,"",SUMPRODUCT(((Recommendations[ImplStatus]="Implemented")+(Recommendations[ImplStatus]="Compensated"))*ISNUMBER(MATCH(Recommendations[Id],H440:AU440,0)))/COUNTIF(H440:AU440,"&lt;&gt;"))</f>
        <v/>
      </c>
      <c r="H440" s="269"/>
      <c r="I440" s="269"/>
      <c r="J440" s="269"/>
      <c r="K440" s="269"/>
      <c r="L440" s="269"/>
      <c r="M440" s="269"/>
      <c r="N440" s="269"/>
      <c r="O440" s="269"/>
      <c r="P440" s="269"/>
      <c r="Q440" s="269"/>
      <c r="R440" s="269"/>
      <c r="S440" s="269"/>
      <c r="T440" s="269"/>
      <c r="U440" s="269"/>
      <c r="V440" s="269"/>
      <c r="W440" s="269"/>
      <c r="X440" s="269"/>
      <c r="Y440" s="269"/>
      <c r="Z440" s="269"/>
      <c r="AA440" s="269"/>
      <c r="AB440" s="269"/>
      <c r="AC440" s="269"/>
      <c r="AD440" s="269"/>
      <c r="AE440" s="269"/>
      <c r="AF440" s="269"/>
      <c r="AG440" s="269"/>
      <c r="AH440" s="269"/>
      <c r="AI440" s="269"/>
      <c r="AJ440" s="269"/>
      <c r="AK440" s="269"/>
      <c r="AL440" s="269"/>
      <c r="AM440" s="269"/>
      <c r="AN440" s="269"/>
      <c r="AO440" s="269"/>
      <c r="AP440" s="269"/>
      <c r="AQ440" s="269"/>
      <c r="AR440" s="269"/>
      <c r="AS440" s="269"/>
      <c r="AT440" s="269"/>
      <c r="AU440" s="283"/>
    </row>
    <row r="441" spans="1:47" ht="60" customHeight="1" x14ac:dyDescent="0.35">
      <c r="A441" s="279" t="s">
        <v>7375</v>
      </c>
      <c r="B441" s="257" t="s">
        <v>7401</v>
      </c>
      <c r="C441" s="258" t="s">
        <v>7407</v>
      </c>
      <c r="D441" s="261" t="s">
        <v>7408</v>
      </c>
      <c r="E441" s="262" t="s">
        <v>6522</v>
      </c>
      <c r="F441" s="265" t="s">
        <v>7404</v>
      </c>
      <c r="G441" s="268" t="str">
        <f>IF(COUNTIF(H441:AU441,"&lt;&gt;")=0,"",SUMPRODUCT(((Recommendations[ImplStatus]="Implemented")+(Recommendations[ImplStatus]="Compensated"))*ISNUMBER(MATCH(Recommendations[Id],H441:AU441,0)))/COUNTIF(H441:AU441,"&lt;&gt;"))</f>
        <v/>
      </c>
      <c r="H441" s="269"/>
      <c r="I441" s="269"/>
      <c r="J441" s="269"/>
      <c r="K441" s="269"/>
      <c r="L441" s="269"/>
      <c r="M441" s="269"/>
      <c r="N441" s="269"/>
      <c r="O441" s="269"/>
      <c r="P441" s="269"/>
      <c r="Q441" s="269"/>
      <c r="R441" s="269"/>
      <c r="S441" s="269"/>
      <c r="T441" s="269"/>
      <c r="U441" s="269"/>
      <c r="V441" s="269"/>
      <c r="W441" s="269"/>
      <c r="X441" s="269"/>
      <c r="Y441" s="269"/>
      <c r="Z441" s="269"/>
      <c r="AA441" s="269"/>
      <c r="AB441" s="269"/>
      <c r="AC441" s="269"/>
      <c r="AD441" s="269"/>
      <c r="AE441" s="269"/>
      <c r="AF441" s="269"/>
      <c r="AG441" s="269"/>
      <c r="AH441" s="269"/>
      <c r="AI441" s="269"/>
      <c r="AJ441" s="269"/>
      <c r="AK441" s="269"/>
      <c r="AL441" s="269"/>
      <c r="AM441" s="269"/>
      <c r="AN441" s="269"/>
      <c r="AO441" s="269"/>
      <c r="AP441" s="269"/>
      <c r="AQ441" s="269"/>
      <c r="AR441" s="269"/>
      <c r="AS441" s="269"/>
      <c r="AT441" s="269"/>
      <c r="AU441" s="283"/>
    </row>
    <row r="442" spans="1:47" ht="60" customHeight="1" x14ac:dyDescent="0.35">
      <c r="A442" s="279" t="s">
        <v>7375</v>
      </c>
      <c r="B442" s="257" t="s">
        <v>7401</v>
      </c>
      <c r="C442" s="258" t="s">
        <v>7409</v>
      </c>
      <c r="D442" s="261" t="s">
        <v>7410</v>
      </c>
      <c r="E442" s="262" t="s">
        <v>6522</v>
      </c>
      <c r="F442" s="265" t="s">
        <v>7404</v>
      </c>
      <c r="G442" s="268" t="str">
        <f>IF(COUNTIF(H442:AU442,"&lt;&gt;")=0,"",SUMPRODUCT(((Recommendations[ImplStatus]="Implemented")+(Recommendations[ImplStatus]="Compensated"))*ISNUMBER(MATCH(Recommendations[Id],H442:AU442,0)))/COUNTIF(H442:AU442,"&lt;&gt;"))</f>
        <v/>
      </c>
      <c r="H442" s="269"/>
      <c r="I442" s="269"/>
      <c r="J442" s="269"/>
      <c r="K442" s="269"/>
      <c r="L442" s="269"/>
      <c r="M442" s="269"/>
      <c r="N442" s="269"/>
      <c r="O442" s="269"/>
      <c r="P442" s="269"/>
      <c r="Q442" s="269"/>
      <c r="R442" s="269"/>
      <c r="S442" s="269"/>
      <c r="T442" s="269"/>
      <c r="U442" s="269"/>
      <c r="V442" s="269"/>
      <c r="W442" s="269"/>
      <c r="X442" s="269"/>
      <c r="Y442" s="269"/>
      <c r="Z442" s="269"/>
      <c r="AA442" s="269"/>
      <c r="AB442" s="269"/>
      <c r="AC442" s="269"/>
      <c r="AD442" s="269"/>
      <c r="AE442" s="269"/>
      <c r="AF442" s="269"/>
      <c r="AG442" s="269"/>
      <c r="AH442" s="269"/>
      <c r="AI442" s="269"/>
      <c r="AJ442" s="269"/>
      <c r="AK442" s="269"/>
      <c r="AL442" s="269"/>
      <c r="AM442" s="269"/>
      <c r="AN442" s="269"/>
      <c r="AO442" s="269"/>
      <c r="AP442" s="269"/>
      <c r="AQ442" s="269"/>
      <c r="AR442" s="269"/>
      <c r="AS442" s="269"/>
      <c r="AT442" s="269"/>
      <c r="AU442" s="283"/>
    </row>
    <row r="443" spans="1:47" ht="60" customHeight="1" x14ac:dyDescent="0.35">
      <c r="A443" s="279" t="s">
        <v>7375</v>
      </c>
      <c r="B443" s="257" t="s">
        <v>7401</v>
      </c>
      <c r="C443" s="258" t="s">
        <v>7411</v>
      </c>
      <c r="D443" s="261" t="s">
        <v>7412</v>
      </c>
      <c r="E443" s="262" t="s">
        <v>6551</v>
      </c>
      <c r="F443" s="265" t="s">
        <v>7404</v>
      </c>
      <c r="G443" s="268" t="str">
        <f>IF(COUNTIF(H443:AU443,"&lt;&gt;")=0,"",SUMPRODUCT(((Recommendations[ImplStatus]="Implemented")+(Recommendations[ImplStatus]="Compensated"))*ISNUMBER(MATCH(Recommendations[Id],H443:AU443,0)))/COUNTIF(H443:AU443,"&lt;&gt;"))</f>
        <v/>
      </c>
      <c r="H443" s="269"/>
      <c r="I443" s="269"/>
      <c r="J443" s="269"/>
      <c r="K443" s="269"/>
      <c r="L443" s="269"/>
      <c r="M443" s="269"/>
      <c r="N443" s="269"/>
      <c r="O443" s="269"/>
      <c r="P443" s="269"/>
      <c r="Q443" s="269"/>
      <c r="R443" s="269"/>
      <c r="S443" s="269"/>
      <c r="T443" s="269"/>
      <c r="U443" s="269"/>
      <c r="V443" s="269"/>
      <c r="W443" s="269"/>
      <c r="X443" s="269"/>
      <c r="Y443" s="269"/>
      <c r="Z443" s="269"/>
      <c r="AA443" s="269"/>
      <c r="AB443" s="269"/>
      <c r="AC443" s="269"/>
      <c r="AD443" s="269"/>
      <c r="AE443" s="269"/>
      <c r="AF443" s="269"/>
      <c r="AG443" s="269"/>
      <c r="AH443" s="269"/>
      <c r="AI443" s="269"/>
      <c r="AJ443" s="269"/>
      <c r="AK443" s="269"/>
      <c r="AL443" s="269"/>
      <c r="AM443" s="269"/>
      <c r="AN443" s="269"/>
      <c r="AO443" s="269"/>
      <c r="AP443" s="269"/>
      <c r="AQ443" s="269"/>
      <c r="AR443" s="269"/>
      <c r="AS443" s="269"/>
      <c r="AT443" s="269"/>
      <c r="AU443" s="283"/>
    </row>
    <row r="444" spans="1:47" ht="60" customHeight="1" x14ac:dyDescent="0.35">
      <c r="A444" s="279" t="s">
        <v>7375</v>
      </c>
      <c r="B444" s="257" t="s">
        <v>7401</v>
      </c>
      <c r="C444" s="258" t="s">
        <v>7413</v>
      </c>
      <c r="D444" s="261" t="s">
        <v>7414</v>
      </c>
      <c r="E444" s="262" t="s">
        <v>6551</v>
      </c>
      <c r="F444" s="265" t="s">
        <v>7404</v>
      </c>
      <c r="G444" s="268" t="str">
        <f>IF(COUNTIF(H444:AU444,"&lt;&gt;")=0,"",SUMPRODUCT(((Recommendations[ImplStatus]="Implemented")+(Recommendations[ImplStatus]="Compensated"))*ISNUMBER(MATCH(Recommendations[Id],H444:AU444,0)))/COUNTIF(H444:AU444,"&lt;&gt;"))</f>
        <v/>
      </c>
      <c r="H444" s="269"/>
      <c r="I444" s="269"/>
      <c r="J444" s="269"/>
      <c r="K444" s="269"/>
      <c r="L444" s="269"/>
      <c r="M444" s="269"/>
      <c r="N444" s="269"/>
      <c r="O444" s="269"/>
      <c r="P444" s="269"/>
      <c r="Q444" s="269"/>
      <c r="R444" s="269"/>
      <c r="S444" s="269"/>
      <c r="T444" s="269"/>
      <c r="U444" s="269"/>
      <c r="V444" s="269"/>
      <c r="W444" s="269"/>
      <c r="X444" s="269"/>
      <c r="Y444" s="269"/>
      <c r="Z444" s="269"/>
      <c r="AA444" s="269"/>
      <c r="AB444" s="269"/>
      <c r="AC444" s="269"/>
      <c r="AD444" s="269"/>
      <c r="AE444" s="269"/>
      <c r="AF444" s="269"/>
      <c r="AG444" s="269"/>
      <c r="AH444" s="269"/>
      <c r="AI444" s="269"/>
      <c r="AJ444" s="269"/>
      <c r="AK444" s="269"/>
      <c r="AL444" s="269"/>
      <c r="AM444" s="269"/>
      <c r="AN444" s="269"/>
      <c r="AO444" s="269"/>
      <c r="AP444" s="269"/>
      <c r="AQ444" s="269"/>
      <c r="AR444" s="269"/>
      <c r="AS444" s="269"/>
      <c r="AT444" s="269"/>
      <c r="AU444" s="283"/>
    </row>
    <row r="445" spans="1:47" ht="60" customHeight="1" x14ac:dyDescent="0.35">
      <c r="A445" s="279" t="s">
        <v>7375</v>
      </c>
      <c r="B445" s="257" t="s">
        <v>7401</v>
      </c>
      <c r="C445" s="258" t="s">
        <v>7415</v>
      </c>
      <c r="D445" s="261" t="s">
        <v>7416</v>
      </c>
      <c r="E445" s="262" t="s">
        <v>6551</v>
      </c>
      <c r="F445" s="265" t="s">
        <v>7404</v>
      </c>
      <c r="G445" s="268" t="str">
        <f>IF(COUNTIF(H445:AU445,"&lt;&gt;")=0,"",SUMPRODUCT(((Recommendations[ImplStatus]="Implemented")+(Recommendations[ImplStatus]="Compensated"))*ISNUMBER(MATCH(Recommendations[Id],H445:AU445,0)))/COUNTIF(H445:AU445,"&lt;&gt;"))</f>
        <v/>
      </c>
      <c r="H445" s="269"/>
      <c r="I445" s="269"/>
      <c r="J445" s="269"/>
      <c r="K445" s="269"/>
      <c r="L445" s="269"/>
      <c r="M445" s="269"/>
      <c r="N445" s="269"/>
      <c r="O445" s="269"/>
      <c r="P445" s="269"/>
      <c r="Q445" s="269"/>
      <c r="R445" s="269"/>
      <c r="S445" s="269"/>
      <c r="T445" s="269"/>
      <c r="U445" s="269"/>
      <c r="V445" s="269"/>
      <c r="W445" s="269"/>
      <c r="X445" s="269"/>
      <c r="Y445" s="269"/>
      <c r="Z445" s="269"/>
      <c r="AA445" s="269"/>
      <c r="AB445" s="269"/>
      <c r="AC445" s="269"/>
      <c r="AD445" s="269"/>
      <c r="AE445" s="269"/>
      <c r="AF445" s="269"/>
      <c r="AG445" s="269"/>
      <c r="AH445" s="269"/>
      <c r="AI445" s="269"/>
      <c r="AJ445" s="269"/>
      <c r="AK445" s="269"/>
      <c r="AL445" s="269"/>
      <c r="AM445" s="269"/>
      <c r="AN445" s="269"/>
      <c r="AO445" s="269"/>
      <c r="AP445" s="269"/>
      <c r="AQ445" s="269"/>
      <c r="AR445" s="269"/>
      <c r="AS445" s="269"/>
      <c r="AT445" s="269"/>
      <c r="AU445" s="283"/>
    </row>
    <row r="446" spans="1:47" ht="60" customHeight="1" x14ac:dyDescent="0.35">
      <c r="A446" s="279" t="s">
        <v>7375</v>
      </c>
      <c r="B446" s="257" t="s">
        <v>7401</v>
      </c>
      <c r="C446" s="258" t="s">
        <v>7417</v>
      </c>
      <c r="D446" s="261" t="s">
        <v>7418</v>
      </c>
      <c r="E446" s="262" t="s">
        <v>6666</v>
      </c>
      <c r="F446" s="265" t="s">
        <v>7404</v>
      </c>
      <c r="G446" s="268" t="str">
        <f>IF(COUNTIF(H446:AU446,"&lt;&gt;")=0,"",SUMPRODUCT(((Recommendations[ImplStatus]="Implemented")+(Recommendations[ImplStatus]="Compensated"))*ISNUMBER(MATCH(Recommendations[Id],H446:AU446,0)))/COUNTIF(H446:AU446,"&lt;&gt;"))</f>
        <v/>
      </c>
      <c r="H446" s="269"/>
      <c r="I446" s="269"/>
      <c r="J446" s="269"/>
      <c r="K446" s="269"/>
      <c r="L446" s="269"/>
      <c r="M446" s="269"/>
      <c r="N446" s="269"/>
      <c r="O446" s="269"/>
      <c r="P446" s="269"/>
      <c r="Q446" s="269"/>
      <c r="R446" s="269"/>
      <c r="S446" s="269"/>
      <c r="T446" s="269"/>
      <c r="U446" s="269"/>
      <c r="V446" s="269"/>
      <c r="W446" s="269"/>
      <c r="X446" s="269"/>
      <c r="Y446" s="269"/>
      <c r="Z446" s="269"/>
      <c r="AA446" s="269"/>
      <c r="AB446" s="269"/>
      <c r="AC446" s="269"/>
      <c r="AD446" s="269"/>
      <c r="AE446" s="269"/>
      <c r="AF446" s="269"/>
      <c r="AG446" s="269"/>
      <c r="AH446" s="269"/>
      <c r="AI446" s="269"/>
      <c r="AJ446" s="269"/>
      <c r="AK446" s="269"/>
      <c r="AL446" s="269"/>
      <c r="AM446" s="269"/>
      <c r="AN446" s="269"/>
      <c r="AO446" s="269"/>
      <c r="AP446" s="269"/>
      <c r="AQ446" s="269"/>
      <c r="AR446" s="269"/>
      <c r="AS446" s="269"/>
      <c r="AT446" s="269"/>
      <c r="AU446" s="283"/>
    </row>
    <row r="447" spans="1:47" ht="60" customHeight="1" x14ac:dyDescent="0.35">
      <c r="A447" s="279" t="s">
        <v>7375</v>
      </c>
      <c r="B447" s="257" t="s">
        <v>7401</v>
      </c>
      <c r="C447" s="258" t="s">
        <v>7419</v>
      </c>
      <c r="D447" s="261" t="s">
        <v>7420</v>
      </c>
      <c r="E447" s="262" t="s">
        <v>6551</v>
      </c>
      <c r="F447" s="265" t="s">
        <v>7404</v>
      </c>
      <c r="G447" s="268" t="str">
        <f>IF(COUNTIF(H447:AU447,"&lt;&gt;")=0,"",SUMPRODUCT(((Recommendations[ImplStatus]="Implemented")+(Recommendations[ImplStatus]="Compensated"))*ISNUMBER(MATCH(Recommendations[Id],H447:AU447,0)))/COUNTIF(H447:AU447,"&lt;&gt;"))</f>
        <v/>
      </c>
      <c r="H447" s="269"/>
      <c r="I447" s="269"/>
      <c r="J447" s="269"/>
      <c r="K447" s="269"/>
      <c r="L447" s="269"/>
      <c r="M447" s="269"/>
      <c r="N447" s="269"/>
      <c r="O447" s="269"/>
      <c r="P447" s="269"/>
      <c r="Q447" s="269"/>
      <c r="R447" s="269"/>
      <c r="S447" s="269"/>
      <c r="T447" s="269"/>
      <c r="U447" s="269"/>
      <c r="V447" s="269"/>
      <c r="W447" s="269"/>
      <c r="X447" s="269"/>
      <c r="Y447" s="269"/>
      <c r="Z447" s="269"/>
      <c r="AA447" s="269"/>
      <c r="AB447" s="269"/>
      <c r="AC447" s="269"/>
      <c r="AD447" s="269"/>
      <c r="AE447" s="269"/>
      <c r="AF447" s="269"/>
      <c r="AG447" s="269"/>
      <c r="AH447" s="269"/>
      <c r="AI447" s="269"/>
      <c r="AJ447" s="269"/>
      <c r="AK447" s="269"/>
      <c r="AL447" s="269"/>
      <c r="AM447" s="269"/>
      <c r="AN447" s="269"/>
      <c r="AO447" s="269"/>
      <c r="AP447" s="269"/>
      <c r="AQ447" s="269"/>
      <c r="AR447" s="269"/>
      <c r="AS447" s="269"/>
      <c r="AT447" s="269"/>
      <c r="AU447" s="283"/>
    </row>
    <row r="448" spans="1:47" ht="60" customHeight="1" x14ac:dyDescent="0.35">
      <c r="A448" s="279" t="s">
        <v>7375</v>
      </c>
      <c r="B448" s="257" t="s">
        <v>7401</v>
      </c>
      <c r="C448" s="258" t="s">
        <v>7421</v>
      </c>
      <c r="D448" s="261" t="s">
        <v>7422</v>
      </c>
      <c r="E448" s="262" t="s">
        <v>6666</v>
      </c>
      <c r="F448" s="265" t="s">
        <v>7404</v>
      </c>
      <c r="G448" s="268" t="str">
        <f>IF(COUNTIF(H448:AU448,"&lt;&gt;")=0,"",SUMPRODUCT(((Recommendations[ImplStatus]="Implemented")+(Recommendations[ImplStatus]="Compensated"))*ISNUMBER(MATCH(Recommendations[Id],H448:AU448,0)))/COUNTIF(H448:AU448,"&lt;&gt;"))</f>
        <v/>
      </c>
      <c r="H448" s="269"/>
      <c r="I448" s="269"/>
      <c r="J448" s="269"/>
      <c r="K448" s="269"/>
      <c r="L448" s="269"/>
      <c r="M448" s="269"/>
      <c r="N448" s="269"/>
      <c r="O448" s="269"/>
      <c r="P448" s="269"/>
      <c r="Q448" s="269"/>
      <c r="R448" s="269"/>
      <c r="S448" s="269"/>
      <c r="T448" s="269"/>
      <c r="U448" s="269"/>
      <c r="V448" s="269"/>
      <c r="W448" s="269"/>
      <c r="X448" s="269"/>
      <c r="Y448" s="269"/>
      <c r="Z448" s="269"/>
      <c r="AA448" s="269"/>
      <c r="AB448" s="269"/>
      <c r="AC448" s="269"/>
      <c r="AD448" s="269"/>
      <c r="AE448" s="269"/>
      <c r="AF448" s="269"/>
      <c r="AG448" s="269"/>
      <c r="AH448" s="269"/>
      <c r="AI448" s="269"/>
      <c r="AJ448" s="269"/>
      <c r="AK448" s="269"/>
      <c r="AL448" s="269"/>
      <c r="AM448" s="269"/>
      <c r="AN448" s="269"/>
      <c r="AO448" s="269"/>
      <c r="AP448" s="269"/>
      <c r="AQ448" s="269"/>
      <c r="AR448" s="269"/>
      <c r="AS448" s="269"/>
      <c r="AT448" s="269"/>
      <c r="AU448" s="283"/>
    </row>
    <row r="449" spans="1:47" ht="60" customHeight="1" x14ac:dyDescent="0.35">
      <c r="A449" s="279" t="s">
        <v>7375</v>
      </c>
      <c r="B449" s="257" t="s">
        <v>7401</v>
      </c>
      <c r="C449" s="258" t="s">
        <v>7423</v>
      </c>
      <c r="D449" s="261" t="s">
        <v>7424</v>
      </c>
      <c r="E449" s="262" t="s">
        <v>6666</v>
      </c>
      <c r="F449" s="265" t="s">
        <v>7404</v>
      </c>
      <c r="G449" s="268" t="str">
        <f>IF(COUNTIF(H449:AU449,"&lt;&gt;")=0,"",SUMPRODUCT(((Recommendations[ImplStatus]="Implemented")+(Recommendations[ImplStatus]="Compensated"))*ISNUMBER(MATCH(Recommendations[Id],H449:AU449,0)))/COUNTIF(H449:AU449,"&lt;&gt;"))</f>
        <v/>
      </c>
      <c r="H449" s="269"/>
      <c r="I449" s="269"/>
      <c r="J449" s="269"/>
      <c r="K449" s="269"/>
      <c r="L449" s="269"/>
      <c r="M449" s="269"/>
      <c r="N449" s="269"/>
      <c r="O449" s="269"/>
      <c r="P449" s="269"/>
      <c r="Q449" s="269"/>
      <c r="R449" s="269"/>
      <c r="S449" s="269"/>
      <c r="T449" s="269"/>
      <c r="U449" s="269"/>
      <c r="V449" s="269"/>
      <c r="W449" s="269"/>
      <c r="X449" s="269"/>
      <c r="Y449" s="269"/>
      <c r="Z449" s="269"/>
      <c r="AA449" s="269"/>
      <c r="AB449" s="269"/>
      <c r="AC449" s="269"/>
      <c r="AD449" s="269"/>
      <c r="AE449" s="269"/>
      <c r="AF449" s="269"/>
      <c r="AG449" s="269"/>
      <c r="AH449" s="269"/>
      <c r="AI449" s="269"/>
      <c r="AJ449" s="269"/>
      <c r="AK449" s="269"/>
      <c r="AL449" s="269"/>
      <c r="AM449" s="269"/>
      <c r="AN449" s="269"/>
      <c r="AO449" s="269"/>
      <c r="AP449" s="269"/>
      <c r="AQ449" s="269"/>
      <c r="AR449" s="269"/>
      <c r="AS449" s="269"/>
      <c r="AT449" s="269"/>
      <c r="AU449" s="283"/>
    </row>
    <row r="450" spans="1:47" ht="60" customHeight="1" outlineLevel="1" x14ac:dyDescent="0.35">
      <c r="A450" s="277" t="s">
        <v>7425</v>
      </c>
      <c r="B450" s="255"/>
      <c r="C450" s="255"/>
      <c r="D450" s="259"/>
      <c r="E450" s="255"/>
      <c r="F450" s="263"/>
      <c r="G450" s="266" t="str">
        <f>IF(COUNTIF(H450:AU450,"&lt;&gt;")=0,"",SUMPRODUCT(((Recommendations[ImplStatus]="Implemented")+(Recommendations[ImplStatus]="Compensated"))*ISNUMBER(MATCH(Recommendations[Id],H450:AU450,0)))/COUNTIF(H450:AU450,"&lt;&gt;"))</f>
        <v/>
      </c>
      <c r="H450" s="263"/>
      <c r="I450" s="263"/>
      <c r="J450" s="263"/>
      <c r="K450" s="263"/>
      <c r="L450" s="263"/>
      <c r="M450" s="263"/>
      <c r="N450" s="263"/>
      <c r="O450" s="263"/>
      <c r="P450" s="263"/>
      <c r="Q450" s="263"/>
      <c r="R450" s="263"/>
      <c r="S450" s="263"/>
      <c r="T450" s="263"/>
      <c r="U450" s="263"/>
      <c r="V450" s="263"/>
      <c r="W450" s="263"/>
      <c r="X450" s="263"/>
      <c r="Y450" s="263"/>
      <c r="Z450" s="263"/>
      <c r="AA450" s="263"/>
      <c r="AB450" s="263"/>
      <c r="AC450" s="263"/>
      <c r="AD450" s="263"/>
      <c r="AE450" s="263"/>
      <c r="AF450" s="263"/>
      <c r="AG450" s="263"/>
      <c r="AH450" s="263"/>
      <c r="AI450" s="263"/>
      <c r="AJ450" s="263"/>
      <c r="AK450" s="263"/>
      <c r="AL450" s="263"/>
      <c r="AM450" s="263"/>
      <c r="AN450" s="263"/>
      <c r="AO450" s="263"/>
      <c r="AP450" s="263"/>
      <c r="AQ450" s="263"/>
      <c r="AR450" s="263"/>
      <c r="AS450" s="263"/>
      <c r="AT450" s="263"/>
      <c r="AU450" s="281"/>
    </row>
    <row r="451" spans="1:47" ht="60" customHeight="1" outlineLevel="2" x14ac:dyDescent="0.35">
      <c r="A451" s="278" t="s">
        <v>7425</v>
      </c>
      <c r="B451" s="256" t="s">
        <v>7426</v>
      </c>
      <c r="C451" s="256"/>
      <c r="D451" s="260"/>
      <c r="E451" s="256"/>
      <c r="F451" s="264"/>
      <c r="G451" s="267" t="str">
        <f>IF(COUNTIF(H451:AU451,"&lt;&gt;")=0,"",SUMPRODUCT(((Recommendations[ImplStatus]="Implemented")+(Recommendations[ImplStatus]="Compensated"))*ISNUMBER(MATCH(Recommendations[Id],H451:AU451,0)))/COUNTIF(H451:AU451,"&lt;&gt;"))</f>
        <v/>
      </c>
      <c r="H451" s="264"/>
      <c r="I451" s="264"/>
      <c r="J451" s="264"/>
      <c r="K451" s="264"/>
      <c r="L451" s="264"/>
      <c r="M451" s="264"/>
      <c r="N451" s="264"/>
      <c r="O451" s="264"/>
      <c r="P451" s="264"/>
      <c r="Q451" s="264"/>
      <c r="R451" s="264"/>
      <c r="S451" s="264"/>
      <c r="T451" s="264"/>
      <c r="U451" s="264"/>
      <c r="V451" s="264"/>
      <c r="W451" s="264"/>
      <c r="X451" s="264"/>
      <c r="Y451" s="264"/>
      <c r="Z451" s="264"/>
      <c r="AA451" s="264"/>
      <c r="AB451" s="264"/>
      <c r="AC451" s="264"/>
      <c r="AD451" s="264"/>
      <c r="AE451" s="264"/>
      <c r="AF451" s="264"/>
      <c r="AG451" s="264"/>
      <c r="AH451" s="264"/>
      <c r="AI451" s="264"/>
      <c r="AJ451" s="264"/>
      <c r="AK451" s="264"/>
      <c r="AL451" s="264"/>
      <c r="AM451" s="264"/>
      <c r="AN451" s="264"/>
      <c r="AO451" s="264"/>
      <c r="AP451" s="264"/>
      <c r="AQ451" s="264"/>
      <c r="AR451" s="264"/>
      <c r="AS451" s="264"/>
      <c r="AT451" s="264"/>
      <c r="AU451" s="282"/>
    </row>
    <row r="452" spans="1:47" ht="60" customHeight="1" x14ac:dyDescent="0.35">
      <c r="A452" s="279" t="s">
        <v>7425</v>
      </c>
      <c r="B452" s="257" t="s">
        <v>7426</v>
      </c>
      <c r="C452" s="258" t="s">
        <v>7427</v>
      </c>
      <c r="D452" s="261" t="s">
        <v>7428</v>
      </c>
      <c r="E452" s="262" t="s">
        <v>6522</v>
      </c>
      <c r="F452" s="265" t="s">
        <v>7429</v>
      </c>
      <c r="G452" s="268" t="str">
        <f>IF(COUNTIF(H452:AU452,"&lt;&gt;")=0,"",SUMPRODUCT(((Recommendations[ImplStatus]="Implemented")+(Recommendations[ImplStatus]="Compensated"))*ISNUMBER(MATCH(Recommendations[Id],H452:AU452,0)))/COUNTIF(H452:AU452,"&lt;&gt;"))</f>
        <v/>
      </c>
      <c r="H452" s="269"/>
      <c r="I452" s="269"/>
      <c r="J452" s="269"/>
      <c r="K452" s="269"/>
      <c r="L452" s="269"/>
      <c r="M452" s="269"/>
      <c r="N452" s="269"/>
      <c r="O452" s="269"/>
      <c r="P452" s="269"/>
      <c r="Q452" s="269"/>
      <c r="R452" s="269"/>
      <c r="S452" s="269"/>
      <c r="T452" s="269"/>
      <c r="U452" s="269"/>
      <c r="V452" s="269"/>
      <c r="W452" s="269"/>
      <c r="X452" s="269"/>
      <c r="Y452" s="269"/>
      <c r="Z452" s="269"/>
      <c r="AA452" s="269"/>
      <c r="AB452" s="269"/>
      <c r="AC452" s="269"/>
      <c r="AD452" s="269"/>
      <c r="AE452" s="269"/>
      <c r="AF452" s="269"/>
      <c r="AG452" s="269"/>
      <c r="AH452" s="269"/>
      <c r="AI452" s="269"/>
      <c r="AJ452" s="269"/>
      <c r="AK452" s="269"/>
      <c r="AL452" s="269"/>
      <c r="AM452" s="269"/>
      <c r="AN452" s="269"/>
      <c r="AO452" s="269"/>
      <c r="AP452" s="269"/>
      <c r="AQ452" s="269"/>
      <c r="AR452" s="269"/>
      <c r="AS452" s="269"/>
      <c r="AT452" s="269"/>
      <c r="AU452" s="283"/>
    </row>
    <row r="453" spans="1:47" ht="60" customHeight="1" x14ac:dyDescent="0.35">
      <c r="A453" s="279" t="s">
        <v>7425</v>
      </c>
      <c r="B453" s="257" t="s">
        <v>7426</v>
      </c>
      <c r="C453" s="258" t="s">
        <v>7430</v>
      </c>
      <c r="D453" s="261" t="s">
        <v>7431</v>
      </c>
      <c r="E453" s="262" t="s">
        <v>6522</v>
      </c>
      <c r="F453" s="265" t="s">
        <v>7429</v>
      </c>
      <c r="G453" s="268" t="str">
        <f>IF(COUNTIF(H453:AU453,"&lt;&gt;")=0,"",SUMPRODUCT(((Recommendations[ImplStatus]="Implemented")+(Recommendations[ImplStatus]="Compensated"))*ISNUMBER(MATCH(Recommendations[Id],H453:AU453,0)))/COUNTIF(H453:AU453,"&lt;&gt;"))</f>
        <v/>
      </c>
      <c r="H453" s="269"/>
      <c r="I453" s="269"/>
      <c r="J453" s="269"/>
      <c r="K453" s="269"/>
      <c r="L453" s="269"/>
      <c r="M453" s="269"/>
      <c r="N453" s="269"/>
      <c r="O453" s="269"/>
      <c r="P453" s="269"/>
      <c r="Q453" s="269"/>
      <c r="R453" s="269"/>
      <c r="S453" s="269"/>
      <c r="T453" s="269"/>
      <c r="U453" s="269"/>
      <c r="V453" s="269"/>
      <c r="W453" s="269"/>
      <c r="X453" s="269"/>
      <c r="Y453" s="269"/>
      <c r="Z453" s="269"/>
      <c r="AA453" s="269"/>
      <c r="AB453" s="269"/>
      <c r="AC453" s="269"/>
      <c r="AD453" s="269"/>
      <c r="AE453" s="269"/>
      <c r="AF453" s="269"/>
      <c r="AG453" s="269"/>
      <c r="AH453" s="269"/>
      <c r="AI453" s="269"/>
      <c r="AJ453" s="269"/>
      <c r="AK453" s="269"/>
      <c r="AL453" s="269"/>
      <c r="AM453" s="269"/>
      <c r="AN453" s="269"/>
      <c r="AO453" s="269"/>
      <c r="AP453" s="269"/>
      <c r="AQ453" s="269"/>
      <c r="AR453" s="269"/>
      <c r="AS453" s="269"/>
      <c r="AT453" s="269"/>
      <c r="AU453" s="283"/>
    </row>
    <row r="454" spans="1:47" ht="60" customHeight="1" x14ac:dyDescent="0.35">
      <c r="A454" s="279" t="s">
        <v>7425</v>
      </c>
      <c r="B454" s="257" t="s">
        <v>7426</v>
      </c>
      <c r="C454" s="258" t="s">
        <v>7432</v>
      </c>
      <c r="D454" s="261" t="s">
        <v>7433</v>
      </c>
      <c r="E454" s="262" t="s">
        <v>6522</v>
      </c>
      <c r="F454" s="265" t="s">
        <v>7429</v>
      </c>
      <c r="G454" s="268" t="str">
        <f>IF(COUNTIF(H454:AU454,"&lt;&gt;")=0,"",SUMPRODUCT(((Recommendations[ImplStatus]="Implemented")+(Recommendations[ImplStatus]="Compensated"))*ISNUMBER(MATCH(Recommendations[Id],H454:AU454,0)))/COUNTIF(H454:AU454,"&lt;&gt;"))</f>
        <v/>
      </c>
      <c r="H454" s="269"/>
      <c r="I454" s="269"/>
      <c r="J454" s="269"/>
      <c r="K454" s="269"/>
      <c r="L454" s="269"/>
      <c r="M454" s="269"/>
      <c r="N454" s="269"/>
      <c r="O454" s="269"/>
      <c r="P454" s="269"/>
      <c r="Q454" s="269"/>
      <c r="R454" s="269"/>
      <c r="S454" s="269"/>
      <c r="T454" s="269"/>
      <c r="U454" s="269"/>
      <c r="V454" s="269"/>
      <c r="W454" s="269"/>
      <c r="X454" s="269"/>
      <c r="Y454" s="269"/>
      <c r="Z454" s="269"/>
      <c r="AA454" s="269"/>
      <c r="AB454" s="269"/>
      <c r="AC454" s="269"/>
      <c r="AD454" s="269"/>
      <c r="AE454" s="269"/>
      <c r="AF454" s="269"/>
      <c r="AG454" s="269"/>
      <c r="AH454" s="269"/>
      <c r="AI454" s="269"/>
      <c r="AJ454" s="269"/>
      <c r="AK454" s="269"/>
      <c r="AL454" s="269"/>
      <c r="AM454" s="269"/>
      <c r="AN454" s="269"/>
      <c r="AO454" s="269"/>
      <c r="AP454" s="269"/>
      <c r="AQ454" s="269"/>
      <c r="AR454" s="269"/>
      <c r="AS454" s="269"/>
      <c r="AT454" s="269"/>
      <c r="AU454" s="283"/>
    </row>
    <row r="455" spans="1:47" ht="60" customHeight="1" x14ac:dyDescent="0.35">
      <c r="A455" s="279" t="s">
        <v>7425</v>
      </c>
      <c r="B455" s="257" t="s">
        <v>7426</v>
      </c>
      <c r="C455" s="258" t="s">
        <v>7434</v>
      </c>
      <c r="D455" s="261" t="s">
        <v>7435</v>
      </c>
      <c r="E455" s="262" t="s">
        <v>6522</v>
      </c>
      <c r="F455" s="265" t="s">
        <v>7429</v>
      </c>
      <c r="G455" s="268" t="str">
        <f>IF(COUNTIF(H455:AU455,"&lt;&gt;")=0,"",SUMPRODUCT(((Recommendations[ImplStatus]="Implemented")+(Recommendations[ImplStatus]="Compensated"))*ISNUMBER(MATCH(Recommendations[Id],H455:AU455,0)))/COUNTIF(H455:AU455,"&lt;&gt;"))</f>
        <v/>
      </c>
      <c r="H455" s="269"/>
      <c r="I455" s="269"/>
      <c r="J455" s="269"/>
      <c r="K455" s="269"/>
      <c r="L455" s="269"/>
      <c r="M455" s="269"/>
      <c r="N455" s="269"/>
      <c r="O455" s="269"/>
      <c r="P455" s="269"/>
      <c r="Q455" s="269"/>
      <c r="R455" s="269"/>
      <c r="S455" s="269"/>
      <c r="T455" s="269"/>
      <c r="U455" s="269"/>
      <c r="V455" s="269"/>
      <c r="W455" s="269"/>
      <c r="X455" s="269"/>
      <c r="Y455" s="269"/>
      <c r="Z455" s="269"/>
      <c r="AA455" s="269"/>
      <c r="AB455" s="269"/>
      <c r="AC455" s="269"/>
      <c r="AD455" s="269"/>
      <c r="AE455" s="269"/>
      <c r="AF455" s="269"/>
      <c r="AG455" s="269"/>
      <c r="AH455" s="269"/>
      <c r="AI455" s="269"/>
      <c r="AJ455" s="269"/>
      <c r="AK455" s="269"/>
      <c r="AL455" s="269"/>
      <c r="AM455" s="269"/>
      <c r="AN455" s="269"/>
      <c r="AO455" s="269"/>
      <c r="AP455" s="269"/>
      <c r="AQ455" s="269"/>
      <c r="AR455" s="269"/>
      <c r="AS455" s="269"/>
      <c r="AT455" s="269"/>
      <c r="AU455" s="283"/>
    </row>
    <row r="456" spans="1:47" ht="60" customHeight="1" x14ac:dyDescent="0.35">
      <c r="A456" s="279" t="s">
        <v>7425</v>
      </c>
      <c r="B456" s="257" t="s">
        <v>7426</v>
      </c>
      <c r="C456" s="258" t="s">
        <v>7436</v>
      </c>
      <c r="D456" s="261" t="s">
        <v>7437</v>
      </c>
      <c r="E456" s="262" t="s">
        <v>6522</v>
      </c>
      <c r="F456" s="265" t="s">
        <v>7429</v>
      </c>
      <c r="G456" s="268" t="str">
        <f>IF(COUNTIF(H456:AU456,"&lt;&gt;")=0,"",SUMPRODUCT(((Recommendations[ImplStatus]="Implemented")+(Recommendations[ImplStatus]="Compensated"))*ISNUMBER(MATCH(Recommendations[Id],H456:AU456,0)))/COUNTIF(H456:AU456,"&lt;&gt;"))</f>
        <v/>
      </c>
      <c r="H456" s="269"/>
      <c r="I456" s="269"/>
      <c r="J456" s="269"/>
      <c r="K456" s="269"/>
      <c r="L456" s="269"/>
      <c r="M456" s="269"/>
      <c r="N456" s="269"/>
      <c r="O456" s="269"/>
      <c r="P456" s="269"/>
      <c r="Q456" s="269"/>
      <c r="R456" s="269"/>
      <c r="S456" s="269"/>
      <c r="T456" s="269"/>
      <c r="U456" s="269"/>
      <c r="V456" s="269"/>
      <c r="W456" s="269"/>
      <c r="X456" s="269"/>
      <c r="Y456" s="269"/>
      <c r="Z456" s="269"/>
      <c r="AA456" s="269"/>
      <c r="AB456" s="269"/>
      <c r="AC456" s="269"/>
      <c r="AD456" s="269"/>
      <c r="AE456" s="269"/>
      <c r="AF456" s="269"/>
      <c r="AG456" s="269"/>
      <c r="AH456" s="269"/>
      <c r="AI456" s="269"/>
      <c r="AJ456" s="269"/>
      <c r="AK456" s="269"/>
      <c r="AL456" s="269"/>
      <c r="AM456" s="269"/>
      <c r="AN456" s="269"/>
      <c r="AO456" s="269"/>
      <c r="AP456" s="269"/>
      <c r="AQ456" s="269"/>
      <c r="AR456" s="269"/>
      <c r="AS456" s="269"/>
      <c r="AT456" s="269"/>
      <c r="AU456" s="283"/>
    </row>
    <row r="457" spans="1:47" ht="60" customHeight="1" x14ac:dyDescent="0.35">
      <c r="A457" s="279" t="s">
        <v>7425</v>
      </c>
      <c r="B457" s="257" t="s">
        <v>7426</v>
      </c>
      <c r="C457" s="258" t="s">
        <v>7438</v>
      </c>
      <c r="D457" s="261" t="s">
        <v>7439</v>
      </c>
      <c r="E457" s="262" t="s">
        <v>6551</v>
      </c>
      <c r="F457" s="265" t="s">
        <v>7429</v>
      </c>
      <c r="G457" s="268" t="str">
        <f>IF(COUNTIF(H457:AU457,"&lt;&gt;")=0,"",SUMPRODUCT(((Recommendations[ImplStatus]="Implemented")+(Recommendations[ImplStatus]="Compensated"))*ISNUMBER(MATCH(Recommendations[Id],H457:AU457,0)))/COUNTIF(H457:AU457,"&lt;&gt;"))</f>
        <v/>
      </c>
      <c r="H457" s="269"/>
      <c r="I457" s="269"/>
      <c r="J457" s="269"/>
      <c r="K457" s="269"/>
      <c r="L457" s="269"/>
      <c r="M457" s="269"/>
      <c r="N457" s="269"/>
      <c r="O457" s="269"/>
      <c r="P457" s="269"/>
      <c r="Q457" s="269"/>
      <c r="R457" s="269"/>
      <c r="S457" s="269"/>
      <c r="T457" s="269"/>
      <c r="U457" s="269"/>
      <c r="V457" s="269"/>
      <c r="W457" s="269"/>
      <c r="X457" s="269"/>
      <c r="Y457" s="269"/>
      <c r="Z457" s="269"/>
      <c r="AA457" s="269"/>
      <c r="AB457" s="269"/>
      <c r="AC457" s="269"/>
      <c r="AD457" s="269"/>
      <c r="AE457" s="269"/>
      <c r="AF457" s="269"/>
      <c r="AG457" s="269"/>
      <c r="AH457" s="269"/>
      <c r="AI457" s="269"/>
      <c r="AJ457" s="269"/>
      <c r="AK457" s="269"/>
      <c r="AL457" s="269"/>
      <c r="AM457" s="269"/>
      <c r="AN457" s="269"/>
      <c r="AO457" s="269"/>
      <c r="AP457" s="269"/>
      <c r="AQ457" s="269"/>
      <c r="AR457" s="269"/>
      <c r="AS457" s="269"/>
      <c r="AT457" s="269"/>
      <c r="AU457" s="283"/>
    </row>
    <row r="458" spans="1:47" ht="60" customHeight="1" x14ac:dyDescent="0.35">
      <c r="A458" s="279" t="s">
        <v>7425</v>
      </c>
      <c r="B458" s="257" t="s">
        <v>7426</v>
      </c>
      <c r="C458" s="258" t="s">
        <v>7440</v>
      </c>
      <c r="D458" s="261" t="s">
        <v>7441</v>
      </c>
      <c r="E458" s="262" t="s">
        <v>6551</v>
      </c>
      <c r="F458" s="265" t="s">
        <v>7429</v>
      </c>
      <c r="G458" s="268" t="str">
        <f>IF(COUNTIF(H458:AU458,"&lt;&gt;")=0,"",SUMPRODUCT(((Recommendations[ImplStatus]="Implemented")+(Recommendations[ImplStatus]="Compensated"))*ISNUMBER(MATCH(Recommendations[Id],H458:AU458,0)))/COUNTIF(H458:AU458,"&lt;&gt;"))</f>
        <v/>
      </c>
      <c r="H458" s="269"/>
      <c r="I458" s="269"/>
      <c r="J458" s="269"/>
      <c r="K458" s="269"/>
      <c r="L458" s="269"/>
      <c r="M458" s="269"/>
      <c r="N458" s="269"/>
      <c r="O458" s="269"/>
      <c r="P458" s="269"/>
      <c r="Q458" s="269"/>
      <c r="R458" s="269"/>
      <c r="S458" s="269"/>
      <c r="T458" s="269"/>
      <c r="U458" s="269"/>
      <c r="V458" s="269"/>
      <c r="W458" s="269"/>
      <c r="X458" s="269"/>
      <c r="Y458" s="269"/>
      <c r="Z458" s="269"/>
      <c r="AA458" s="269"/>
      <c r="AB458" s="269"/>
      <c r="AC458" s="269"/>
      <c r="AD458" s="269"/>
      <c r="AE458" s="269"/>
      <c r="AF458" s="269"/>
      <c r="AG458" s="269"/>
      <c r="AH458" s="269"/>
      <c r="AI458" s="269"/>
      <c r="AJ458" s="269"/>
      <c r="AK458" s="269"/>
      <c r="AL458" s="269"/>
      <c r="AM458" s="269"/>
      <c r="AN458" s="269"/>
      <c r="AO458" s="269"/>
      <c r="AP458" s="269"/>
      <c r="AQ458" s="269"/>
      <c r="AR458" s="269"/>
      <c r="AS458" s="269"/>
      <c r="AT458" s="269"/>
      <c r="AU458" s="283"/>
    </row>
    <row r="459" spans="1:47" ht="60" customHeight="1" x14ac:dyDescent="0.35">
      <c r="A459" s="279" t="s">
        <v>7425</v>
      </c>
      <c r="B459" s="257" t="s">
        <v>7426</v>
      </c>
      <c r="C459" s="258" t="s">
        <v>7442</v>
      </c>
      <c r="D459" s="261" t="s">
        <v>7443</v>
      </c>
      <c r="E459" s="262" t="s">
        <v>6551</v>
      </c>
      <c r="F459" s="265" t="s">
        <v>7429</v>
      </c>
      <c r="G459" s="268" t="str">
        <f>IF(COUNTIF(H459:AU459,"&lt;&gt;")=0,"",SUMPRODUCT(((Recommendations[ImplStatus]="Implemented")+(Recommendations[ImplStatus]="Compensated"))*ISNUMBER(MATCH(Recommendations[Id],H459:AU459,0)))/COUNTIF(H459:AU459,"&lt;&gt;"))</f>
        <v/>
      </c>
      <c r="H459" s="269"/>
      <c r="I459" s="269"/>
      <c r="J459" s="269"/>
      <c r="K459" s="269"/>
      <c r="L459" s="269"/>
      <c r="M459" s="269"/>
      <c r="N459" s="269"/>
      <c r="O459" s="269"/>
      <c r="P459" s="269"/>
      <c r="Q459" s="269"/>
      <c r="R459" s="269"/>
      <c r="S459" s="269"/>
      <c r="T459" s="269"/>
      <c r="U459" s="269"/>
      <c r="V459" s="269"/>
      <c r="W459" s="269"/>
      <c r="X459" s="269"/>
      <c r="Y459" s="269"/>
      <c r="Z459" s="269"/>
      <c r="AA459" s="269"/>
      <c r="AB459" s="269"/>
      <c r="AC459" s="269"/>
      <c r="AD459" s="269"/>
      <c r="AE459" s="269"/>
      <c r="AF459" s="269"/>
      <c r="AG459" s="269"/>
      <c r="AH459" s="269"/>
      <c r="AI459" s="269"/>
      <c r="AJ459" s="269"/>
      <c r="AK459" s="269"/>
      <c r="AL459" s="269"/>
      <c r="AM459" s="269"/>
      <c r="AN459" s="269"/>
      <c r="AO459" s="269"/>
      <c r="AP459" s="269"/>
      <c r="AQ459" s="269"/>
      <c r="AR459" s="269"/>
      <c r="AS459" s="269"/>
      <c r="AT459" s="269"/>
      <c r="AU459" s="283"/>
    </row>
    <row r="460" spans="1:47" ht="60" customHeight="1" x14ac:dyDescent="0.35">
      <c r="A460" s="279" t="s">
        <v>7425</v>
      </c>
      <c r="B460" s="257" t="s">
        <v>7426</v>
      </c>
      <c r="C460" s="258" t="s">
        <v>7444</v>
      </c>
      <c r="D460" s="261" t="s">
        <v>7445</v>
      </c>
      <c r="E460" s="262" t="s">
        <v>6551</v>
      </c>
      <c r="F460" s="265" t="s">
        <v>7429</v>
      </c>
      <c r="G460" s="268" t="str">
        <f>IF(COUNTIF(H460:AU460,"&lt;&gt;")=0,"",SUMPRODUCT(((Recommendations[ImplStatus]="Implemented")+(Recommendations[ImplStatus]="Compensated"))*ISNUMBER(MATCH(Recommendations[Id],H460:AU460,0)))/COUNTIF(H460:AU460,"&lt;&gt;"))</f>
        <v/>
      </c>
      <c r="H460" s="269"/>
      <c r="I460" s="269"/>
      <c r="J460" s="269"/>
      <c r="K460" s="269"/>
      <c r="L460" s="269"/>
      <c r="M460" s="269"/>
      <c r="N460" s="269"/>
      <c r="O460" s="269"/>
      <c r="P460" s="269"/>
      <c r="Q460" s="269"/>
      <c r="R460" s="269"/>
      <c r="S460" s="269"/>
      <c r="T460" s="269"/>
      <c r="U460" s="269"/>
      <c r="V460" s="269"/>
      <c r="W460" s="269"/>
      <c r="X460" s="269"/>
      <c r="Y460" s="269"/>
      <c r="Z460" s="269"/>
      <c r="AA460" s="269"/>
      <c r="AB460" s="269"/>
      <c r="AC460" s="269"/>
      <c r="AD460" s="269"/>
      <c r="AE460" s="269"/>
      <c r="AF460" s="269"/>
      <c r="AG460" s="269"/>
      <c r="AH460" s="269"/>
      <c r="AI460" s="269"/>
      <c r="AJ460" s="269"/>
      <c r="AK460" s="269"/>
      <c r="AL460" s="269"/>
      <c r="AM460" s="269"/>
      <c r="AN460" s="269"/>
      <c r="AO460" s="269"/>
      <c r="AP460" s="269"/>
      <c r="AQ460" s="269"/>
      <c r="AR460" s="269"/>
      <c r="AS460" s="269"/>
      <c r="AT460" s="269"/>
      <c r="AU460" s="283"/>
    </row>
    <row r="461" spans="1:47" ht="60" customHeight="1" x14ac:dyDescent="0.35">
      <c r="A461" s="279" t="s">
        <v>7425</v>
      </c>
      <c r="B461" s="257" t="s">
        <v>7426</v>
      </c>
      <c r="C461" s="258" t="s">
        <v>7446</v>
      </c>
      <c r="D461" s="261" t="s">
        <v>7447</v>
      </c>
      <c r="E461" s="262" t="s">
        <v>6551</v>
      </c>
      <c r="F461" s="265" t="s">
        <v>7429</v>
      </c>
      <c r="G461" s="268" t="str">
        <f>IF(COUNTIF(H461:AU461,"&lt;&gt;")=0,"",SUMPRODUCT(((Recommendations[ImplStatus]="Implemented")+(Recommendations[ImplStatus]="Compensated"))*ISNUMBER(MATCH(Recommendations[Id],H461:AU461,0)))/COUNTIF(H461:AU461,"&lt;&gt;"))</f>
        <v/>
      </c>
      <c r="H461" s="269"/>
      <c r="I461" s="269"/>
      <c r="J461" s="269"/>
      <c r="K461" s="269"/>
      <c r="L461" s="269"/>
      <c r="M461" s="269"/>
      <c r="N461" s="269"/>
      <c r="O461" s="269"/>
      <c r="P461" s="269"/>
      <c r="Q461" s="269"/>
      <c r="R461" s="269"/>
      <c r="S461" s="269"/>
      <c r="T461" s="269"/>
      <c r="U461" s="269"/>
      <c r="V461" s="269"/>
      <c r="W461" s="269"/>
      <c r="X461" s="269"/>
      <c r="Y461" s="269"/>
      <c r="Z461" s="269"/>
      <c r="AA461" s="269"/>
      <c r="AB461" s="269"/>
      <c r="AC461" s="269"/>
      <c r="AD461" s="269"/>
      <c r="AE461" s="269"/>
      <c r="AF461" s="269"/>
      <c r="AG461" s="269"/>
      <c r="AH461" s="269"/>
      <c r="AI461" s="269"/>
      <c r="AJ461" s="269"/>
      <c r="AK461" s="269"/>
      <c r="AL461" s="269"/>
      <c r="AM461" s="269"/>
      <c r="AN461" s="269"/>
      <c r="AO461" s="269"/>
      <c r="AP461" s="269"/>
      <c r="AQ461" s="269"/>
      <c r="AR461" s="269"/>
      <c r="AS461" s="269"/>
      <c r="AT461" s="269"/>
      <c r="AU461" s="283"/>
    </row>
    <row r="462" spans="1:47" ht="60" customHeight="1" x14ac:dyDescent="0.35">
      <c r="A462" s="279" t="s">
        <v>7425</v>
      </c>
      <c r="B462" s="257" t="s">
        <v>7426</v>
      </c>
      <c r="C462" s="258" t="s">
        <v>7448</v>
      </c>
      <c r="D462" s="261" t="s">
        <v>7449</v>
      </c>
      <c r="E462" s="262" t="s">
        <v>6551</v>
      </c>
      <c r="F462" s="265" t="s">
        <v>7429</v>
      </c>
      <c r="G462" s="268" t="str">
        <f>IF(COUNTIF(H462:AU462,"&lt;&gt;")=0,"",SUMPRODUCT(((Recommendations[ImplStatus]="Implemented")+(Recommendations[ImplStatus]="Compensated"))*ISNUMBER(MATCH(Recommendations[Id],H462:AU462,0)))/COUNTIF(H462:AU462,"&lt;&gt;"))</f>
        <v/>
      </c>
      <c r="H462" s="269"/>
      <c r="I462" s="269"/>
      <c r="J462" s="269"/>
      <c r="K462" s="269"/>
      <c r="L462" s="269"/>
      <c r="M462" s="269"/>
      <c r="N462" s="269"/>
      <c r="O462" s="269"/>
      <c r="P462" s="269"/>
      <c r="Q462" s="269"/>
      <c r="R462" s="269"/>
      <c r="S462" s="269"/>
      <c r="T462" s="269"/>
      <c r="U462" s="269"/>
      <c r="V462" s="269"/>
      <c r="W462" s="269"/>
      <c r="X462" s="269"/>
      <c r="Y462" s="269"/>
      <c r="Z462" s="269"/>
      <c r="AA462" s="269"/>
      <c r="AB462" s="269"/>
      <c r="AC462" s="269"/>
      <c r="AD462" s="269"/>
      <c r="AE462" s="269"/>
      <c r="AF462" s="269"/>
      <c r="AG462" s="269"/>
      <c r="AH462" s="269"/>
      <c r="AI462" s="269"/>
      <c r="AJ462" s="269"/>
      <c r="AK462" s="269"/>
      <c r="AL462" s="269"/>
      <c r="AM462" s="269"/>
      <c r="AN462" s="269"/>
      <c r="AO462" s="269"/>
      <c r="AP462" s="269"/>
      <c r="AQ462" s="269"/>
      <c r="AR462" s="269"/>
      <c r="AS462" s="269"/>
      <c r="AT462" s="269"/>
      <c r="AU462" s="283"/>
    </row>
    <row r="463" spans="1:47" ht="60" customHeight="1" x14ac:dyDescent="0.35">
      <c r="A463" s="279" t="s">
        <v>7425</v>
      </c>
      <c r="B463" s="257" t="s">
        <v>7426</v>
      </c>
      <c r="C463" s="258" t="s">
        <v>7450</v>
      </c>
      <c r="D463" s="261" t="s">
        <v>7451</v>
      </c>
      <c r="E463" s="262" t="s">
        <v>6551</v>
      </c>
      <c r="F463" s="265" t="s">
        <v>7429</v>
      </c>
      <c r="G463" s="268" t="str">
        <f>IF(COUNTIF(H463:AU463,"&lt;&gt;")=0,"",SUMPRODUCT(((Recommendations[ImplStatus]="Implemented")+(Recommendations[ImplStatus]="Compensated"))*ISNUMBER(MATCH(Recommendations[Id],H463:AU463,0)))/COUNTIF(H463:AU463,"&lt;&gt;"))</f>
        <v/>
      </c>
      <c r="H463" s="269"/>
      <c r="I463" s="269"/>
      <c r="J463" s="269"/>
      <c r="K463" s="269"/>
      <c r="L463" s="269"/>
      <c r="M463" s="269"/>
      <c r="N463" s="269"/>
      <c r="O463" s="269"/>
      <c r="P463" s="269"/>
      <c r="Q463" s="269"/>
      <c r="R463" s="269"/>
      <c r="S463" s="269"/>
      <c r="T463" s="269"/>
      <c r="U463" s="269"/>
      <c r="V463" s="269"/>
      <c r="W463" s="269"/>
      <c r="X463" s="269"/>
      <c r="Y463" s="269"/>
      <c r="Z463" s="269"/>
      <c r="AA463" s="269"/>
      <c r="AB463" s="269"/>
      <c r="AC463" s="269"/>
      <c r="AD463" s="269"/>
      <c r="AE463" s="269"/>
      <c r="AF463" s="269"/>
      <c r="AG463" s="269"/>
      <c r="AH463" s="269"/>
      <c r="AI463" s="269"/>
      <c r="AJ463" s="269"/>
      <c r="AK463" s="269"/>
      <c r="AL463" s="269"/>
      <c r="AM463" s="269"/>
      <c r="AN463" s="269"/>
      <c r="AO463" s="269"/>
      <c r="AP463" s="269"/>
      <c r="AQ463" s="269"/>
      <c r="AR463" s="269"/>
      <c r="AS463" s="269"/>
      <c r="AT463" s="269"/>
      <c r="AU463" s="283"/>
    </row>
    <row r="464" spans="1:47" ht="60" customHeight="1" x14ac:dyDescent="0.35">
      <c r="A464" s="279" t="s">
        <v>7425</v>
      </c>
      <c r="B464" s="257" t="s">
        <v>7426</v>
      </c>
      <c r="C464" s="258" t="s">
        <v>7452</v>
      </c>
      <c r="D464" s="261" t="s">
        <v>7453</v>
      </c>
      <c r="E464" s="262" t="s">
        <v>6551</v>
      </c>
      <c r="F464" s="265" t="s">
        <v>7429</v>
      </c>
      <c r="G464" s="268" t="str">
        <f>IF(COUNTIF(H464:AU464,"&lt;&gt;")=0,"",SUMPRODUCT(((Recommendations[ImplStatus]="Implemented")+(Recommendations[ImplStatus]="Compensated"))*ISNUMBER(MATCH(Recommendations[Id],H464:AU464,0)))/COUNTIF(H464:AU464,"&lt;&gt;"))</f>
        <v/>
      </c>
      <c r="H464" s="269"/>
      <c r="I464" s="269"/>
      <c r="J464" s="269"/>
      <c r="K464" s="269"/>
      <c r="L464" s="269"/>
      <c r="M464" s="269"/>
      <c r="N464" s="269"/>
      <c r="O464" s="269"/>
      <c r="P464" s="269"/>
      <c r="Q464" s="269"/>
      <c r="R464" s="269"/>
      <c r="S464" s="269"/>
      <c r="T464" s="269"/>
      <c r="U464" s="269"/>
      <c r="V464" s="269"/>
      <c r="W464" s="269"/>
      <c r="X464" s="269"/>
      <c r="Y464" s="269"/>
      <c r="Z464" s="269"/>
      <c r="AA464" s="269"/>
      <c r="AB464" s="269"/>
      <c r="AC464" s="269"/>
      <c r="AD464" s="269"/>
      <c r="AE464" s="269"/>
      <c r="AF464" s="269"/>
      <c r="AG464" s="269"/>
      <c r="AH464" s="269"/>
      <c r="AI464" s="269"/>
      <c r="AJ464" s="269"/>
      <c r="AK464" s="269"/>
      <c r="AL464" s="269"/>
      <c r="AM464" s="269"/>
      <c r="AN464" s="269"/>
      <c r="AO464" s="269"/>
      <c r="AP464" s="269"/>
      <c r="AQ464" s="269"/>
      <c r="AR464" s="269"/>
      <c r="AS464" s="269"/>
      <c r="AT464" s="269"/>
      <c r="AU464" s="283"/>
    </row>
    <row r="465" spans="1:47" ht="60" customHeight="1" x14ac:dyDescent="0.35">
      <c r="A465" s="279" t="s">
        <v>7425</v>
      </c>
      <c r="B465" s="257" t="s">
        <v>7426</v>
      </c>
      <c r="C465" s="258" t="s">
        <v>7454</v>
      </c>
      <c r="D465" s="261" t="s">
        <v>7455</v>
      </c>
      <c r="E465" s="262" t="s">
        <v>6551</v>
      </c>
      <c r="F465" s="265" t="s">
        <v>7429</v>
      </c>
      <c r="G465" s="268" t="str">
        <f>IF(COUNTIF(H465:AU465,"&lt;&gt;")=0,"",SUMPRODUCT(((Recommendations[ImplStatus]="Implemented")+(Recommendations[ImplStatus]="Compensated"))*ISNUMBER(MATCH(Recommendations[Id],H465:AU465,0)))/COUNTIF(H465:AU465,"&lt;&gt;"))</f>
        <v/>
      </c>
      <c r="H465" s="269"/>
      <c r="I465" s="269"/>
      <c r="J465" s="269"/>
      <c r="K465" s="269"/>
      <c r="L465" s="269"/>
      <c r="M465" s="269"/>
      <c r="N465" s="269"/>
      <c r="O465" s="269"/>
      <c r="P465" s="269"/>
      <c r="Q465" s="269"/>
      <c r="R465" s="269"/>
      <c r="S465" s="269"/>
      <c r="T465" s="269"/>
      <c r="U465" s="269"/>
      <c r="V465" s="269"/>
      <c r="W465" s="269"/>
      <c r="X465" s="269"/>
      <c r="Y465" s="269"/>
      <c r="Z465" s="269"/>
      <c r="AA465" s="269"/>
      <c r="AB465" s="269"/>
      <c r="AC465" s="269"/>
      <c r="AD465" s="269"/>
      <c r="AE465" s="269"/>
      <c r="AF465" s="269"/>
      <c r="AG465" s="269"/>
      <c r="AH465" s="269"/>
      <c r="AI465" s="269"/>
      <c r="AJ465" s="269"/>
      <c r="AK465" s="269"/>
      <c r="AL465" s="269"/>
      <c r="AM465" s="269"/>
      <c r="AN465" s="269"/>
      <c r="AO465" s="269"/>
      <c r="AP465" s="269"/>
      <c r="AQ465" s="269"/>
      <c r="AR465" s="269"/>
      <c r="AS465" s="269"/>
      <c r="AT465" s="269"/>
      <c r="AU465" s="283"/>
    </row>
    <row r="466" spans="1:47" ht="60" customHeight="1" outlineLevel="2" x14ac:dyDescent="0.35">
      <c r="A466" s="278" t="s">
        <v>7425</v>
      </c>
      <c r="B466" s="256" t="s">
        <v>7456</v>
      </c>
      <c r="C466" s="256"/>
      <c r="D466" s="260"/>
      <c r="E466" s="256"/>
      <c r="F466" s="264"/>
      <c r="G466" s="267" t="str">
        <f>IF(COUNTIF(H466:AU466,"&lt;&gt;")=0,"",SUMPRODUCT(((Recommendations[ImplStatus]="Implemented")+(Recommendations[ImplStatus]="Compensated"))*ISNUMBER(MATCH(Recommendations[Id],H466:AU466,0)))/COUNTIF(H466:AU466,"&lt;&gt;"))</f>
        <v/>
      </c>
      <c r="H466" s="264"/>
      <c r="I466" s="264"/>
      <c r="J466" s="264"/>
      <c r="K466" s="264"/>
      <c r="L466" s="264"/>
      <c r="M466" s="264"/>
      <c r="N466" s="264"/>
      <c r="O466" s="264"/>
      <c r="P466" s="264"/>
      <c r="Q466" s="264"/>
      <c r="R466" s="264"/>
      <c r="S466" s="264"/>
      <c r="T466" s="264"/>
      <c r="U466" s="264"/>
      <c r="V466" s="264"/>
      <c r="W466" s="264"/>
      <c r="X466" s="264"/>
      <c r="Y466" s="264"/>
      <c r="Z466" s="264"/>
      <c r="AA466" s="264"/>
      <c r="AB466" s="264"/>
      <c r="AC466" s="264"/>
      <c r="AD466" s="264"/>
      <c r="AE466" s="264"/>
      <c r="AF466" s="264"/>
      <c r="AG466" s="264"/>
      <c r="AH466" s="264"/>
      <c r="AI466" s="264"/>
      <c r="AJ466" s="264"/>
      <c r="AK466" s="264"/>
      <c r="AL466" s="264"/>
      <c r="AM466" s="264"/>
      <c r="AN466" s="264"/>
      <c r="AO466" s="264"/>
      <c r="AP466" s="264"/>
      <c r="AQ466" s="264"/>
      <c r="AR466" s="264"/>
      <c r="AS466" s="264"/>
      <c r="AT466" s="264"/>
      <c r="AU466" s="282"/>
    </row>
    <row r="467" spans="1:47" ht="60" customHeight="1" x14ac:dyDescent="0.35">
      <c r="A467" s="279" t="s">
        <v>7425</v>
      </c>
      <c r="B467" s="257" t="s">
        <v>7456</v>
      </c>
      <c r="C467" s="258" t="s">
        <v>7457</v>
      </c>
      <c r="D467" s="261" t="s">
        <v>7458</v>
      </c>
      <c r="E467" s="262" t="s">
        <v>6522</v>
      </c>
      <c r="F467" s="265" t="s">
        <v>6661</v>
      </c>
      <c r="G467" s="268" t="str">
        <f>IF(COUNTIF(H467:AU467,"&lt;&gt;")=0,"",SUMPRODUCT(((Recommendations[ImplStatus]="Implemented")+(Recommendations[ImplStatus]="Compensated"))*ISNUMBER(MATCH(Recommendations[Id],H467:AU467,0)))/COUNTIF(H467:AU467,"&lt;&gt;"))</f>
        <v/>
      </c>
      <c r="H467" s="269"/>
      <c r="I467" s="269"/>
      <c r="J467" s="269"/>
      <c r="K467" s="269"/>
      <c r="L467" s="269"/>
      <c r="M467" s="269"/>
      <c r="N467" s="269"/>
      <c r="O467" s="269"/>
      <c r="P467" s="269"/>
      <c r="Q467" s="269"/>
      <c r="R467" s="269"/>
      <c r="S467" s="269"/>
      <c r="T467" s="269"/>
      <c r="U467" s="269"/>
      <c r="V467" s="269"/>
      <c r="W467" s="269"/>
      <c r="X467" s="269"/>
      <c r="Y467" s="269"/>
      <c r="Z467" s="269"/>
      <c r="AA467" s="269"/>
      <c r="AB467" s="269"/>
      <c r="AC467" s="269"/>
      <c r="AD467" s="269"/>
      <c r="AE467" s="269"/>
      <c r="AF467" s="269"/>
      <c r="AG467" s="269"/>
      <c r="AH467" s="269"/>
      <c r="AI467" s="269"/>
      <c r="AJ467" s="269"/>
      <c r="AK467" s="269"/>
      <c r="AL467" s="269"/>
      <c r="AM467" s="269"/>
      <c r="AN467" s="269"/>
      <c r="AO467" s="269"/>
      <c r="AP467" s="269"/>
      <c r="AQ467" s="269"/>
      <c r="AR467" s="269"/>
      <c r="AS467" s="269"/>
      <c r="AT467" s="269"/>
      <c r="AU467" s="283"/>
    </row>
    <row r="468" spans="1:47" ht="60" customHeight="1" x14ac:dyDescent="0.35">
      <c r="A468" s="279" t="s">
        <v>7425</v>
      </c>
      <c r="B468" s="257" t="s">
        <v>7456</v>
      </c>
      <c r="C468" s="258" t="s">
        <v>7459</v>
      </c>
      <c r="D468" s="261" t="s">
        <v>7460</v>
      </c>
      <c r="E468" s="262" t="s">
        <v>6522</v>
      </c>
      <c r="F468" s="265" t="s">
        <v>6661</v>
      </c>
      <c r="G468" s="268" t="str">
        <f>IF(COUNTIF(H468:AU468,"&lt;&gt;")=0,"",SUMPRODUCT(((Recommendations[ImplStatus]="Implemented")+(Recommendations[ImplStatus]="Compensated"))*ISNUMBER(MATCH(Recommendations[Id],H468:AU468,0)))/COUNTIF(H468:AU468,"&lt;&gt;"))</f>
        <v/>
      </c>
      <c r="H468" s="269"/>
      <c r="I468" s="269"/>
      <c r="J468" s="269"/>
      <c r="K468" s="269"/>
      <c r="L468" s="269"/>
      <c r="M468" s="269"/>
      <c r="N468" s="269"/>
      <c r="O468" s="269"/>
      <c r="P468" s="269"/>
      <c r="Q468" s="269"/>
      <c r="R468" s="269"/>
      <c r="S468" s="269"/>
      <c r="T468" s="269"/>
      <c r="U468" s="269"/>
      <c r="V468" s="269"/>
      <c r="W468" s="269"/>
      <c r="X468" s="269"/>
      <c r="Y468" s="269"/>
      <c r="Z468" s="269"/>
      <c r="AA468" s="269"/>
      <c r="AB468" s="269"/>
      <c r="AC468" s="269"/>
      <c r="AD468" s="269"/>
      <c r="AE468" s="269"/>
      <c r="AF468" s="269"/>
      <c r="AG468" s="269"/>
      <c r="AH468" s="269"/>
      <c r="AI468" s="269"/>
      <c r="AJ468" s="269"/>
      <c r="AK468" s="269"/>
      <c r="AL468" s="269"/>
      <c r="AM468" s="269"/>
      <c r="AN468" s="269"/>
      <c r="AO468" s="269"/>
      <c r="AP468" s="269"/>
      <c r="AQ468" s="269"/>
      <c r="AR468" s="269"/>
      <c r="AS468" s="269"/>
      <c r="AT468" s="269"/>
      <c r="AU468" s="283"/>
    </row>
    <row r="469" spans="1:47" ht="60" customHeight="1" x14ac:dyDescent="0.35">
      <c r="A469" s="279" t="s">
        <v>7425</v>
      </c>
      <c r="B469" s="257" t="s">
        <v>7456</v>
      </c>
      <c r="C469" s="258" t="s">
        <v>7461</v>
      </c>
      <c r="D469" s="261" t="s">
        <v>7462</v>
      </c>
      <c r="E469" s="262" t="s">
        <v>6522</v>
      </c>
      <c r="F469" s="265" t="s">
        <v>6661</v>
      </c>
      <c r="G469" s="268" t="str">
        <f>IF(COUNTIF(H469:AU469,"&lt;&gt;")=0,"",SUMPRODUCT(((Recommendations[ImplStatus]="Implemented")+(Recommendations[ImplStatus]="Compensated"))*ISNUMBER(MATCH(Recommendations[Id],H469:AU469,0)))/COUNTIF(H469:AU469,"&lt;&gt;"))</f>
        <v/>
      </c>
      <c r="H469" s="269"/>
      <c r="I469" s="269"/>
      <c r="J469" s="269"/>
      <c r="K469" s="269"/>
      <c r="L469" s="269"/>
      <c r="M469" s="269"/>
      <c r="N469" s="269"/>
      <c r="O469" s="269"/>
      <c r="P469" s="269"/>
      <c r="Q469" s="269"/>
      <c r="R469" s="269"/>
      <c r="S469" s="269"/>
      <c r="T469" s="269"/>
      <c r="U469" s="269"/>
      <c r="V469" s="269"/>
      <c r="W469" s="269"/>
      <c r="X469" s="269"/>
      <c r="Y469" s="269"/>
      <c r="Z469" s="269"/>
      <c r="AA469" s="269"/>
      <c r="AB469" s="269"/>
      <c r="AC469" s="269"/>
      <c r="AD469" s="269"/>
      <c r="AE469" s="269"/>
      <c r="AF469" s="269"/>
      <c r="AG469" s="269"/>
      <c r="AH469" s="269"/>
      <c r="AI469" s="269"/>
      <c r="AJ469" s="269"/>
      <c r="AK469" s="269"/>
      <c r="AL469" s="269"/>
      <c r="AM469" s="269"/>
      <c r="AN469" s="269"/>
      <c r="AO469" s="269"/>
      <c r="AP469" s="269"/>
      <c r="AQ469" s="269"/>
      <c r="AR469" s="269"/>
      <c r="AS469" s="269"/>
      <c r="AT469" s="269"/>
      <c r="AU469" s="283"/>
    </row>
    <row r="470" spans="1:47" ht="60" customHeight="1" x14ac:dyDescent="0.35">
      <c r="A470" s="279" t="s">
        <v>7425</v>
      </c>
      <c r="B470" s="257" t="s">
        <v>7456</v>
      </c>
      <c r="C470" s="258" t="s">
        <v>7463</v>
      </c>
      <c r="D470" s="261" t="s">
        <v>7464</v>
      </c>
      <c r="E470" s="262" t="s">
        <v>6618</v>
      </c>
      <c r="F470" s="265" t="s">
        <v>7030</v>
      </c>
      <c r="G470" s="268" t="str">
        <f>IF(COUNTIF(H470:AU470,"&lt;&gt;")=0,"",SUMPRODUCT(((Recommendations[ImplStatus]="Implemented")+(Recommendations[ImplStatus]="Compensated"))*ISNUMBER(MATCH(Recommendations[Id],H470:AU470,0)))/COUNTIF(H470:AU470,"&lt;&gt;"))</f>
        <v/>
      </c>
      <c r="H470" s="269"/>
      <c r="I470" s="269"/>
      <c r="J470" s="269"/>
      <c r="K470" s="269"/>
      <c r="L470" s="269"/>
      <c r="M470" s="269"/>
      <c r="N470" s="269"/>
      <c r="O470" s="269"/>
      <c r="P470" s="269"/>
      <c r="Q470" s="269"/>
      <c r="R470" s="269"/>
      <c r="S470" s="269"/>
      <c r="T470" s="269"/>
      <c r="U470" s="269"/>
      <c r="V470" s="269"/>
      <c r="W470" s="269"/>
      <c r="X470" s="269"/>
      <c r="Y470" s="269"/>
      <c r="Z470" s="269"/>
      <c r="AA470" s="269"/>
      <c r="AB470" s="269"/>
      <c r="AC470" s="269"/>
      <c r="AD470" s="269"/>
      <c r="AE470" s="269"/>
      <c r="AF470" s="269"/>
      <c r="AG470" s="269"/>
      <c r="AH470" s="269"/>
      <c r="AI470" s="269"/>
      <c r="AJ470" s="269"/>
      <c r="AK470" s="269"/>
      <c r="AL470" s="269"/>
      <c r="AM470" s="269"/>
      <c r="AN470" s="269"/>
      <c r="AO470" s="269"/>
      <c r="AP470" s="269"/>
      <c r="AQ470" s="269"/>
      <c r="AR470" s="269"/>
      <c r="AS470" s="269"/>
      <c r="AT470" s="269"/>
      <c r="AU470" s="283"/>
    </row>
    <row r="471" spans="1:47" ht="60" customHeight="1" x14ac:dyDescent="0.35">
      <c r="A471" s="279" t="s">
        <v>7425</v>
      </c>
      <c r="B471" s="257" t="s">
        <v>7456</v>
      </c>
      <c r="C471" s="258" t="s">
        <v>7465</v>
      </c>
      <c r="D471" s="261" t="s">
        <v>7466</v>
      </c>
      <c r="E471" s="262" t="s">
        <v>6618</v>
      </c>
      <c r="F471" s="265" t="s">
        <v>7030</v>
      </c>
      <c r="G471" s="268" t="str">
        <f>IF(COUNTIF(H471:AU471,"&lt;&gt;")=0,"",SUMPRODUCT(((Recommendations[ImplStatus]="Implemented")+(Recommendations[ImplStatus]="Compensated"))*ISNUMBER(MATCH(Recommendations[Id],H471:AU471,0)))/COUNTIF(H471:AU471,"&lt;&gt;"))</f>
        <v/>
      </c>
      <c r="H471" s="269"/>
      <c r="I471" s="269"/>
      <c r="J471" s="269"/>
      <c r="K471" s="269"/>
      <c r="L471" s="269"/>
      <c r="M471" s="269"/>
      <c r="N471" s="269"/>
      <c r="O471" s="269"/>
      <c r="P471" s="269"/>
      <c r="Q471" s="269"/>
      <c r="R471" s="269"/>
      <c r="S471" s="269"/>
      <c r="T471" s="269"/>
      <c r="U471" s="269"/>
      <c r="V471" s="269"/>
      <c r="W471" s="269"/>
      <c r="X471" s="269"/>
      <c r="Y471" s="269"/>
      <c r="Z471" s="269"/>
      <c r="AA471" s="269"/>
      <c r="AB471" s="269"/>
      <c r="AC471" s="269"/>
      <c r="AD471" s="269"/>
      <c r="AE471" s="269"/>
      <c r="AF471" s="269"/>
      <c r="AG471" s="269"/>
      <c r="AH471" s="269"/>
      <c r="AI471" s="269"/>
      <c r="AJ471" s="269"/>
      <c r="AK471" s="269"/>
      <c r="AL471" s="269"/>
      <c r="AM471" s="269"/>
      <c r="AN471" s="269"/>
      <c r="AO471" s="269"/>
      <c r="AP471" s="269"/>
      <c r="AQ471" s="269"/>
      <c r="AR471" s="269"/>
      <c r="AS471" s="269"/>
      <c r="AT471" s="269"/>
      <c r="AU471" s="283"/>
    </row>
    <row r="472" spans="1:47" ht="60" customHeight="1" x14ac:dyDescent="0.35">
      <c r="A472" s="279" t="s">
        <v>7425</v>
      </c>
      <c r="B472" s="257" t="s">
        <v>7456</v>
      </c>
      <c r="C472" s="258" t="s">
        <v>7467</v>
      </c>
      <c r="D472" s="261" t="s">
        <v>7468</v>
      </c>
      <c r="E472" s="262" t="s">
        <v>6522</v>
      </c>
      <c r="F472" s="265" t="s">
        <v>7030</v>
      </c>
      <c r="G472" s="268" t="str">
        <f>IF(COUNTIF(H472:AU472,"&lt;&gt;")=0,"",SUMPRODUCT(((Recommendations[ImplStatus]="Implemented")+(Recommendations[ImplStatus]="Compensated"))*ISNUMBER(MATCH(Recommendations[Id],H472:AU472,0)))/COUNTIF(H472:AU472,"&lt;&gt;"))</f>
        <v/>
      </c>
      <c r="H472" s="269"/>
      <c r="I472" s="269"/>
      <c r="J472" s="269"/>
      <c r="K472" s="269"/>
      <c r="L472" s="269"/>
      <c r="M472" s="269"/>
      <c r="N472" s="269"/>
      <c r="O472" s="269"/>
      <c r="P472" s="269"/>
      <c r="Q472" s="269"/>
      <c r="R472" s="269"/>
      <c r="S472" s="269"/>
      <c r="T472" s="269"/>
      <c r="U472" s="269"/>
      <c r="V472" s="269"/>
      <c r="W472" s="269"/>
      <c r="X472" s="269"/>
      <c r="Y472" s="269"/>
      <c r="Z472" s="269"/>
      <c r="AA472" s="269"/>
      <c r="AB472" s="269"/>
      <c r="AC472" s="269"/>
      <c r="AD472" s="269"/>
      <c r="AE472" s="269"/>
      <c r="AF472" s="269"/>
      <c r="AG472" s="269"/>
      <c r="AH472" s="269"/>
      <c r="AI472" s="269"/>
      <c r="AJ472" s="269"/>
      <c r="AK472" s="269"/>
      <c r="AL472" s="269"/>
      <c r="AM472" s="269"/>
      <c r="AN472" s="269"/>
      <c r="AO472" s="269"/>
      <c r="AP472" s="269"/>
      <c r="AQ472" s="269"/>
      <c r="AR472" s="269"/>
      <c r="AS472" s="269"/>
      <c r="AT472" s="269"/>
      <c r="AU472" s="283"/>
    </row>
    <row r="473" spans="1:47" ht="60" customHeight="1" x14ac:dyDescent="0.35">
      <c r="A473" s="279" t="s">
        <v>7425</v>
      </c>
      <c r="B473" s="257" t="s">
        <v>7456</v>
      </c>
      <c r="C473" s="258" t="s">
        <v>7469</v>
      </c>
      <c r="D473" s="261" t="s">
        <v>7470</v>
      </c>
      <c r="E473" s="262" t="s">
        <v>6522</v>
      </c>
      <c r="F473" s="265" t="s">
        <v>6969</v>
      </c>
      <c r="G473" s="268" t="str">
        <f>IF(COUNTIF(H473:AU473,"&lt;&gt;")=0,"",SUMPRODUCT(((Recommendations[ImplStatus]="Implemented")+(Recommendations[ImplStatus]="Compensated"))*ISNUMBER(MATCH(Recommendations[Id],H473:AU473,0)))/COUNTIF(H473:AU473,"&lt;&gt;"))</f>
        <v/>
      </c>
      <c r="H473" s="269"/>
      <c r="I473" s="269"/>
      <c r="J473" s="269"/>
      <c r="K473" s="269"/>
      <c r="L473" s="269"/>
      <c r="M473" s="269"/>
      <c r="N473" s="269"/>
      <c r="O473" s="269"/>
      <c r="P473" s="269"/>
      <c r="Q473" s="269"/>
      <c r="R473" s="269"/>
      <c r="S473" s="269"/>
      <c r="T473" s="269"/>
      <c r="U473" s="269"/>
      <c r="V473" s="269"/>
      <c r="W473" s="269"/>
      <c r="X473" s="269"/>
      <c r="Y473" s="269"/>
      <c r="Z473" s="269"/>
      <c r="AA473" s="269"/>
      <c r="AB473" s="269"/>
      <c r="AC473" s="269"/>
      <c r="AD473" s="269"/>
      <c r="AE473" s="269"/>
      <c r="AF473" s="269"/>
      <c r="AG473" s="269"/>
      <c r="AH473" s="269"/>
      <c r="AI473" s="269"/>
      <c r="AJ473" s="269"/>
      <c r="AK473" s="269"/>
      <c r="AL473" s="269"/>
      <c r="AM473" s="269"/>
      <c r="AN473" s="269"/>
      <c r="AO473" s="269"/>
      <c r="AP473" s="269"/>
      <c r="AQ473" s="269"/>
      <c r="AR473" s="269"/>
      <c r="AS473" s="269"/>
      <c r="AT473" s="269"/>
      <c r="AU473" s="283"/>
    </row>
    <row r="474" spans="1:47" ht="60" customHeight="1" x14ac:dyDescent="0.35">
      <c r="A474" s="279" t="s">
        <v>7425</v>
      </c>
      <c r="B474" s="257" t="s">
        <v>7456</v>
      </c>
      <c r="C474" s="258" t="s">
        <v>7471</v>
      </c>
      <c r="D474" s="261" t="s">
        <v>7472</v>
      </c>
      <c r="E474" s="262" t="s">
        <v>6551</v>
      </c>
      <c r="F474" s="265" t="s">
        <v>6969</v>
      </c>
      <c r="G474" s="268" t="str">
        <f>IF(COUNTIF(H474:AU474,"&lt;&gt;")=0,"",SUMPRODUCT(((Recommendations[ImplStatus]="Implemented")+(Recommendations[ImplStatus]="Compensated"))*ISNUMBER(MATCH(Recommendations[Id],H474:AU474,0)))/COUNTIF(H474:AU474,"&lt;&gt;"))</f>
        <v/>
      </c>
      <c r="H474" s="269"/>
      <c r="I474" s="269"/>
      <c r="J474" s="269"/>
      <c r="K474" s="269"/>
      <c r="L474" s="269"/>
      <c r="M474" s="269"/>
      <c r="N474" s="269"/>
      <c r="O474" s="269"/>
      <c r="P474" s="269"/>
      <c r="Q474" s="269"/>
      <c r="R474" s="269"/>
      <c r="S474" s="269"/>
      <c r="T474" s="269"/>
      <c r="U474" s="269"/>
      <c r="V474" s="269"/>
      <c r="W474" s="269"/>
      <c r="X474" s="269"/>
      <c r="Y474" s="269"/>
      <c r="Z474" s="269"/>
      <c r="AA474" s="269"/>
      <c r="AB474" s="269"/>
      <c r="AC474" s="269"/>
      <c r="AD474" s="269"/>
      <c r="AE474" s="269"/>
      <c r="AF474" s="269"/>
      <c r="AG474" s="269"/>
      <c r="AH474" s="269"/>
      <c r="AI474" s="269"/>
      <c r="AJ474" s="269"/>
      <c r="AK474" s="269"/>
      <c r="AL474" s="269"/>
      <c r="AM474" s="269"/>
      <c r="AN474" s="269"/>
      <c r="AO474" s="269"/>
      <c r="AP474" s="269"/>
      <c r="AQ474" s="269"/>
      <c r="AR474" s="269"/>
      <c r="AS474" s="269"/>
      <c r="AT474" s="269"/>
      <c r="AU474" s="283"/>
    </row>
    <row r="475" spans="1:47" ht="60" customHeight="1" x14ac:dyDescent="0.35">
      <c r="A475" s="279" t="s">
        <v>7425</v>
      </c>
      <c r="B475" s="257" t="s">
        <v>7456</v>
      </c>
      <c r="C475" s="258" t="s">
        <v>7473</v>
      </c>
      <c r="D475" s="261" t="s">
        <v>7474</v>
      </c>
      <c r="E475" s="262" t="s">
        <v>6551</v>
      </c>
      <c r="F475" s="265" t="s">
        <v>6969</v>
      </c>
      <c r="G475" s="268" t="str">
        <f>IF(COUNTIF(H475:AU475,"&lt;&gt;")=0,"",SUMPRODUCT(((Recommendations[ImplStatus]="Implemented")+(Recommendations[ImplStatus]="Compensated"))*ISNUMBER(MATCH(Recommendations[Id],H475:AU475,0)))/COUNTIF(H475:AU475,"&lt;&gt;"))</f>
        <v/>
      </c>
      <c r="H475" s="269"/>
      <c r="I475" s="269"/>
      <c r="J475" s="269"/>
      <c r="K475" s="269"/>
      <c r="L475" s="269"/>
      <c r="M475" s="269"/>
      <c r="N475" s="269"/>
      <c r="O475" s="269"/>
      <c r="P475" s="269"/>
      <c r="Q475" s="269"/>
      <c r="R475" s="269"/>
      <c r="S475" s="269"/>
      <c r="T475" s="269"/>
      <c r="U475" s="269"/>
      <c r="V475" s="269"/>
      <c r="W475" s="269"/>
      <c r="X475" s="269"/>
      <c r="Y475" s="269"/>
      <c r="Z475" s="269"/>
      <c r="AA475" s="269"/>
      <c r="AB475" s="269"/>
      <c r="AC475" s="269"/>
      <c r="AD475" s="269"/>
      <c r="AE475" s="269"/>
      <c r="AF475" s="269"/>
      <c r="AG475" s="269"/>
      <c r="AH475" s="269"/>
      <c r="AI475" s="269"/>
      <c r="AJ475" s="269"/>
      <c r="AK475" s="269"/>
      <c r="AL475" s="269"/>
      <c r="AM475" s="269"/>
      <c r="AN475" s="269"/>
      <c r="AO475" s="269"/>
      <c r="AP475" s="269"/>
      <c r="AQ475" s="269"/>
      <c r="AR475" s="269"/>
      <c r="AS475" s="269"/>
      <c r="AT475" s="269"/>
      <c r="AU475" s="283"/>
    </row>
    <row r="476" spans="1:47" ht="60" customHeight="1" x14ac:dyDescent="0.35">
      <c r="A476" s="279" t="s">
        <v>7425</v>
      </c>
      <c r="B476" s="257" t="s">
        <v>7456</v>
      </c>
      <c r="C476" s="258" t="s">
        <v>7475</v>
      </c>
      <c r="D476" s="261" t="s">
        <v>7476</v>
      </c>
      <c r="E476" s="262" t="s">
        <v>6551</v>
      </c>
      <c r="F476" s="265" t="s">
        <v>6969</v>
      </c>
      <c r="G476" s="268" t="str">
        <f>IF(COUNTIF(H476:AU476,"&lt;&gt;")=0,"",SUMPRODUCT(((Recommendations[ImplStatus]="Implemented")+(Recommendations[ImplStatus]="Compensated"))*ISNUMBER(MATCH(Recommendations[Id],H476:AU476,0)))/COUNTIF(H476:AU476,"&lt;&gt;"))</f>
        <v/>
      </c>
      <c r="H476" s="269"/>
      <c r="I476" s="269"/>
      <c r="J476" s="269"/>
      <c r="K476" s="269"/>
      <c r="L476" s="269"/>
      <c r="M476" s="269"/>
      <c r="N476" s="269"/>
      <c r="O476" s="269"/>
      <c r="P476" s="269"/>
      <c r="Q476" s="269"/>
      <c r="R476" s="269"/>
      <c r="S476" s="269"/>
      <c r="T476" s="269"/>
      <c r="U476" s="269"/>
      <c r="V476" s="269"/>
      <c r="W476" s="269"/>
      <c r="X476" s="269"/>
      <c r="Y476" s="269"/>
      <c r="Z476" s="269"/>
      <c r="AA476" s="269"/>
      <c r="AB476" s="269"/>
      <c r="AC476" s="269"/>
      <c r="AD476" s="269"/>
      <c r="AE476" s="269"/>
      <c r="AF476" s="269"/>
      <c r="AG476" s="269"/>
      <c r="AH476" s="269"/>
      <c r="AI476" s="269"/>
      <c r="AJ476" s="269"/>
      <c r="AK476" s="269"/>
      <c r="AL476" s="269"/>
      <c r="AM476" s="269"/>
      <c r="AN476" s="269"/>
      <c r="AO476" s="269"/>
      <c r="AP476" s="269"/>
      <c r="AQ476" s="269"/>
      <c r="AR476" s="269"/>
      <c r="AS476" s="269"/>
      <c r="AT476" s="269"/>
      <c r="AU476" s="283"/>
    </row>
    <row r="477" spans="1:47" ht="60" customHeight="1" x14ac:dyDescent="0.35">
      <c r="A477" s="279" t="s">
        <v>7425</v>
      </c>
      <c r="B477" s="257" t="s">
        <v>7456</v>
      </c>
      <c r="C477" s="258" t="s">
        <v>7477</v>
      </c>
      <c r="D477" s="261" t="s">
        <v>7478</v>
      </c>
      <c r="E477" s="262" t="s">
        <v>6551</v>
      </c>
      <c r="F477" s="265" t="s">
        <v>6969</v>
      </c>
      <c r="G477" s="268" t="str">
        <f>IF(COUNTIF(H477:AU477,"&lt;&gt;")=0,"",SUMPRODUCT(((Recommendations[ImplStatus]="Implemented")+(Recommendations[ImplStatus]="Compensated"))*ISNUMBER(MATCH(Recommendations[Id],H477:AU477,0)))/COUNTIF(H477:AU477,"&lt;&gt;"))</f>
        <v/>
      </c>
      <c r="H477" s="269"/>
      <c r="I477" s="269"/>
      <c r="J477" s="269"/>
      <c r="K477" s="269"/>
      <c r="L477" s="269"/>
      <c r="M477" s="269"/>
      <c r="N477" s="269"/>
      <c r="O477" s="269"/>
      <c r="P477" s="269"/>
      <c r="Q477" s="269"/>
      <c r="R477" s="269"/>
      <c r="S477" s="269"/>
      <c r="T477" s="269"/>
      <c r="U477" s="269"/>
      <c r="V477" s="269"/>
      <c r="W477" s="269"/>
      <c r="X477" s="269"/>
      <c r="Y477" s="269"/>
      <c r="Z477" s="269"/>
      <c r="AA477" s="269"/>
      <c r="AB477" s="269"/>
      <c r="AC477" s="269"/>
      <c r="AD477" s="269"/>
      <c r="AE477" s="269"/>
      <c r="AF477" s="269"/>
      <c r="AG477" s="269"/>
      <c r="AH477" s="269"/>
      <c r="AI477" s="269"/>
      <c r="AJ477" s="269"/>
      <c r="AK477" s="269"/>
      <c r="AL477" s="269"/>
      <c r="AM477" s="269"/>
      <c r="AN477" s="269"/>
      <c r="AO477" s="269"/>
      <c r="AP477" s="269"/>
      <c r="AQ477" s="269"/>
      <c r="AR477" s="269"/>
      <c r="AS477" s="269"/>
      <c r="AT477" s="269"/>
      <c r="AU477" s="283"/>
    </row>
    <row r="478" spans="1:47" ht="60" customHeight="1" x14ac:dyDescent="0.35">
      <c r="A478" s="279" t="s">
        <v>7425</v>
      </c>
      <c r="B478" s="257" t="s">
        <v>7456</v>
      </c>
      <c r="C478" s="258" t="s">
        <v>7479</v>
      </c>
      <c r="D478" s="261" t="s">
        <v>7480</v>
      </c>
      <c r="E478" s="262" t="s">
        <v>6551</v>
      </c>
      <c r="F478" s="265" t="s">
        <v>7030</v>
      </c>
      <c r="G478" s="268" t="str">
        <f>IF(COUNTIF(H478:AU478,"&lt;&gt;")=0,"",SUMPRODUCT(((Recommendations[ImplStatus]="Implemented")+(Recommendations[ImplStatus]="Compensated"))*ISNUMBER(MATCH(Recommendations[Id],H478:AU478,0)))/COUNTIF(H478:AU478,"&lt;&gt;"))</f>
        <v/>
      </c>
      <c r="H478" s="269"/>
      <c r="I478" s="269"/>
      <c r="J478" s="269"/>
      <c r="K478" s="269"/>
      <c r="L478" s="269"/>
      <c r="M478" s="269"/>
      <c r="N478" s="269"/>
      <c r="O478" s="269"/>
      <c r="P478" s="269"/>
      <c r="Q478" s="269"/>
      <c r="R478" s="269"/>
      <c r="S478" s="269"/>
      <c r="T478" s="269"/>
      <c r="U478" s="269"/>
      <c r="V478" s="269"/>
      <c r="W478" s="269"/>
      <c r="X478" s="269"/>
      <c r="Y478" s="269"/>
      <c r="Z478" s="269"/>
      <c r="AA478" s="269"/>
      <c r="AB478" s="269"/>
      <c r="AC478" s="269"/>
      <c r="AD478" s="269"/>
      <c r="AE478" s="269"/>
      <c r="AF478" s="269"/>
      <c r="AG478" s="269"/>
      <c r="AH478" s="269"/>
      <c r="AI478" s="269"/>
      <c r="AJ478" s="269"/>
      <c r="AK478" s="269"/>
      <c r="AL478" s="269"/>
      <c r="AM478" s="269"/>
      <c r="AN478" s="269"/>
      <c r="AO478" s="269"/>
      <c r="AP478" s="269"/>
      <c r="AQ478" s="269"/>
      <c r="AR478" s="269"/>
      <c r="AS478" s="269"/>
      <c r="AT478" s="269"/>
      <c r="AU478" s="283"/>
    </row>
    <row r="479" spans="1:47" ht="60" customHeight="1" x14ac:dyDescent="0.35">
      <c r="A479" s="279" t="s">
        <v>7425</v>
      </c>
      <c r="B479" s="257" t="s">
        <v>7456</v>
      </c>
      <c r="C479" s="258" t="s">
        <v>7481</v>
      </c>
      <c r="D479" s="261" t="s">
        <v>7482</v>
      </c>
      <c r="E479" s="262" t="s">
        <v>6666</v>
      </c>
      <c r="F479" s="265" t="s">
        <v>7030</v>
      </c>
      <c r="G479" s="268" t="str">
        <f>IF(COUNTIF(H479:AU479,"&lt;&gt;")=0,"",SUMPRODUCT(((Recommendations[ImplStatus]="Implemented")+(Recommendations[ImplStatus]="Compensated"))*ISNUMBER(MATCH(Recommendations[Id],H479:AU479,0)))/COUNTIF(H479:AU479,"&lt;&gt;"))</f>
        <v/>
      </c>
      <c r="H479" s="269"/>
      <c r="I479" s="269"/>
      <c r="J479" s="269"/>
      <c r="K479" s="269"/>
      <c r="L479" s="269"/>
      <c r="M479" s="269"/>
      <c r="N479" s="269"/>
      <c r="O479" s="269"/>
      <c r="P479" s="269"/>
      <c r="Q479" s="269"/>
      <c r="R479" s="269"/>
      <c r="S479" s="269"/>
      <c r="T479" s="269"/>
      <c r="U479" s="269"/>
      <c r="V479" s="269"/>
      <c r="W479" s="269"/>
      <c r="X479" s="269"/>
      <c r="Y479" s="269"/>
      <c r="Z479" s="269"/>
      <c r="AA479" s="269"/>
      <c r="AB479" s="269"/>
      <c r="AC479" s="269"/>
      <c r="AD479" s="269"/>
      <c r="AE479" s="269"/>
      <c r="AF479" s="269"/>
      <c r="AG479" s="269"/>
      <c r="AH479" s="269"/>
      <c r="AI479" s="269"/>
      <c r="AJ479" s="269"/>
      <c r="AK479" s="269"/>
      <c r="AL479" s="269"/>
      <c r="AM479" s="269"/>
      <c r="AN479" s="269"/>
      <c r="AO479" s="269"/>
      <c r="AP479" s="269"/>
      <c r="AQ479" s="269"/>
      <c r="AR479" s="269"/>
      <c r="AS479" s="269"/>
      <c r="AT479" s="269"/>
      <c r="AU479" s="283"/>
    </row>
    <row r="480" spans="1:47" ht="60" customHeight="1" x14ac:dyDescent="0.35">
      <c r="A480" s="279" t="s">
        <v>7425</v>
      </c>
      <c r="B480" s="257" t="s">
        <v>7456</v>
      </c>
      <c r="C480" s="258" t="s">
        <v>7483</v>
      </c>
      <c r="D480" s="261" t="s">
        <v>7484</v>
      </c>
      <c r="E480" s="262" t="s">
        <v>6666</v>
      </c>
      <c r="F480" s="265" t="s">
        <v>7030</v>
      </c>
      <c r="G480" s="268" t="str">
        <f>IF(COUNTIF(H480:AU480,"&lt;&gt;")=0,"",SUMPRODUCT(((Recommendations[ImplStatus]="Implemented")+(Recommendations[ImplStatus]="Compensated"))*ISNUMBER(MATCH(Recommendations[Id],H480:AU480,0)))/COUNTIF(H480:AU480,"&lt;&gt;"))</f>
        <v/>
      </c>
      <c r="H480" s="269"/>
      <c r="I480" s="269"/>
      <c r="J480" s="269"/>
      <c r="K480" s="269"/>
      <c r="L480" s="269"/>
      <c r="M480" s="269"/>
      <c r="N480" s="269"/>
      <c r="O480" s="269"/>
      <c r="P480" s="269"/>
      <c r="Q480" s="269"/>
      <c r="R480" s="269"/>
      <c r="S480" s="269"/>
      <c r="T480" s="269"/>
      <c r="U480" s="269"/>
      <c r="V480" s="269"/>
      <c r="W480" s="269"/>
      <c r="X480" s="269"/>
      <c r="Y480" s="269"/>
      <c r="Z480" s="269"/>
      <c r="AA480" s="269"/>
      <c r="AB480" s="269"/>
      <c r="AC480" s="269"/>
      <c r="AD480" s="269"/>
      <c r="AE480" s="269"/>
      <c r="AF480" s="269"/>
      <c r="AG480" s="269"/>
      <c r="AH480" s="269"/>
      <c r="AI480" s="269"/>
      <c r="AJ480" s="269"/>
      <c r="AK480" s="269"/>
      <c r="AL480" s="269"/>
      <c r="AM480" s="269"/>
      <c r="AN480" s="269"/>
      <c r="AO480" s="269"/>
      <c r="AP480" s="269"/>
      <c r="AQ480" s="269"/>
      <c r="AR480" s="269"/>
      <c r="AS480" s="269"/>
      <c r="AT480" s="269"/>
      <c r="AU480" s="283"/>
    </row>
    <row r="481" spans="1:47" ht="60" customHeight="1" x14ac:dyDescent="0.35">
      <c r="A481" s="280" t="s">
        <v>7425</v>
      </c>
      <c r="B481" s="270" t="s">
        <v>7456</v>
      </c>
      <c r="C481" s="271" t="s">
        <v>7485</v>
      </c>
      <c r="D481" s="272" t="s">
        <v>7486</v>
      </c>
      <c r="E481" s="273" t="s">
        <v>6666</v>
      </c>
      <c r="F481" s="274" t="s">
        <v>6661</v>
      </c>
      <c r="G481" s="275" t="str">
        <f>IF(COUNTIF(H481:AU481,"&lt;&gt;")=0,"",SUMPRODUCT(((Recommendations[ImplStatus]="Implemented")+(Recommendations[ImplStatus]="Compensated"))*ISNUMBER(MATCH(Recommendations[Id],H481:AU481,0)))/COUNTIF(H481:AU481,"&lt;&gt;"))</f>
        <v/>
      </c>
      <c r="H481" s="276"/>
      <c r="I481" s="276"/>
      <c r="J481" s="276"/>
      <c r="K481" s="276"/>
      <c r="L481" s="276"/>
      <c r="M481" s="276"/>
      <c r="N481" s="276"/>
      <c r="O481" s="276"/>
      <c r="P481" s="276"/>
      <c r="Q481" s="276"/>
      <c r="R481" s="276"/>
      <c r="S481" s="276"/>
      <c r="T481" s="276"/>
      <c r="U481" s="276"/>
      <c r="V481" s="276"/>
      <c r="W481" s="276"/>
      <c r="X481" s="276"/>
      <c r="Y481" s="276"/>
      <c r="Z481" s="276"/>
      <c r="AA481" s="276"/>
      <c r="AB481" s="276"/>
      <c r="AC481" s="276"/>
      <c r="AD481" s="276"/>
      <c r="AE481" s="276"/>
      <c r="AF481" s="276"/>
      <c r="AG481" s="276"/>
      <c r="AH481" s="276"/>
      <c r="AI481" s="276"/>
      <c r="AJ481" s="276"/>
      <c r="AK481" s="276"/>
      <c r="AL481" s="276"/>
      <c r="AM481" s="276"/>
      <c r="AN481" s="276"/>
      <c r="AO481" s="276"/>
      <c r="AP481" s="276"/>
      <c r="AQ481" s="276"/>
      <c r="AR481" s="276"/>
      <c r="AS481" s="276"/>
      <c r="AT481" s="276"/>
      <c r="AU481" s="284"/>
    </row>
    <row r="485" spans="1:47" ht="32" customHeight="1" x14ac:dyDescent="0.35">
      <c r="A485" s="288" t="s">
        <v>1787</v>
      </c>
      <c r="B485" s="288"/>
      <c r="C485" s="288"/>
      <c r="D485" s="288"/>
      <c r="E485" s="288"/>
      <c r="F485" s="288"/>
    </row>
  </sheetData>
  <mergeCells count="1">
    <mergeCell ref="A485:F485"/>
  </mergeCells>
  <hyperlinks>
    <hyperlink ref="A485" r:id="rId1" xr:uid="{00000000-0004-0000-0B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B00-000001000000}">
            <xm:f>AND(H2&lt;&gt;"", IFERROR(INDEX('Recommendations'!$G$2:$G$376, MATCH(H2,'Recommendations'!$A$2:$A$376,0))="Implemented", FALSE))</xm:f>
            <x14:dxf>
              <font>
                <color rgb="FF000000"/>
              </font>
              <fill>
                <patternFill>
                  <bgColor rgb="FF3C7D22"/>
                </patternFill>
              </fill>
            </x14:dxf>
          </x14:cfRule>
          <x14:cfRule type="expression" priority="2" id="{00000000-000E-0000-0B00-000002000000}">
            <xm:f>AND(H2&lt;&gt;"", IFERROR(INDEX('Recommendations'!$G$2:$G$376, MATCH(H2,'Recommendations'!$A$2:$A$376,0))="Compensated", FALSE))</xm:f>
            <x14:dxf>
              <font>
                <color rgb="FF000000"/>
              </font>
              <fill>
                <patternFill>
                  <bgColor rgb="FFC6E0B4"/>
                </patternFill>
              </fill>
            </x14:dxf>
          </x14:cfRule>
          <x14:cfRule type="expression" priority="3" id="{00000000-000E-0000-0B00-000003000000}">
            <xm:f>AND(H2&lt;&gt;"", IFERROR(INDEX('Recommendations'!$G$2:$G$376, MATCH(H2,'Recommendations'!$A$2:$A$376,0))="Testing", FALSE))</xm:f>
            <x14:dxf>
              <font>
                <color rgb="FF000000"/>
              </font>
              <fill>
                <patternFill>
                  <bgColor rgb="FFFFC000"/>
                </patternFill>
              </fill>
            </x14:dxf>
          </x14:cfRule>
          <x14:cfRule type="expression" priority="4" id="{00000000-000E-0000-0B00-000004000000}">
            <xm:f>AND(H2&lt;&gt;"", IFERROR(INDEX('Recommendations'!$G$2:$G$376, MATCH(H2,'Recommendations'!$A$2:$A$376,0))="Failed", FALSE))</xm:f>
            <x14:dxf>
              <font>
                <color rgb="FF000000"/>
              </font>
              <fill>
                <patternFill>
                  <bgColor rgb="FFD82891"/>
                </patternFill>
              </fill>
            </x14:dxf>
          </x14:cfRule>
          <x14:cfRule type="expression" priority="5" id="{00000000-000E-0000-0B00-000005000000}">
            <xm:f>AND(H2&lt;&gt;"", IFERROR(INDEX('Recommendations'!$G$2:$G$376, MATCH(H2,'Recommendations'!$A$2:$A$376,0))="Risk Accepted", FALSE))</xm:f>
            <x14:dxf>
              <font>
                <color rgb="FF000000"/>
              </font>
              <fill>
                <patternFill>
                  <bgColor rgb="FFD9D9D9"/>
                </patternFill>
              </fill>
            </x14:dxf>
          </x14:cfRule>
          <x14:cfRule type="expression" priority="6" id="{00000000-000E-0000-0B00-000006000000}">
            <xm:f>AND(H2&lt;&gt;"", IFERROR(INDEX('Recommendations'!$G$2:$G$376, MATCH(H2,'Recommendations'!$A$2:$A$376,0))="N/A",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91"/>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289" t="s">
        <v>1867</v>
      </c>
      <c r="C2" s="290"/>
      <c r="D2" s="290"/>
      <c r="E2" s="290"/>
      <c r="F2" s="290"/>
      <c r="G2" s="290"/>
      <c r="H2" s="290"/>
      <c r="I2" s="290"/>
    </row>
    <row r="4" spans="2:15" ht="18.5" x14ac:dyDescent="0.45">
      <c r="B4" s="39" t="s">
        <v>1868</v>
      </c>
    </row>
    <row r="5" spans="2:15" x14ac:dyDescent="0.35">
      <c r="B5" s="41" t="s">
        <v>19</v>
      </c>
      <c r="C5" s="41" t="s">
        <v>1869</v>
      </c>
      <c r="D5" s="41" t="s">
        <v>1870</v>
      </c>
      <c r="F5" s="291" t="s">
        <v>1871</v>
      </c>
      <c r="G5" s="291"/>
      <c r="H5" s="291"/>
      <c r="I5" s="292" t="s">
        <v>1872</v>
      </c>
      <c r="J5" s="292"/>
      <c r="K5" s="292"/>
      <c r="L5" s="292"/>
      <c r="M5" s="292"/>
      <c r="N5" s="292"/>
      <c r="O5" s="292"/>
    </row>
    <row r="6" spans="2:15" x14ac:dyDescent="0.35">
      <c r="B6" s="47" t="s">
        <v>1873</v>
      </c>
      <c r="C6" s="48">
        <v>375</v>
      </c>
      <c r="D6" s="49" t="s">
        <v>19</v>
      </c>
      <c r="F6" s="291" t="s">
        <v>1874</v>
      </c>
      <c r="G6" s="291"/>
      <c r="H6" s="291"/>
      <c r="I6" s="293" t="s">
        <v>1875</v>
      </c>
      <c r="J6" s="293"/>
      <c r="K6" s="293"/>
      <c r="L6" s="293"/>
      <c r="M6" s="293"/>
      <c r="N6" s="293"/>
      <c r="O6" s="293"/>
    </row>
    <row r="7" spans="2:15" x14ac:dyDescent="0.35">
      <c r="B7" s="50" t="s">
        <v>1876</v>
      </c>
      <c r="C7" s="51">
        <f>C6-C8-C9</f>
        <v>375</v>
      </c>
      <c r="D7" s="52">
        <f>IF(C6&gt;0,C7/C6,0)</f>
        <v>1</v>
      </c>
      <c r="F7" s="291" t="s">
        <v>1877</v>
      </c>
      <c r="G7" s="291"/>
      <c r="H7" s="291"/>
      <c r="I7" s="293" t="s">
        <v>1875</v>
      </c>
      <c r="J7" s="293"/>
      <c r="K7" s="293"/>
      <c r="L7" s="293"/>
      <c r="M7" s="293"/>
      <c r="N7" s="293"/>
      <c r="O7" s="293"/>
    </row>
    <row r="8" spans="2:15" x14ac:dyDescent="0.35">
      <c r="B8" s="43" t="s">
        <v>1878</v>
      </c>
      <c r="C8" s="44">
        <f>COUNTIF('Recommendations'!G:G,"Risk Accepted")</f>
        <v>0</v>
      </c>
      <c r="D8" s="45">
        <f>IF(C6&gt;0,C8/C6,0)</f>
        <v>0</v>
      </c>
      <c r="F8" s="291" t="s">
        <v>1879</v>
      </c>
      <c r="G8" s="291"/>
      <c r="H8" s="291"/>
      <c r="I8" s="293" t="s">
        <v>1875</v>
      </c>
      <c r="J8" s="293"/>
      <c r="K8" s="293"/>
      <c r="L8" s="293"/>
      <c r="M8" s="293"/>
      <c r="N8" s="293"/>
      <c r="O8" s="293"/>
    </row>
    <row r="9" spans="2:15" x14ac:dyDescent="0.35">
      <c r="B9" s="43" t="s">
        <v>1880</v>
      </c>
      <c r="C9" s="44">
        <f>COUNTIF('Recommendations'!G:G,"N/A")</f>
        <v>0</v>
      </c>
      <c r="D9" s="45">
        <f>IF(C6&gt;0,C9/C6,0)</f>
        <v>0</v>
      </c>
      <c r="F9" s="291" t="s">
        <v>1881</v>
      </c>
      <c r="G9" s="291"/>
      <c r="H9" s="291"/>
      <c r="I9" s="293" t="s">
        <v>1875</v>
      </c>
      <c r="J9" s="293"/>
      <c r="K9" s="293"/>
      <c r="L9" s="293"/>
      <c r="M9" s="293"/>
      <c r="N9" s="293"/>
      <c r="O9" s="293"/>
    </row>
    <row r="12" spans="2:15" ht="18.5" x14ac:dyDescent="0.45">
      <c r="B12" s="39" t="s">
        <v>1882</v>
      </c>
    </row>
    <row r="14" spans="2:15" x14ac:dyDescent="0.35">
      <c r="B14" s="53" t="s">
        <v>1883</v>
      </c>
    </row>
    <row r="15" spans="2:15" x14ac:dyDescent="0.35">
      <c r="B15" s="41" t="s">
        <v>19</v>
      </c>
      <c r="C15" s="41" t="s">
        <v>1884</v>
      </c>
      <c r="D15" s="41" t="s">
        <v>1885</v>
      </c>
      <c r="E15" s="41" t="s">
        <v>1886</v>
      </c>
      <c r="F15" s="41" t="s">
        <v>1887</v>
      </c>
    </row>
    <row r="16" spans="2:15" x14ac:dyDescent="0.35">
      <c r="B16" s="43" t="s">
        <v>1888</v>
      </c>
      <c r="C16" s="44">
        <f>COUNTIF('Recommendations'!L:L,"Resolved")</f>
        <v>0</v>
      </c>
      <c r="D16" s="44">
        <f>COUNTIF('Recommendations'!L:L,"Testing")</f>
        <v>0</v>
      </c>
      <c r="E16" s="44">
        <f>COUNTIF('Recommendations'!L:L,"Outstanding")</f>
        <v>375</v>
      </c>
      <c r="F16" s="44">
        <f>SUM(C16:E16)</f>
        <v>375</v>
      </c>
    </row>
    <row r="18" spans="2:6" x14ac:dyDescent="0.35">
      <c r="B18" s="53" t="s">
        <v>1889</v>
      </c>
    </row>
    <row r="19" spans="2:6" x14ac:dyDescent="0.35">
      <c r="B19" s="54" t="s">
        <v>19</v>
      </c>
      <c r="C19" s="54" t="s">
        <v>1884</v>
      </c>
      <c r="D19" s="54" t="s">
        <v>1885</v>
      </c>
      <c r="E19" s="54" t="s">
        <v>1886</v>
      </c>
      <c r="F19" s="54" t="s">
        <v>19</v>
      </c>
    </row>
    <row r="20" spans="2:6" x14ac:dyDescent="0.35">
      <c r="B20" s="43" t="s">
        <v>1888</v>
      </c>
      <c r="C20" s="45">
        <f>IF(F16&gt;0, C16/F16, 0)</f>
        <v>0</v>
      </c>
      <c r="D20" s="45">
        <f>IF(F16&gt;0, D16/F16, 0)</f>
        <v>0</v>
      </c>
      <c r="E20" s="45">
        <f>IF(F16&gt;0, E16/F16, 0)</f>
        <v>1</v>
      </c>
      <c r="F20" s="46" t="s">
        <v>19</v>
      </c>
    </row>
    <row r="25" spans="2:6" ht="18.5" x14ac:dyDescent="0.45">
      <c r="B25" s="39" t="s">
        <v>1890</v>
      </c>
    </row>
    <row r="27" spans="2:6" x14ac:dyDescent="0.35">
      <c r="B27" s="53" t="s">
        <v>1883</v>
      </c>
    </row>
    <row r="28" spans="2:6" x14ac:dyDescent="0.35">
      <c r="B28" s="41" t="s">
        <v>5</v>
      </c>
      <c r="C28" s="41" t="s">
        <v>1884</v>
      </c>
      <c r="D28" s="41" t="s">
        <v>1885</v>
      </c>
      <c r="E28" s="41" t="s">
        <v>1886</v>
      </c>
      <c r="F28" s="41" t="s">
        <v>1887</v>
      </c>
    </row>
    <row r="29" spans="2:6" x14ac:dyDescent="0.35">
      <c r="B29" s="43" t="s">
        <v>1891</v>
      </c>
      <c r="C29" s="44">
        <f>COUNTIFS('Recommendations'!F:F,"Phase1",'Recommendations'!L:L,"=Resolved")</f>
        <v>0</v>
      </c>
      <c r="D29" s="44">
        <f>COUNTIFS('Recommendations'!F:F,"=Phase1",'Recommendations'!L:L,"=Testing")</f>
        <v>0</v>
      </c>
      <c r="E29" s="44">
        <f>COUNTIFS('Recommendations'!F:F,"=Phase1",'Recommendations'!L:L,"=Outstanding")</f>
        <v>0</v>
      </c>
      <c r="F29" s="44">
        <f t="shared" ref="F29:F34" si="0">SUM(C29:E29)</f>
        <v>0</v>
      </c>
    </row>
    <row r="30" spans="2:6" x14ac:dyDescent="0.35">
      <c r="B30" s="43" t="s">
        <v>1892</v>
      </c>
      <c r="C30" s="44">
        <f>COUNTIFS('Recommendations'!F:F,"Phase2",'Recommendations'!L:L,"=Resolved")</f>
        <v>0</v>
      </c>
      <c r="D30" s="44">
        <f>COUNTIFS('Recommendations'!F:F,"=Phase2",'Recommendations'!L:L,"=Testing")</f>
        <v>0</v>
      </c>
      <c r="E30" s="44">
        <f>COUNTIFS('Recommendations'!F:F,"=Phase2",'Recommendations'!L:L,"=Outstanding")</f>
        <v>0</v>
      </c>
      <c r="F30" s="44">
        <f t="shared" si="0"/>
        <v>0</v>
      </c>
    </row>
    <row r="31" spans="2:6" x14ac:dyDescent="0.35">
      <c r="B31" s="43" t="s">
        <v>1893</v>
      </c>
      <c r="C31" s="44">
        <f>COUNTIFS('Recommendations'!F:F,"Phase3",'Recommendations'!L:L,"=Resolved")</f>
        <v>0</v>
      </c>
      <c r="D31" s="44">
        <f>COUNTIFS('Recommendations'!F:F,"=Phase3",'Recommendations'!L:L,"=Testing")</f>
        <v>0</v>
      </c>
      <c r="E31" s="44">
        <f>COUNTIFS('Recommendations'!F:F,"=Phase3",'Recommendations'!L:L,"=Outstanding")</f>
        <v>0</v>
      </c>
      <c r="F31" s="44">
        <f t="shared" si="0"/>
        <v>0</v>
      </c>
    </row>
    <row r="32" spans="2:6" x14ac:dyDescent="0.35">
      <c r="B32" s="43" t="s">
        <v>1894</v>
      </c>
      <c r="C32" s="44">
        <f>COUNTIFS('Recommendations'!F:F,"Phase4",'Recommendations'!L:L,"=Resolved")</f>
        <v>0</v>
      </c>
      <c r="D32" s="44">
        <f>COUNTIFS('Recommendations'!F:F,"=Phase4",'Recommendations'!L:L,"=Testing")</f>
        <v>0</v>
      </c>
      <c r="E32" s="44">
        <f>COUNTIFS('Recommendations'!F:F,"=Phase4",'Recommendations'!L:L,"=Outstanding")</f>
        <v>0</v>
      </c>
      <c r="F32" s="44">
        <f t="shared" si="0"/>
        <v>0</v>
      </c>
    </row>
    <row r="33" spans="2:6" x14ac:dyDescent="0.35">
      <c r="B33" s="43" t="s">
        <v>1895</v>
      </c>
      <c r="C33" s="44">
        <f>COUNTIFS('Recommendations'!F:F,"Phase5",'Recommendations'!L:L,"=Resolved")</f>
        <v>0</v>
      </c>
      <c r="D33" s="44">
        <f>COUNTIFS('Recommendations'!F:F,"=Phase5",'Recommendations'!L:L,"=Testing")</f>
        <v>0</v>
      </c>
      <c r="E33" s="44">
        <f>COUNTIFS('Recommendations'!F:F,"=Phase5",'Recommendations'!L:L,"=Outstanding")</f>
        <v>0</v>
      </c>
      <c r="F33" s="44">
        <f t="shared" si="0"/>
        <v>0</v>
      </c>
    </row>
    <row r="34" spans="2:6" x14ac:dyDescent="0.35">
      <c r="B34" s="43" t="s">
        <v>18</v>
      </c>
      <c r="C34" s="44">
        <f>COUNTIFS('Recommendations'!F:F,"Pending",'Recommendations'!L:L,"=Resolved")</f>
        <v>0</v>
      </c>
      <c r="D34" s="44">
        <f>COUNTIFS('Recommendations'!F:F,"=Pending",'Recommendations'!L:L,"=Testing")</f>
        <v>0</v>
      </c>
      <c r="E34" s="44">
        <f>COUNTIFS('Recommendations'!F:F,"=Pending",'Recommendations'!L:L,"=Outstanding")</f>
        <v>375</v>
      </c>
      <c r="F34" s="44">
        <f t="shared" si="0"/>
        <v>375</v>
      </c>
    </row>
    <row r="36" spans="2:6" x14ac:dyDescent="0.35">
      <c r="B36" s="53" t="s">
        <v>1889</v>
      </c>
    </row>
    <row r="37" spans="2:6" x14ac:dyDescent="0.35">
      <c r="B37" s="54" t="s">
        <v>5</v>
      </c>
      <c r="C37" s="54" t="s">
        <v>1884</v>
      </c>
      <c r="D37" s="54" t="s">
        <v>1885</v>
      </c>
      <c r="E37" s="54" t="s">
        <v>1886</v>
      </c>
      <c r="F37" s="54" t="s">
        <v>19</v>
      </c>
    </row>
    <row r="38" spans="2:6" x14ac:dyDescent="0.35">
      <c r="B38" s="43" t="s">
        <v>1891</v>
      </c>
      <c r="C38" s="45">
        <f t="shared" ref="C38:C43" si="1">IF(F29&gt;0, C29/F29, 0)</f>
        <v>0</v>
      </c>
      <c r="D38" s="45">
        <f t="shared" ref="D38:D43" si="2">IF(F29&gt;0, D29/F29, 0)</f>
        <v>0</v>
      </c>
      <c r="E38" s="45">
        <f t="shared" ref="E38:E43" si="3">IF(F29&gt;0, E29/F29, 0)</f>
        <v>0</v>
      </c>
      <c r="F38" s="46" t="s">
        <v>19</v>
      </c>
    </row>
    <row r="39" spans="2:6" x14ac:dyDescent="0.35">
      <c r="B39" s="43" t="s">
        <v>1892</v>
      </c>
      <c r="C39" s="45">
        <f t="shared" si="1"/>
        <v>0</v>
      </c>
      <c r="D39" s="45">
        <f t="shared" si="2"/>
        <v>0</v>
      </c>
      <c r="E39" s="45">
        <f t="shared" si="3"/>
        <v>0</v>
      </c>
      <c r="F39" s="46" t="s">
        <v>19</v>
      </c>
    </row>
    <row r="40" spans="2:6" x14ac:dyDescent="0.35">
      <c r="B40" s="43" t="s">
        <v>1893</v>
      </c>
      <c r="C40" s="45">
        <f t="shared" si="1"/>
        <v>0</v>
      </c>
      <c r="D40" s="45">
        <f t="shared" si="2"/>
        <v>0</v>
      </c>
      <c r="E40" s="45">
        <f t="shared" si="3"/>
        <v>0</v>
      </c>
      <c r="F40" s="46" t="s">
        <v>19</v>
      </c>
    </row>
    <row r="41" spans="2:6" x14ac:dyDescent="0.35">
      <c r="B41" s="43" t="s">
        <v>1894</v>
      </c>
      <c r="C41" s="45">
        <f t="shared" si="1"/>
        <v>0</v>
      </c>
      <c r="D41" s="45">
        <f t="shared" si="2"/>
        <v>0</v>
      </c>
      <c r="E41" s="45">
        <f t="shared" si="3"/>
        <v>0</v>
      </c>
      <c r="F41" s="46" t="s">
        <v>19</v>
      </c>
    </row>
    <row r="42" spans="2:6" x14ac:dyDescent="0.35">
      <c r="B42" s="43" t="s">
        <v>1895</v>
      </c>
      <c r="C42" s="45">
        <f t="shared" si="1"/>
        <v>0</v>
      </c>
      <c r="D42" s="45">
        <f t="shared" si="2"/>
        <v>0</v>
      </c>
      <c r="E42" s="45">
        <f t="shared" si="3"/>
        <v>0</v>
      </c>
      <c r="F42" s="46" t="s">
        <v>19</v>
      </c>
    </row>
    <row r="43" spans="2:6" x14ac:dyDescent="0.35">
      <c r="B43" s="43" t="s">
        <v>18</v>
      </c>
      <c r="C43" s="45">
        <f t="shared" si="1"/>
        <v>0</v>
      </c>
      <c r="D43" s="45">
        <f t="shared" si="2"/>
        <v>0</v>
      </c>
      <c r="E43" s="45">
        <f t="shared" si="3"/>
        <v>1</v>
      </c>
      <c r="F43" s="46" t="s">
        <v>19</v>
      </c>
    </row>
    <row r="48" spans="2:6" ht="18.5" x14ac:dyDescent="0.45">
      <c r="B48" s="39" t="s">
        <v>1896</v>
      </c>
    </row>
    <row r="50" spans="2:6" x14ac:dyDescent="0.35">
      <c r="B50" s="53" t="s">
        <v>1883</v>
      </c>
    </row>
    <row r="51" spans="2:6" x14ac:dyDescent="0.35">
      <c r="B51" s="41" t="s">
        <v>2</v>
      </c>
      <c r="C51" s="41" t="s">
        <v>1884</v>
      </c>
      <c r="D51" s="41" t="s">
        <v>1885</v>
      </c>
      <c r="E51" s="41" t="s">
        <v>1886</v>
      </c>
      <c r="F51" s="41" t="s">
        <v>1887</v>
      </c>
    </row>
    <row r="52" spans="2:6" x14ac:dyDescent="0.35">
      <c r="B52" s="43" t="s">
        <v>29</v>
      </c>
      <c r="C52" s="44">
        <f>COUNTIFS('Recommendations'!C:C,"CAT I (High)",'Recommendations'!L:L,"=Resolved")</f>
        <v>0</v>
      </c>
      <c r="D52" s="44">
        <f>COUNTIFS('Recommendations'!C:C,"=CAT I (High)",'Recommendations'!L:L,"=Testing")</f>
        <v>0</v>
      </c>
      <c r="E52" s="44">
        <f>COUNTIFS('Recommendations'!C:C,"=CAT I (High)",'Recommendations'!L:L,"=Outstanding")</f>
        <v>32</v>
      </c>
      <c r="F52" s="44">
        <f>SUM(C52:E52)</f>
        <v>32</v>
      </c>
    </row>
    <row r="53" spans="2:6" x14ac:dyDescent="0.35">
      <c r="B53" s="43" t="s">
        <v>15</v>
      </c>
      <c r="C53" s="44">
        <f>COUNTIFS('Recommendations'!C:C,"CAT II (Medium)",'Recommendations'!L:L,"=Resolved")</f>
        <v>0</v>
      </c>
      <c r="D53" s="44">
        <f>COUNTIFS('Recommendations'!C:C,"=CAT II (Medium)",'Recommendations'!L:L,"=Testing")</f>
        <v>0</v>
      </c>
      <c r="E53" s="44">
        <f>COUNTIFS('Recommendations'!C:C,"=CAT II (Medium)",'Recommendations'!L:L,"=Outstanding")</f>
        <v>316</v>
      </c>
      <c r="F53" s="44">
        <f>SUM(C53:E53)</f>
        <v>316</v>
      </c>
    </row>
    <row r="54" spans="2:6" x14ac:dyDescent="0.35">
      <c r="B54" s="43" t="s">
        <v>155</v>
      </c>
      <c r="C54" s="44">
        <f>COUNTIFS('Recommendations'!C:C,"CAT III (Low)",'Recommendations'!L:L,"=Resolved")</f>
        <v>0</v>
      </c>
      <c r="D54" s="44">
        <f>COUNTIFS('Recommendations'!C:C,"=CAT III (Low)",'Recommendations'!L:L,"=Testing")</f>
        <v>0</v>
      </c>
      <c r="E54" s="44">
        <f>COUNTIFS('Recommendations'!C:C,"=CAT III (Low)",'Recommendations'!L:L,"=Outstanding")</f>
        <v>27</v>
      </c>
      <c r="F54" s="44">
        <f>SUM(C54:E54)</f>
        <v>27</v>
      </c>
    </row>
    <row r="56" spans="2:6" x14ac:dyDescent="0.35">
      <c r="B56" s="53" t="s">
        <v>1889</v>
      </c>
    </row>
    <row r="57" spans="2:6" x14ac:dyDescent="0.35">
      <c r="B57" s="54" t="s">
        <v>2</v>
      </c>
      <c r="C57" s="54" t="s">
        <v>1884</v>
      </c>
      <c r="D57" s="54" t="s">
        <v>1885</v>
      </c>
      <c r="E57" s="54" t="s">
        <v>1886</v>
      </c>
      <c r="F57" s="54" t="s">
        <v>19</v>
      </c>
    </row>
    <row r="58" spans="2:6" x14ac:dyDescent="0.35">
      <c r="B58" s="43" t="s">
        <v>29</v>
      </c>
      <c r="C58" s="45">
        <f>IF(F52&gt;0, C52/F52, 0)</f>
        <v>0</v>
      </c>
      <c r="D58" s="45">
        <f>IF(F52&gt;0, D52/F52, 0)</f>
        <v>0</v>
      </c>
      <c r="E58" s="45">
        <f>IF(F52&gt;0, E52/F52, 0)</f>
        <v>1</v>
      </c>
      <c r="F58" s="46" t="s">
        <v>19</v>
      </c>
    </row>
    <row r="59" spans="2:6" x14ac:dyDescent="0.35">
      <c r="B59" s="43" t="s">
        <v>15</v>
      </c>
      <c r="C59" s="45">
        <f>IF(F53&gt;0, C53/F53, 0)</f>
        <v>0</v>
      </c>
      <c r="D59" s="45">
        <f>IF(F53&gt;0, D53/F53, 0)</f>
        <v>0</v>
      </c>
      <c r="E59" s="45">
        <f>IF(F53&gt;0, E53/F53, 0)</f>
        <v>1</v>
      </c>
      <c r="F59" s="46" t="s">
        <v>19</v>
      </c>
    </row>
    <row r="60" spans="2:6" x14ac:dyDescent="0.35">
      <c r="B60" s="43" t="s">
        <v>155</v>
      </c>
      <c r="C60" s="45">
        <f>IF(F54&gt;0, C54/F54, 0)</f>
        <v>0</v>
      </c>
      <c r="D60" s="45">
        <f>IF(F54&gt;0, D54/F54, 0)</f>
        <v>0</v>
      </c>
      <c r="E60" s="45">
        <f>IF(F54&gt;0, E54/F54, 0)</f>
        <v>1</v>
      </c>
      <c r="F60" s="46" t="s">
        <v>19</v>
      </c>
    </row>
    <row r="65" spans="2:6" ht="18.5" x14ac:dyDescent="0.45">
      <c r="B65" s="39" t="s">
        <v>1897</v>
      </c>
    </row>
    <row r="67" spans="2:6" x14ac:dyDescent="0.35">
      <c r="B67" s="53" t="s">
        <v>1883</v>
      </c>
    </row>
    <row r="68" spans="2:6" x14ac:dyDescent="0.35">
      <c r="B68" s="41" t="s">
        <v>3</v>
      </c>
      <c r="C68" s="41" t="s">
        <v>1884</v>
      </c>
      <c r="D68" s="41" t="s">
        <v>1885</v>
      </c>
      <c r="E68" s="41" t="s">
        <v>1886</v>
      </c>
      <c r="F68" s="41" t="s">
        <v>1887</v>
      </c>
    </row>
    <row r="69" spans="2:6" x14ac:dyDescent="0.35">
      <c r="B69" s="43" t="s">
        <v>1898</v>
      </c>
      <c r="C69" s="44">
        <f>COUNTIFS('Recommendations'!D:D,"Must",'Recommendations'!L:L,"=Resolved")</f>
        <v>0</v>
      </c>
      <c r="D69" s="44">
        <f>COUNTIFS('Recommendations'!D:D,"=Must",'Recommendations'!L:L,"=Testing")</f>
        <v>0</v>
      </c>
      <c r="E69" s="44">
        <f>COUNTIFS('Recommendations'!D:D,"=Must",'Recommendations'!L:L,"=Outstanding")</f>
        <v>0</v>
      </c>
      <c r="F69" s="44">
        <f>SUM(C69:E69)</f>
        <v>0</v>
      </c>
    </row>
    <row r="70" spans="2:6" x14ac:dyDescent="0.35">
      <c r="B70" s="43" t="s">
        <v>1899</v>
      </c>
      <c r="C70" s="44">
        <f>COUNTIFS('Recommendations'!D:D,"Should",'Recommendations'!L:L,"=Resolved")</f>
        <v>0</v>
      </c>
      <c r="D70" s="44">
        <f>COUNTIFS('Recommendations'!D:D,"=Should",'Recommendations'!L:L,"=Testing")</f>
        <v>0</v>
      </c>
      <c r="E70" s="44">
        <f>COUNTIFS('Recommendations'!D:D,"=Should",'Recommendations'!L:L,"=Outstanding")</f>
        <v>0</v>
      </c>
      <c r="F70" s="44">
        <f>SUM(C70:E70)</f>
        <v>0</v>
      </c>
    </row>
    <row r="71" spans="2:6" x14ac:dyDescent="0.35">
      <c r="B71" s="43" t="s">
        <v>1900</v>
      </c>
      <c r="C71" s="44">
        <f>COUNTIFS('Recommendations'!D:D,"Could",'Recommendations'!L:L,"=Resolved")</f>
        <v>0</v>
      </c>
      <c r="D71" s="44">
        <f>COUNTIFS('Recommendations'!D:D,"=Could",'Recommendations'!L:L,"=Testing")</f>
        <v>0</v>
      </c>
      <c r="E71" s="44">
        <f>COUNTIFS('Recommendations'!D:D,"=Could",'Recommendations'!L:L,"=Outstanding")</f>
        <v>0</v>
      </c>
      <c r="F71" s="44">
        <f>SUM(C71:E71)</f>
        <v>0</v>
      </c>
    </row>
    <row r="72" spans="2:6" x14ac:dyDescent="0.35">
      <c r="B72" s="43" t="s">
        <v>1901</v>
      </c>
      <c r="C72" s="44">
        <f>COUNTIFS('Recommendations'!D:D,"Won't",'Recommendations'!L:L,"=Resolved")</f>
        <v>0</v>
      </c>
      <c r="D72" s="44">
        <f>COUNTIFS('Recommendations'!D:D,"=Won't",'Recommendations'!L:L,"=Testing")</f>
        <v>0</v>
      </c>
      <c r="E72" s="44">
        <f>COUNTIFS('Recommendations'!D:D,"=Won't",'Recommendations'!L:L,"=Outstanding")</f>
        <v>0</v>
      </c>
      <c r="F72" s="44">
        <f>SUM(C72:E72)</f>
        <v>0</v>
      </c>
    </row>
    <row r="73" spans="2:6" x14ac:dyDescent="0.35">
      <c r="B73" s="43" t="s">
        <v>16</v>
      </c>
      <c r="C73" s="44">
        <f>COUNTIFS('Recommendations'!D:D,"Unassigned",'Recommendations'!L:L,"=Resolved")</f>
        <v>0</v>
      </c>
      <c r="D73" s="44">
        <f>COUNTIFS('Recommendations'!D:D,"=Unassigned",'Recommendations'!L:L,"=Testing")</f>
        <v>0</v>
      </c>
      <c r="E73" s="44">
        <f>COUNTIFS('Recommendations'!D:D,"=Unassigned",'Recommendations'!L:L,"=Outstanding")</f>
        <v>375</v>
      </c>
      <c r="F73" s="44">
        <f>SUM(C73:E73)</f>
        <v>375</v>
      </c>
    </row>
    <row r="75" spans="2:6" x14ac:dyDescent="0.35">
      <c r="B75" s="53" t="s">
        <v>1889</v>
      </c>
    </row>
    <row r="76" spans="2:6" x14ac:dyDescent="0.35">
      <c r="B76" s="54" t="s">
        <v>3</v>
      </c>
      <c r="C76" s="54" t="s">
        <v>1884</v>
      </c>
      <c r="D76" s="54" t="s">
        <v>1885</v>
      </c>
      <c r="E76" s="54" t="s">
        <v>1886</v>
      </c>
      <c r="F76" s="54" t="s">
        <v>19</v>
      </c>
    </row>
    <row r="77" spans="2:6" x14ac:dyDescent="0.35">
      <c r="B77" s="43" t="s">
        <v>1898</v>
      </c>
      <c r="C77" s="45">
        <f>IF(F69&gt;0, C69/F69, 0)</f>
        <v>0</v>
      </c>
      <c r="D77" s="45">
        <f>IF(F69&gt;0, D69/F69, 0)</f>
        <v>0</v>
      </c>
      <c r="E77" s="45">
        <f>IF(F69&gt;0, E69/F69, 0)</f>
        <v>0</v>
      </c>
      <c r="F77" s="46" t="s">
        <v>19</v>
      </c>
    </row>
    <row r="78" spans="2:6" x14ac:dyDescent="0.35">
      <c r="B78" s="43" t="s">
        <v>1899</v>
      </c>
      <c r="C78" s="45">
        <f>IF(F70&gt;0, C70/F70, 0)</f>
        <v>0</v>
      </c>
      <c r="D78" s="45">
        <f>IF(F70&gt;0, D70/F70, 0)</f>
        <v>0</v>
      </c>
      <c r="E78" s="45">
        <f>IF(F70&gt;0, E70/F70, 0)</f>
        <v>0</v>
      </c>
      <c r="F78" s="46" t="s">
        <v>19</v>
      </c>
    </row>
    <row r="79" spans="2:6" x14ac:dyDescent="0.35">
      <c r="B79" s="43" t="s">
        <v>1900</v>
      </c>
      <c r="C79" s="45">
        <f>IF(F71&gt;0, C71/F71, 0)</f>
        <v>0</v>
      </c>
      <c r="D79" s="45">
        <f>IF(F71&gt;0, D71/F71, 0)</f>
        <v>0</v>
      </c>
      <c r="E79" s="45">
        <f>IF(F71&gt;0, E71/F71, 0)</f>
        <v>0</v>
      </c>
      <c r="F79" s="46" t="s">
        <v>19</v>
      </c>
    </row>
    <row r="80" spans="2:6" x14ac:dyDescent="0.35">
      <c r="B80" s="43" t="s">
        <v>1901</v>
      </c>
      <c r="C80" s="45">
        <f>IF(F72&gt;0, C72/F72, 0)</f>
        <v>0</v>
      </c>
      <c r="D80" s="45">
        <f>IF(F72&gt;0, D72/F72, 0)</f>
        <v>0</v>
      </c>
      <c r="E80" s="45">
        <f>IF(F72&gt;0, E72/F72, 0)</f>
        <v>0</v>
      </c>
      <c r="F80" s="46" t="s">
        <v>19</v>
      </c>
    </row>
    <row r="81" spans="2:6" x14ac:dyDescent="0.35">
      <c r="B81" s="43" t="s">
        <v>16</v>
      </c>
      <c r="C81" s="45">
        <f>IF(F73&gt;0, C73/F73, 0)</f>
        <v>0</v>
      </c>
      <c r="D81" s="45">
        <f>IF(F73&gt;0, D73/F73, 0)</f>
        <v>0</v>
      </c>
      <c r="E81" s="45">
        <f>IF(F73&gt;0, E73/F73, 0)</f>
        <v>1</v>
      </c>
      <c r="F81" s="46" t="s">
        <v>19</v>
      </c>
    </row>
    <row r="86" spans="2:6" ht="18.5" x14ac:dyDescent="0.45">
      <c r="B86" s="39" t="s">
        <v>1902</v>
      </c>
    </row>
    <row r="88" spans="2:6" x14ac:dyDescent="0.35">
      <c r="B88" s="53" t="s">
        <v>1883</v>
      </c>
    </row>
    <row r="89" spans="2:6" x14ac:dyDescent="0.35">
      <c r="B89" s="41" t="s">
        <v>1903</v>
      </c>
      <c r="C89" s="41" t="s">
        <v>1884</v>
      </c>
      <c r="D89" s="41" t="s">
        <v>1885</v>
      </c>
      <c r="E89" s="41" t="s">
        <v>1886</v>
      </c>
      <c r="F89" s="41" t="s">
        <v>1887</v>
      </c>
    </row>
    <row r="90" spans="2:6" x14ac:dyDescent="0.35">
      <c r="B90" s="43" t="s">
        <v>1904</v>
      </c>
      <c r="C90" s="44">
        <f>COUNTIFS('Recommendations'!E:E,"Low",'Recommendations'!L:L,"=Resolved")</f>
        <v>0</v>
      </c>
      <c r="D90" s="44">
        <f>COUNTIFS('Recommendations'!E:E,"=Low",'Recommendations'!L:L,"=Testing")</f>
        <v>0</v>
      </c>
      <c r="E90" s="44">
        <f>COUNTIFS('Recommendations'!E:E,"=Low",'Recommendations'!L:L,"=Outstanding")</f>
        <v>0</v>
      </c>
      <c r="F90" s="44">
        <f>SUM(C90:E90)</f>
        <v>0</v>
      </c>
    </row>
    <row r="91" spans="2:6" x14ac:dyDescent="0.35">
      <c r="B91" s="43" t="s">
        <v>1905</v>
      </c>
      <c r="C91" s="44">
        <f>COUNTIFS('Recommendations'!E:E,"Medium",'Recommendations'!L:L,"=Resolved")</f>
        <v>0</v>
      </c>
      <c r="D91" s="44">
        <f>COUNTIFS('Recommendations'!E:E,"=Medium",'Recommendations'!L:L,"=Testing")</f>
        <v>0</v>
      </c>
      <c r="E91" s="44">
        <f>COUNTIFS('Recommendations'!E:E,"=Medium",'Recommendations'!L:L,"=Outstanding")</f>
        <v>0</v>
      </c>
      <c r="F91" s="44">
        <f>SUM(C91:E91)</f>
        <v>0</v>
      </c>
    </row>
    <row r="92" spans="2:6" x14ac:dyDescent="0.35">
      <c r="B92" s="43" t="s">
        <v>1906</v>
      </c>
      <c r="C92" s="44">
        <f>COUNTIFS('Recommendations'!E:E,"High",'Recommendations'!L:L,"=Resolved")</f>
        <v>0</v>
      </c>
      <c r="D92" s="44">
        <f>COUNTIFS('Recommendations'!E:E,"=High",'Recommendations'!L:L,"=Testing")</f>
        <v>0</v>
      </c>
      <c r="E92" s="44">
        <f>COUNTIFS('Recommendations'!E:E,"=High",'Recommendations'!L:L,"=Outstanding")</f>
        <v>0</v>
      </c>
      <c r="F92" s="44">
        <f>SUM(C92:E92)</f>
        <v>0</v>
      </c>
    </row>
    <row r="93" spans="2:6" x14ac:dyDescent="0.35">
      <c r="B93" s="43" t="s">
        <v>17</v>
      </c>
      <c r="C93" s="44">
        <f>COUNTIFS('Recommendations'!E:E,"Unassessed",'Recommendations'!L:L,"=Resolved")</f>
        <v>0</v>
      </c>
      <c r="D93" s="44">
        <f>COUNTIFS('Recommendations'!E:E,"=Unassessed",'Recommendations'!L:L,"=Testing")</f>
        <v>0</v>
      </c>
      <c r="E93" s="44">
        <f>COUNTIFS('Recommendations'!E:E,"=Unassessed",'Recommendations'!L:L,"=Outstanding")</f>
        <v>375</v>
      </c>
      <c r="F93" s="44">
        <f>SUM(C93:E93)</f>
        <v>375</v>
      </c>
    </row>
    <row r="95" spans="2:6" x14ac:dyDescent="0.35">
      <c r="B95" s="53" t="s">
        <v>1889</v>
      </c>
    </row>
    <row r="96" spans="2:6" x14ac:dyDescent="0.35">
      <c r="B96" s="54" t="s">
        <v>1903</v>
      </c>
      <c r="C96" s="54" t="s">
        <v>1884</v>
      </c>
      <c r="D96" s="54" t="s">
        <v>1885</v>
      </c>
      <c r="E96" s="54" t="s">
        <v>1886</v>
      </c>
      <c r="F96" s="54" t="s">
        <v>19</v>
      </c>
    </row>
    <row r="97" spans="2:15" x14ac:dyDescent="0.35">
      <c r="B97" s="43" t="s">
        <v>1904</v>
      </c>
      <c r="C97" s="45">
        <f>IF(F90&gt;0, C90/F90, 0)</f>
        <v>0</v>
      </c>
      <c r="D97" s="45">
        <f>IF(F90&gt;0, D90/F90, 0)</f>
        <v>0</v>
      </c>
      <c r="E97" s="45">
        <f>IF(F90&gt;0, E90/F90, 0)</f>
        <v>0</v>
      </c>
      <c r="F97" s="46" t="s">
        <v>19</v>
      </c>
    </row>
    <row r="98" spans="2:15" x14ac:dyDescent="0.35">
      <c r="B98" s="43" t="s">
        <v>1905</v>
      </c>
      <c r="C98" s="45">
        <f>IF(F91&gt;0, C91/F91, 0)</f>
        <v>0</v>
      </c>
      <c r="D98" s="45">
        <f>IF(F91&gt;0, D91/F91, 0)</f>
        <v>0</v>
      </c>
      <c r="E98" s="45">
        <f>IF(F91&gt;0, E91/F91, 0)</f>
        <v>0</v>
      </c>
      <c r="F98" s="46" t="s">
        <v>19</v>
      </c>
    </row>
    <row r="99" spans="2:15" x14ac:dyDescent="0.35">
      <c r="B99" s="43" t="s">
        <v>1906</v>
      </c>
      <c r="C99" s="45">
        <f>IF(F92&gt;0, C92/F92, 0)</f>
        <v>0</v>
      </c>
      <c r="D99" s="45">
        <f>IF(F92&gt;0, D92/F92, 0)</f>
        <v>0</v>
      </c>
      <c r="E99" s="45">
        <f>IF(F92&gt;0, E92/F92, 0)</f>
        <v>0</v>
      </c>
      <c r="F99" s="46" t="s">
        <v>19</v>
      </c>
    </row>
    <row r="100" spans="2:15" x14ac:dyDescent="0.35">
      <c r="B100" s="43" t="s">
        <v>17</v>
      </c>
      <c r="C100" s="45">
        <f>IF(F93&gt;0, C93/F93, 0)</f>
        <v>0</v>
      </c>
      <c r="D100" s="45">
        <f>IF(F93&gt;0, D93/F93, 0)</f>
        <v>0</v>
      </c>
      <c r="E100" s="45">
        <f>IF(F93&gt;0, E93/F93, 0)</f>
        <v>1</v>
      </c>
      <c r="F100" s="46" t="s">
        <v>19</v>
      </c>
    </row>
    <row r="105" spans="2:15" ht="18.5" x14ac:dyDescent="0.45">
      <c r="B105" s="39" t="s">
        <v>1907</v>
      </c>
      <c r="J105" s="39" t="s">
        <v>1908</v>
      </c>
    </row>
    <row r="106" spans="2:15" x14ac:dyDescent="0.35">
      <c r="B106" s="41" t="s">
        <v>5</v>
      </c>
      <c r="C106" s="294" t="s">
        <v>1909</v>
      </c>
      <c r="D106" s="294"/>
      <c r="E106" s="41" t="s">
        <v>1876</v>
      </c>
      <c r="F106" s="41" t="s">
        <v>1884</v>
      </c>
      <c r="G106" s="294" t="s">
        <v>1910</v>
      </c>
      <c r="H106" s="294"/>
      <c r="J106" s="41" t="s">
        <v>5</v>
      </c>
      <c r="K106" s="41" t="s">
        <v>1898</v>
      </c>
      <c r="L106" s="41" t="s">
        <v>1899</v>
      </c>
      <c r="M106" s="41" t="s">
        <v>1900</v>
      </c>
      <c r="N106" s="41" t="s">
        <v>1901</v>
      </c>
      <c r="O106" s="41" t="s">
        <v>16</v>
      </c>
    </row>
    <row r="107" spans="2:15" x14ac:dyDescent="0.35">
      <c r="B107" s="47" t="s">
        <v>1891</v>
      </c>
      <c r="C107" s="295" t="s">
        <v>19</v>
      </c>
      <c r="D107" s="295"/>
      <c r="E107" s="44">
        <f>COUNTIF('Recommendations'!F:F,"Phase1")-COUNTIFS('Recommendations'!F:F,"Phase1",'Recommendations'!G:G,"Risk Accepted")-COUNTIFS('Recommendations'!F:F,"Phase1",'Recommendations'!G:G,"N/A")</f>
        <v>0</v>
      </c>
      <c r="F107" s="44">
        <f>COUNTIFS('Recommendations'!F:F,"Phase1",'Recommendations'!L:L,"Resolved")</f>
        <v>0</v>
      </c>
      <c r="G107" s="296">
        <f t="shared" ref="G107:G112" si="4">IF(E107&gt;0,F107/E107,0)</f>
        <v>0</v>
      </c>
      <c r="H107" s="296"/>
      <c r="J107" s="47" t="s">
        <v>1891</v>
      </c>
      <c r="K107" s="44">
        <f>COUNTIFS('Recommendations'!F:F,"Phase1",'Recommendations'!D:D,"Must")</f>
        <v>0</v>
      </c>
      <c r="L107" s="44">
        <f>COUNTIFS('Recommendations'!F:F,"Phase1",'Recommendations'!D:D,"Should")</f>
        <v>0</v>
      </c>
      <c r="M107" s="44">
        <f>COUNTIFS('Recommendations'!F:F,"Phase1",'Recommendations'!D:D,"Could")</f>
        <v>0</v>
      </c>
      <c r="N107" s="44">
        <f>COUNTIFS('Recommendations'!F:F,"Phase1",'Recommendations'!D:D,"Won't")</f>
        <v>0</v>
      </c>
      <c r="O107" s="44">
        <f>COUNTIFS('Recommendations'!F:F,"Phase1",'Recommendations'!D:D,"Unassigned")</f>
        <v>0</v>
      </c>
    </row>
    <row r="108" spans="2:15" x14ac:dyDescent="0.35">
      <c r="B108" s="47" t="s">
        <v>1892</v>
      </c>
      <c r="C108" s="295" t="s">
        <v>19</v>
      </c>
      <c r="D108" s="295"/>
      <c r="E108" s="44">
        <f>COUNTIF('Recommendations'!F:F,"Phase2")-COUNTIFS('Recommendations'!F:F,"Phase2",'Recommendations'!G:G,"Risk Accepted")-COUNTIFS('Recommendations'!F:F,"Phase2",'Recommendations'!G:G,"N/A")</f>
        <v>0</v>
      </c>
      <c r="F108" s="44">
        <f>COUNTIFS('Recommendations'!F:F,"Phase2",'Recommendations'!L:L,"Resolved")</f>
        <v>0</v>
      </c>
      <c r="G108" s="296">
        <f t="shared" si="4"/>
        <v>0</v>
      </c>
      <c r="H108" s="296"/>
      <c r="J108" s="47" t="s">
        <v>1892</v>
      </c>
      <c r="K108" s="44">
        <f>COUNTIFS('Recommendations'!F:F,"Phase2",'Recommendations'!D:D,"Must")</f>
        <v>0</v>
      </c>
      <c r="L108" s="44">
        <f>COUNTIFS('Recommendations'!F:F,"Phase2",'Recommendations'!D:D,"Should")</f>
        <v>0</v>
      </c>
      <c r="M108" s="44">
        <f>COUNTIFS('Recommendations'!F:F,"Phase2",'Recommendations'!D:D,"Could")</f>
        <v>0</v>
      </c>
      <c r="N108" s="44">
        <f>COUNTIFS('Recommendations'!F:F,"Phase2",'Recommendations'!D:D,"Won't")</f>
        <v>0</v>
      </c>
      <c r="O108" s="44">
        <f>COUNTIFS('Recommendations'!F:F,"Phase2",'Recommendations'!D:D,"Unassigned")</f>
        <v>0</v>
      </c>
    </row>
    <row r="109" spans="2:15" x14ac:dyDescent="0.35">
      <c r="B109" s="47" t="s">
        <v>1893</v>
      </c>
      <c r="C109" s="295" t="s">
        <v>19</v>
      </c>
      <c r="D109" s="295"/>
      <c r="E109" s="44">
        <f>COUNTIF('Recommendations'!F:F,"Phase3")-COUNTIFS('Recommendations'!F:F,"Phase3",'Recommendations'!G:G,"Risk Accepted")-COUNTIFS('Recommendations'!F:F,"Phase3",'Recommendations'!G:G,"N/A")</f>
        <v>0</v>
      </c>
      <c r="F109" s="44">
        <f>COUNTIFS('Recommendations'!F:F,"Phase3",'Recommendations'!L:L,"Resolved")</f>
        <v>0</v>
      </c>
      <c r="G109" s="296">
        <f t="shared" si="4"/>
        <v>0</v>
      </c>
      <c r="H109" s="296"/>
      <c r="J109" s="47" t="s">
        <v>1893</v>
      </c>
      <c r="K109" s="44">
        <f>COUNTIFS('Recommendations'!F:F,"Phase3",'Recommendations'!D:D,"Must")</f>
        <v>0</v>
      </c>
      <c r="L109" s="44">
        <f>COUNTIFS('Recommendations'!F:F,"Phase3",'Recommendations'!D:D,"Should")</f>
        <v>0</v>
      </c>
      <c r="M109" s="44">
        <f>COUNTIFS('Recommendations'!F:F,"Phase3",'Recommendations'!D:D,"Could")</f>
        <v>0</v>
      </c>
      <c r="N109" s="44">
        <f>COUNTIFS('Recommendations'!F:F,"Phase3",'Recommendations'!D:D,"Won't")</f>
        <v>0</v>
      </c>
      <c r="O109" s="44">
        <f>COUNTIFS('Recommendations'!F:F,"Phase3",'Recommendations'!D:D,"Unassigned")</f>
        <v>0</v>
      </c>
    </row>
    <row r="110" spans="2:15" x14ac:dyDescent="0.35">
      <c r="B110" s="47" t="s">
        <v>1894</v>
      </c>
      <c r="C110" s="295" t="s">
        <v>19</v>
      </c>
      <c r="D110" s="295"/>
      <c r="E110" s="44">
        <f>COUNTIF('Recommendations'!F:F,"Phase4")-COUNTIFS('Recommendations'!F:F,"Phase4",'Recommendations'!G:G,"Risk Accepted")-COUNTIFS('Recommendations'!F:F,"Phase4",'Recommendations'!G:G,"N/A")</f>
        <v>0</v>
      </c>
      <c r="F110" s="44">
        <f>COUNTIFS('Recommendations'!F:F,"Phase4",'Recommendations'!L:L,"Resolved")</f>
        <v>0</v>
      </c>
      <c r="G110" s="296">
        <f t="shared" si="4"/>
        <v>0</v>
      </c>
      <c r="H110" s="296"/>
      <c r="J110" s="47" t="s">
        <v>1894</v>
      </c>
      <c r="K110" s="44">
        <f>COUNTIFS('Recommendations'!F:F,"Phase4",'Recommendations'!D:D,"Must")</f>
        <v>0</v>
      </c>
      <c r="L110" s="44">
        <f>COUNTIFS('Recommendations'!F:F,"Phase4",'Recommendations'!D:D,"Should")</f>
        <v>0</v>
      </c>
      <c r="M110" s="44">
        <f>COUNTIFS('Recommendations'!F:F,"Phase4",'Recommendations'!D:D,"Could")</f>
        <v>0</v>
      </c>
      <c r="N110" s="44">
        <f>COUNTIFS('Recommendations'!F:F,"Phase4",'Recommendations'!D:D,"Won't")</f>
        <v>0</v>
      </c>
      <c r="O110" s="44">
        <f>COUNTIFS('Recommendations'!F:F,"Phase4",'Recommendations'!D:D,"Unassigned")</f>
        <v>0</v>
      </c>
    </row>
    <row r="111" spans="2:15" x14ac:dyDescent="0.35">
      <c r="B111" s="47" t="s">
        <v>1895</v>
      </c>
      <c r="C111" s="295" t="s">
        <v>19</v>
      </c>
      <c r="D111" s="295"/>
      <c r="E111" s="44">
        <f>COUNTIF('Recommendations'!F:F,"Phase5")-COUNTIFS('Recommendations'!F:F,"Phase5",'Recommendations'!G:G,"Risk Accepted")-COUNTIFS('Recommendations'!F:F,"Phase5",'Recommendations'!G:G,"N/A")</f>
        <v>0</v>
      </c>
      <c r="F111" s="44">
        <f>COUNTIFS('Recommendations'!F:F,"Phase5",'Recommendations'!L:L,"Resolved")</f>
        <v>0</v>
      </c>
      <c r="G111" s="296">
        <f t="shared" si="4"/>
        <v>0</v>
      </c>
      <c r="H111" s="296"/>
      <c r="J111" s="47" t="s">
        <v>1895</v>
      </c>
      <c r="K111" s="44">
        <f>COUNTIFS('Recommendations'!F:F,"Phase5",'Recommendations'!D:D,"Must")</f>
        <v>0</v>
      </c>
      <c r="L111" s="44">
        <f>COUNTIFS('Recommendations'!F:F,"Phase5",'Recommendations'!D:D,"Should")</f>
        <v>0</v>
      </c>
      <c r="M111" s="44">
        <f>COUNTIFS('Recommendations'!F:F,"Phase5",'Recommendations'!D:D,"Could")</f>
        <v>0</v>
      </c>
      <c r="N111" s="44">
        <f>COUNTIFS('Recommendations'!F:F,"Phase5",'Recommendations'!D:D,"Won't")</f>
        <v>0</v>
      </c>
      <c r="O111" s="44">
        <f>COUNTIFS('Recommendations'!F:F,"Phase5",'Recommendations'!D:D,"Unassigned")</f>
        <v>0</v>
      </c>
    </row>
    <row r="112" spans="2:15" x14ac:dyDescent="0.35">
      <c r="B112" s="47" t="s">
        <v>18</v>
      </c>
      <c r="C112" s="295" t="s">
        <v>19</v>
      </c>
      <c r="D112" s="295"/>
      <c r="E112" s="44">
        <f>COUNTIF('Recommendations'!F:F,"Pending")-COUNTIFS('Recommendations'!F:F,"Pending",'Recommendations'!G:G,"Risk Accepted")-COUNTIFS('Recommendations'!F:F,"Pending",'Recommendations'!G:G,"N/A")</f>
        <v>375</v>
      </c>
      <c r="F112" s="44">
        <f>COUNTIFS('Recommendations'!F:F,"Pending",'Recommendations'!L:L,"Resolved")</f>
        <v>0</v>
      </c>
      <c r="G112" s="296">
        <f t="shared" si="4"/>
        <v>0</v>
      </c>
      <c r="H112" s="296"/>
      <c r="J112" s="47" t="s">
        <v>18</v>
      </c>
      <c r="K112" s="44">
        <f>COUNTIFS('Recommendations'!F:F,"Pending",'Recommendations'!D:D,"Must")</f>
        <v>0</v>
      </c>
      <c r="L112" s="44">
        <f>COUNTIFS('Recommendations'!F:F,"Pending",'Recommendations'!D:D,"Should")</f>
        <v>0</v>
      </c>
      <c r="M112" s="44">
        <f>COUNTIFS('Recommendations'!F:F,"Pending",'Recommendations'!D:D,"Could")</f>
        <v>0</v>
      </c>
      <c r="N112" s="44">
        <f>COUNTIFS('Recommendations'!F:F,"Pending",'Recommendations'!D:D,"Won't")</f>
        <v>0</v>
      </c>
      <c r="O112" s="44">
        <f>COUNTIFS('Recommendations'!F:F,"Pending",'Recommendations'!D:D,"Unassigned")</f>
        <v>375</v>
      </c>
    </row>
    <row r="119" spans="2:24" ht="21" x14ac:dyDescent="0.5">
      <c r="B119" s="39" t="s">
        <v>1911</v>
      </c>
      <c r="P119" s="56" t="s">
        <v>1912</v>
      </c>
    </row>
    <row r="121" spans="2:24" ht="60" customHeight="1" x14ac:dyDescent="0.35">
      <c r="B121" s="297" t="s">
        <v>1913</v>
      </c>
      <c r="C121" s="290"/>
      <c r="D121" s="290"/>
      <c r="E121" s="290"/>
      <c r="F121" s="290"/>
      <c r="P121" s="297" t="s">
        <v>1914</v>
      </c>
      <c r="Q121" s="290"/>
      <c r="R121" s="290"/>
      <c r="S121" s="290"/>
      <c r="T121" s="290"/>
      <c r="U121" s="290"/>
      <c r="V121" s="290"/>
      <c r="W121" s="290"/>
    </row>
    <row r="123" spans="2:24" ht="30" customHeight="1" x14ac:dyDescent="0.35">
      <c r="P123" s="57" t="s">
        <v>1915</v>
      </c>
      <c r="Q123" s="58">
        <f>C16</f>
        <v>0</v>
      </c>
      <c r="R123" s="59"/>
      <c r="S123" s="58">
        <f>C69</f>
        <v>0</v>
      </c>
      <c r="T123" s="59"/>
      <c r="U123" s="58">
        <f>C70</f>
        <v>0</v>
      </c>
      <c r="V123" s="59"/>
      <c r="W123" s="58">
        <f>C71</f>
        <v>0</v>
      </c>
      <c r="X123" s="59"/>
    </row>
    <row r="124" spans="2:24" ht="35" customHeight="1" x14ac:dyDescent="0.35">
      <c r="P124" s="60" t="s">
        <v>1916</v>
      </c>
      <c r="Q124" s="60" t="s">
        <v>1917</v>
      </c>
      <c r="R124" s="60" t="s">
        <v>1918</v>
      </c>
      <c r="S124" s="60" t="s">
        <v>1919</v>
      </c>
      <c r="T124" s="60" t="s">
        <v>1920</v>
      </c>
      <c r="U124" s="60" t="s">
        <v>1921</v>
      </c>
      <c r="V124" s="60" t="s">
        <v>1922</v>
      </c>
      <c r="W124" s="60" t="s">
        <v>1923</v>
      </c>
      <c r="X124" s="60" t="s">
        <v>1924</v>
      </c>
    </row>
    <row r="125" spans="2:24" x14ac:dyDescent="0.35">
      <c r="O125" s="61" t="s">
        <v>1925</v>
      </c>
      <c r="P125" s="62" t="s">
        <v>1926</v>
      </c>
      <c r="Q125" s="63">
        <v>0</v>
      </c>
      <c r="R125" s="64">
        <f>IF(Dashboard!F16&gt;0, Q125/Dashboard!F16, "")</f>
        <v>0</v>
      </c>
      <c r="S125" s="63">
        <v>0</v>
      </c>
      <c r="T125" s="64" t="str">
        <f>IF(AND(NOT(ISBLANK(S125)),Dashboard!F69&gt;0), S125/Dashboard!F69, "")</f>
        <v/>
      </c>
      <c r="U125" s="63">
        <v>0</v>
      </c>
      <c r="V125" s="64" t="str">
        <f>IF(AND(NOT(ISBLANK(U125)),Dashboard!F70&gt;0), U125/Dashboard!F70, "")</f>
        <v/>
      </c>
      <c r="W125" s="63">
        <v>0</v>
      </c>
      <c r="X125" s="64" t="str">
        <f>IF(AND(NOT(ISBLANK(W125)),Dashboard!F71&gt;0), W125/Dashboard!F71, "")</f>
        <v/>
      </c>
    </row>
    <row r="126" spans="2:24" x14ac:dyDescent="0.35">
      <c r="P126" s="55"/>
      <c r="Q126" s="42"/>
      <c r="R126" s="45" t="str">
        <f>IF(AND(NOT(ISBLANK(Q126)),Dashboard!F16&gt;0), Q126/Dashboard!F16, "")</f>
        <v/>
      </c>
      <c r="S126" s="42"/>
      <c r="T126" s="45" t="str">
        <f>IF(AND(NOT(ISBLANK(S126)),Dashboard!F69&gt;0), S126/Dashboard!F69, "")</f>
        <v/>
      </c>
      <c r="U126" s="42"/>
      <c r="V126" s="45" t="str">
        <f>IF(AND(NOT(ISBLANK(U126)),Dashboard!F70&gt;0), U126/Dashboard!F70, "")</f>
        <v/>
      </c>
      <c r="W126" s="42"/>
      <c r="X126" s="45" t="str">
        <f>IF(AND(NOT(ISBLANK(W126)),Dashboard!F71&gt;0), W126/Dashboard!F71, "")</f>
        <v/>
      </c>
    </row>
    <row r="127" spans="2:24" x14ac:dyDescent="0.35">
      <c r="P127" s="55"/>
      <c r="Q127" s="42"/>
      <c r="R127" s="45" t="str">
        <f>IF(AND(NOT(ISBLANK(Q127)),Dashboard!F16&gt;0), Q127/Dashboard!F16, "")</f>
        <v/>
      </c>
      <c r="S127" s="42"/>
      <c r="T127" s="45" t="str">
        <f>IF(AND(NOT(ISBLANK(S127)),Dashboard!F69&gt;0), S127/Dashboard!F69, "")</f>
        <v/>
      </c>
      <c r="U127" s="42"/>
      <c r="V127" s="45" t="str">
        <f>IF(AND(NOT(ISBLANK(U127)),Dashboard!F70&gt;0), U127/Dashboard!F70, "")</f>
        <v/>
      </c>
      <c r="W127" s="42"/>
      <c r="X127" s="45" t="str">
        <f>IF(AND(NOT(ISBLANK(W127)),Dashboard!F71&gt;0), W127/Dashboard!F71, "")</f>
        <v/>
      </c>
    </row>
    <row r="128" spans="2:24" x14ac:dyDescent="0.35">
      <c r="P128" s="55"/>
      <c r="Q128" s="42"/>
      <c r="R128" s="45" t="str">
        <f>IF(AND(NOT(ISBLANK(Q128)),Dashboard!F16&gt;0), Q128/Dashboard!F16, "")</f>
        <v/>
      </c>
      <c r="S128" s="42"/>
      <c r="T128" s="45" t="str">
        <f>IF(AND(NOT(ISBLANK(S128)),Dashboard!F69&gt;0), S128/Dashboard!F69, "")</f>
        <v/>
      </c>
      <c r="U128" s="42"/>
      <c r="V128" s="45" t="str">
        <f>IF(AND(NOT(ISBLANK(U128)),Dashboard!F70&gt;0), U128/Dashboard!F70, "")</f>
        <v/>
      </c>
      <c r="W128" s="42"/>
      <c r="X128" s="45" t="str">
        <f>IF(AND(NOT(ISBLANK(W128)),Dashboard!F71&gt;0), W128/Dashboard!F71, "")</f>
        <v/>
      </c>
    </row>
    <row r="129" spans="16:24" x14ac:dyDescent="0.35">
      <c r="P129" s="55"/>
      <c r="Q129" s="42"/>
      <c r="R129" s="45" t="str">
        <f>IF(AND(NOT(ISBLANK(Q129)),Dashboard!F16&gt;0), Q129/Dashboard!F16, "")</f>
        <v/>
      </c>
      <c r="S129" s="42"/>
      <c r="T129" s="45" t="str">
        <f>IF(AND(NOT(ISBLANK(S129)),Dashboard!F69&gt;0), S129/Dashboard!F69, "")</f>
        <v/>
      </c>
      <c r="U129" s="42"/>
      <c r="V129" s="45" t="str">
        <f>IF(AND(NOT(ISBLANK(U129)),Dashboard!F70&gt;0), U129/Dashboard!F70, "")</f>
        <v/>
      </c>
      <c r="W129" s="42"/>
      <c r="X129" s="45" t="str">
        <f>IF(AND(NOT(ISBLANK(W129)),Dashboard!F71&gt;0), W129/Dashboard!F71, "")</f>
        <v/>
      </c>
    </row>
    <row r="130" spans="16:24" x14ac:dyDescent="0.35">
      <c r="P130" s="55"/>
      <c r="Q130" s="42"/>
      <c r="R130" s="45" t="str">
        <f>IF(AND(NOT(ISBLANK(Q130)),Dashboard!F16&gt;0), Q130/Dashboard!F16, "")</f>
        <v/>
      </c>
      <c r="S130" s="42"/>
      <c r="T130" s="45" t="str">
        <f>IF(AND(NOT(ISBLANK(S130)),Dashboard!F69&gt;0), S130/Dashboard!F69, "")</f>
        <v/>
      </c>
      <c r="U130" s="42"/>
      <c r="V130" s="45" t="str">
        <f>IF(AND(NOT(ISBLANK(U130)),Dashboard!F70&gt;0), U130/Dashboard!F70, "")</f>
        <v/>
      </c>
      <c r="W130" s="42"/>
      <c r="X130" s="45" t="str">
        <f>IF(AND(NOT(ISBLANK(W130)),Dashboard!F71&gt;0), W130/Dashboard!F71, "")</f>
        <v/>
      </c>
    </row>
    <row r="131" spans="16:24" x14ac:dyDescent="0.35">
      <c r="P131" s="55"/>
      <c r="Q131" s="42"/>
      <c r="R131" s="45" t="str">
        <f>IF(AND(NOT(ISBLANK(Q131)),Dashboard!F16&gt;0), Q131/Dashboard!F16, "")</f>
        <v/>
      </c>
      <c r="S131" s="42"/>
      <c r="T131" s="45" t="str">
        <f>IF(AND(NOT(ISBLANK(S131)),Dashboard!F69&gt;0), S131/Dashboard!F69, "")</f>
        <v/>
      </c>
      <c r="U131" s="42"/>
      <c r="V131" s="45" t="str">
        <f>IF(AND(NOT(ISBLANK(U131)),Dashboard!F70&gt;0), U131/Dashboard!F70, "")</f>
        <v/>
      </c>
      <c r="W131" s="42"/>
      <c r="X131" s="45" t="str">
        <f>IF(AND(NOT(ISBLANK(W131)),Dashboard!F71&gt;0), W131/Dashboard!F71, "")</f>
        <v/>
      </c>
    </row>
    <row r="132" spans="16:24" x14ac:dyDescent="0.35">
      <c r="P132" s="55"/>
      <c r="Q132" s="42"/>
      <c r="R132" s="45" t="str">
        <f>IF(AND(NOT(ISBLANK(Q132)),Dashboard!F16&gt;0), Q132/Dashboard!F16, "")</f>
        <v/>
      </c>
      <c r="S132" s="42"/>
      <c r="T132" s="45" t="str">
        <f>IF(AND(NOT(ISBLANK(S132)),Dashboard!F69&gt;0), S132/Dashboard!F69, "")</f>
        <v/>
      </c>
      <c r="U132" s="42"/>
      <c r="V132" s="45" t="str">
        <f>IF(AND(NOT(ISBLANK(U132)),Dashboard!F70&gt;0), U132/Dashboard!F70, "")</f>
        <v/>
      </c>
      <c r="W132" s="42"/>
      <c r="X132" s="45" t="str">
        <f>IF(AND(NOT(ISBLANK(W132)),Dashboard!F71&gt;0), W132/Dashboard!F71, "")</f>
        <v/>
      </c>
    </row>
    <row r="133" spans="16:24" x14ac:dyDescent="0.35">
      <c r="P133" s="55"/>
      <c r="Q133" s="42"/>
      <c r="R133" s="45" t="str">
        <f>IF(AND(NOT(ISBLANK(Q133)),Dashboard!F16&gt;0), Q133/Dashboard!F16, "")</f>
        <v/>
      </c>
      <c r="S133" s="42"/>
      <c r="T133" s="45" t="str">
        <f>IF(AND(NOT(ISBLANK(S133)),Dashboard!F69&gt;0), S133/Dashboard!F69, "")</f>
        <v/>
      </c>
      <c r="U133" s="42"/>
      <c r="V133" s="45" t="str">
        <f>IF(AND(NOT(ISBLANK(U133)),Dashboard!F70&gt;0), U133/Dashboard!F70, "")</f>
        <v/>
      </c>
      <c r="W133" s="42"/>
      <c r="X133" s="45" t="str">
        <f>IF(AND(NOT(ISBLANK(W133)),Dashboard!F71&gt;0), W133/Dashboard!F71, "")</f>
        <v/>
      </c>
    </row>
    <row r="134" spans="16:24" x14ac:dyDescent="0.35">
      <c r="P134" s="55"/>
      <c r="Q134" s="42"/>
      <c r="R134" s="45" t="str">
        <f>IF(AND(NOT(ISBLANK(Q134)),Dashboard!F16&gt;0), Q134/Dashboard!F16, "")</f>
        <v/>
      </c>
      <c r="S134" s="42"/>
      <c r="T134" s="45" t="str">
        <f>IF(AND(NOT(ISBLANK(S134)),Dashboard!F69&gt;0), S134/Dashboard!F69, "")</f>
        <v/>
      </c>
      <c r="U134" s="42"/>
      <c r="V134" s="45" t="str">
        <f>IF(AND(NOT(ISBLANK(U134)),Dashboard!F70&gt;0), U134/Dashboard!F70, "")</f>
        <v/>
      </c>
      <c r="W134" s="42"/>
      <c r="X134" s="45" t="str">
        <f>IF(AND(NOT(ISBLANK(W134)),Dashboard!F71&gt;0), W134/Dashboard!F71, "")</f>
        <v/>
      </c>
    </row>
    <row r="135" spans="16:24" x14ac:dyDescent="0.35">
      <c r="P135" s="55"/>
      <c r="Q135" s="42"/>
      <c r="R135" s="45" t="str">
        <f>IF(AND(NOT(ISBLANK(Q135)),Dashboard!F16&gt;0), Q135/Dashboard!F16, "")</f>
        <v/>
      </c>
      <c r="S135" s="42"/>
      <c r="T135" s="45" t="str">
        <f>IF(AND(NOT(ISBLANK(S135)),Dashboard!F69&gt;0), S135/Dashboard!F69, "")</f>
        <v/>
      </c>
      <c r="U135" s="42"/>
      <c r="V135" s="45" t="str">
        <f>IF(AND(NOT(ISBLANK(U135)),Dashboard!F70&gt;0), U135/Dashboard!F70, "")</f>
        <v/>
      </c>
      <c r="W135" s="42"/>
      <c r="X135" s="45" t="str">
        <f>IF(AND(NOT(ISBLANK(W135)),Dashboard!F71&gt;0), W135/Dashboard!F71, "")</f>
        <v/>
      </c>
    </row>
    <row r="136" spans="16:24" x14ac:dyDescent="0.35">
      <c r="P136" s="55"/>
      <c r="Q136" s="42"/>
      <c r="R136" s="45" t="str">
        <f>IF(AND(NOT(ISBLANK(Q136)),Dashboard!F16&gt;0), Q136/Dashboard!F16, "")</f>
        <v/>
      </c>
      <c r="S136" s="42"/>
      <c r="T136" s="45" t="str">
        <f>IF(AND(NOT(ISBLANK(S136)),Dashboard!F69&gt;0), S136/Dashboard!F69, "")</f>
        <v/>
      </c>
      <c r="U136" s="42"/>
      <c r="V136" s="45" t="str">
        <f>IF(AND(NOT(ISBLANK(U136)),Dashboard!F70&gt;0), U136/Dashboard!F70, "")</f>
        <v/>
      </c>
      <c r="W136" s="42"/>
      <c r="X136" s="45" t="str">
        <f>IF(AND(NOT(ISBLANK(W136)),Dashboard!F71&gt;0), W136/Dashboard!F71, "")</f>
        <v/>
      </c>
    </row>
    <row r="137" spans="16:24" x14ac:dyDescent="0.35">
      <c r="P137" s="55"/>
      <c r="Q137" s="42"/>
      <c r="R137" s="45" t="str">
        <f>IF(AND(NOT(ISBLANK(Q137)),Dashboard!F16&gt;0), Q137/Dashboard!F16, "")</f>
        <v/>
      </c>
      <c r="S137" s="42"/>
      <c r="T137" s="45" t="str">
        <f>IF(AND(NOT(ISBLANK(S137)),Dashboard!F69&gt;0), S137/Dashboard!F69, "")</f>
        <v/>
      </c>
      <c r="U137" s="42"/>
      <c r="V137" s="45" t="str">
        <f>IF(AND(NOT(ISBLANK(U137)),Dashboard!F70&gt;0), U137/Dashboard!F70, "")</f>
        <v/>
      </c>
      <c r="W137" s="42"/>
      <c r="X137" s="45" t="str">
        <f>IF(AND(NOT(ISBLANK(W137)),Dashboard!F71&gt;0), W137/Dashboard!F71, "")</f>
        <v/>
      </c>
    </row>
    <row r="138" spans="16:24" x14ac:dyDescent="0.35">
      <c r="P138" s="55"/>
      <c r="Q138" s="42"/>
      <c r="R138" s="45" t="str">
        <f>IF(AND(NOT(ISBLANK(Q138)),Dashboard!F16&gt;0), Q138/Dashboard!F16, "")</f>
        <v/>
      </c>
      <c r="S138" s="42"/>
      <c r="T138" s="45" t="str">
        <f>IF(AND(NOT(ISBLANK(S138)),Dashboard!F69&gt;0), S138/Dashboard!F69, "")</f>
        <v/>
      </c>
      <c r="U138" s="42"/>
      <c r="V138" s="45" t="str">
        <f>IF(AND(NOT(ISBLANK(U138)),Dashboard!F70&gt;0), U138/Dashboard!F70, "")</f>
        <v/>
      </c>
      <c r="W138" s="42"/>
      <c r="X138" s="45" t="str">
        <f>IF(AND(NOT(ISBLANK(W138)),Dashboard!F71&gt;0), W138/Dashboard!F71, "")</f>
        <v/>
      </c>
    </row>
    <row r="139" spans="16:24" x14ac:dyDescent="0.35">
      <c r="P139" s="55"/>
      <c r="Q139" s="42"/>
      <c r="R139" s="45" t="str">
        <f>IF(AND(NOT(ISBLANK(Q139)),Dashboard!F16&gt;0), Q139/Dashboard!F16, "")</f>
        <v/>
      </c>
      <c r="S139" s="42"/>
      <c r="T139" s="45" t="str">
        <f>IF(AND(NOT(ISBLANK(S139)),Dashboard!F69&gt;0), S139/Dashboard!F69, "")</f>
        <v/>
      </c>
      <c r="U139" s="42"/>
      <c r="V139" s="45" t="str">
        <f>IF(AND(NOT(ISBLANK(U139)),Dashboard!F70&gt;0), U139/Dashboard!F70, "")</f>
        <v/>
      </c>
      <c r="W139" s="42"/>
      <c r="X139" s="45" t="str">
        <f>IF(AND(NOT(ISBLANK(W139)),Dashboard!F71&gt;0), W139/Dashboard!F71, "")</f>
        <v/>
      </c>
    </row>
    <row r="140" spans="16:24" x14ac:dyDescent="0.35">
      <c r="P140" s="55"/>
      <c r="Q140" s="42"/>
      <c r="R140" s="45" t="str">
        <f>IF(AND(NOT(ISBLANK(Q140)),Dashboard!F16&gt;0), Q140/Dashboard!F16, "")</f>
        <v/>
      </c>
      <c r="S140" s="42"/>
      <c r="T140" s="45" t="str">
        <f>IF(AND(NOT(ISBLANK(S140)),Dashboard!F69&gt;0), S140/Dashboard!F69, "")</f>
        <v/>
      </c>
      <c r="U140" s="42"/>
      <c r="V140" s="45" t="str">
        <f>IF(AND(NOT(ISBLANK(U140)),Dashboard!F70&gt;0), U140/Dashboard!F70, "")</f>
        <v/>
      </c>
      <c r="W140" s="42"/>
      <c r="X140" s="45" t="str">
        <f>IF(AND(NOT(ISBLANK(W140)),Dashboard!F71&gt;0), W140/Dashboard!F71, "")</f>
        <v/>
      </c>
    </row>
    <row r="141" spans="16:24" x14ac:dyDescent="0.35">
      <c r="P141" s="55"/>
      <c r="Q141" s="42"/>
      <c r="R141" s="45" t="str">
        <f>IF(AND(NOT(ISBLANK(Q141)),Dashboard!F16&gt;0), Q141/Dashboard!F16, "")</f>
        <v/>
      </c>
      <c r="S141" s="42"/>
      <c r="T141" s="45" t="str">
        <f>IF(AND(NOT(ISBLANK(S141)),Dashboard!F69&gt;0), S141/Dashboard!F69, "")</f>
        <v/>
      </c>
      <c r="U141" s="42"/>
      <c r="V141" s="45" t="str">
        <f>IF(AND(NOT(ISBLANK(U141)),Dashboard!F70&gt;0), U141/Dashboard!F70, "")</f>
        <v/>
      </c>
      <c r="W141" s="42"/>
      <c r="X141" s="45" t="str">
        <f>IF(AND(NOT(ISBLANK(W141)),Dashboard!F71&gt;0), W141/Dashboard!F71, "")</f>
        <v/>
      </c>
    </row>
    <row r="142" spans="16:24" x14ac:dyDescent="0.35">
      <c r="P142" s="55"/>
      <c r="Q142" s="42"/>
      <c r="R142" s="45" t="str">
        <f>IF(AND(NOT(ISBLANK(Q142)),Dashboard!F16&gt;0), Q142/Dashboard!F16, "")</f>
        <v/>
      </c>
      <c r="S142" s="42"/>
      <c r="T142" s="45" t="str">
        <f>IF(AND(NOT(ISBLANK(S142)),Dashboard!F69&gt;0), S142/Dashboard!F69, "")</f>
        <v/>
      </c>
      <c r="U142" s="42"/>
      <c r="V142" s="45" t="str">
        <f>IF(AND(NOT(ISBLANK(U142)),Dashboard!F70&gt;0), U142/Dashboard!F70, "")</f>
        <v/>
      </c>
      <c r="W142" s="42"/>
      <c r="X142" s="45" t="str">
        <f>IF(AND(NOT(ISBLANK(W142)),Dashboard!F71&gt;0), W142/Dashboard!F71, "")</f>
        <v/>
      </c>
    </row>
    <row r="143" spans="16:24" x14ac:dyDescent="0.35">
      <c r="P143" s="55"/>
      <c r="Q143" s="42"/>
      <c r="R143" s="45" t="str">
        <f>IF(AND(NOT(ISBLANK(Q143)),Dashboard!F16&gt;0), Q143/Dashboard!F16, "")</f>
        <v/>
      </c>
      <c r="S143" s="42"/>
      <c r="T143" s="45" t="str">
        <f>IF(AND(NOT(ISBLANK(S143)),Dashboard!F69&gt;0), S143/Dashboard!F69, "")</f>
        <v/>
      </c>
      <c r="U143" s="42"/>
      <c r="V143" s="45" t="str">
        <f>IF(AND(NOT(ISBLANK(U143)),Dashboard!F70&gt;0), U143/Dashboard!F70, "")</f>
        <v/>
      </c>
      <c r="W143" s="42"/>
      <c r="X143" s="45" t="str">
        <f>IF(AND(NOT(ISBLANK(W143)),Dashboard!F71&gt;0), W143/Dashboard!F71, "")</f>
        <v/>
      </c>
    </row>
    <row r="144" spans="16:24" x14ac:dyDescent="0.35">
      <c r="P144" s="55"/>
      <c r="Q144" s="42"/>
      <c r="R144" s="45" t="str">
        <f>IF(AND(NOT(ISBLANK(Q144)),Dashboard!F16&gt;0), Q144/Dashboard!F16, "")</f>
        <v/>
      </c>
      <c r="S144" s="42"/>
      <c r="T144" s="45" t="str">
        <f>IF(AND(NOT(ISBLANK(S144)),Dashboard!F69&gt;0), S144/Dashboard!F69, "")</f>
        <v/>
      </c>
      <c r="U144" s="42"/>
      <c r="V144" s="45" t="str">
        <f>IF(AND(NOT(ISBLANK(U144)),Dashboard!F70&gt;0), U144/Dashboard!F70, "")</f>
        <v/>
      </c>
      <c r="W144" s="42"/>
      <c r="X144" s="45" t="str">
        <f>IF(AND(NOT(ISBLANK(W144)),Dashboard!F71&gt;0), W144/Dashboard!F71, "")</f>
        <v/>
      </c>
    </row>
    <row r="145" spans="2:24" x14ac:dyDescent="0.35">
      <c r="P145" s="55"/>
      <c r="Q145" s="42"/>
      <c r="R145" s="45" t="str">
        <f>IF(AND(NOT(ISBLANK(Q145)),Dashboard!F16&gt;0), Q145/Dashboard!F16, "")</f>
        <v/>
      </c>
      <c r="S145" s="42"/>
      <c r="T145" s="45" t="str">
        <f>IF(AND(NOT(ISBLANK(S145)),Dashboard!F69&gt;0), S145/Dashboard!F69, "")</f>
        <v/>
      </c>
      <c r="U145" s="42"/>
      <c r="V145" s="45" t="str">
        <f>IF(AND(NOT(ISBLANK(U145)),Dashboard!F70&gt;0), U145/Dashboard!F70, "")</f>
        <v/>
      </c>
      <c r="W145" s="42"/>
      <c r="X145" s="45" t="str">
        <f>IF(AND(NOT(ISBLANK(W145)),Dashboard!F71&gt;0), W145/Dashboard!F71, "")</f>
        <v/>
      </c>
    </row>
    <row r="146" spans="2:24" x14ac:dyDescent="0.35">
      <c r="P146" s="55"/>
      <c r="Q146" s="42"/>
      <c r="R146" s="45" t="str">
        <f>IF(AND(NOT(ISBLANK(Q146)),Dashboard!F16&gt;0), Q146/Dashboard!F16, "")</f>
        <v/>
      </c>
      <c r="S146" s="42"/>
      <c r="T146" s="45" t="str">
        <f>IF(AND(NOT(ISBLANK(S146)),Dashboard!F69&gt;0), S146/Dashboard!F69, "")</f>
        <v/>
      </c>
      <c r="U146" s="42"/>
      <c r="V146" s="45" t="str">
        <f>IF(AND(NOT(ISBLANK(U146)),Dashboard!F70&gt;0), U146/Dashboard!F70, "")</f>
        <v/>
      </c>
      <c r="W146" s="42"/>
      <c r="X146" s="45" t="str">
        <f>IF(AND(NOT(ISBLANK(W146)),Dashboard!F71&gt;0), W146/Dashboard!F71, "")</f>
        <v/>
      </c>
    </row>
    <row r="147" spans="2:24" x14ac:dyDescent="0.35">
      <c r="P147" s="55"/>
      <c r="Q147" s="42"/>
      <c r="R147" s="45" t="str">
        <f>IF(AND(NOT(ISBLANK(Q147)),Dashboard!F16&gt;0), Q147/Dashboard!F16, "")</f>
        <v/>
      </c>
      <c r="S147" s="42"/>
      <c r="T147" s="45" t="str">
        <f>IF(AND(NOT(ISBLANK(S147)),Dashboard!F69&gt;0), S147/Dashboard!F69, "")</f>
        <v/>
      </c>
      <c r="U147" s="42"/>
      <c r="V147" s="45" t="str">
        <f>IF(AND(NOT(ISBLANK(U147)),Dashboard!F70&gt;0), U147/Dashboard!F70, "")</f>
        <v/>
      </c>
      <c r="W147" s="42"/>
      <c r="X147" s="45" t="str">
        <f>IF(AND(NOT(ISBLANK(W147)),Dashboard!F71&gt;0), W147/Dashboard!F71, "")</f>
        <v/>
      </c>
    </row>
    <row r="148" spans="2:24" x14ac:dyDescent="0.35">
      <c r="P148" s="55"/>
      <c r="Q148" s="42"/>
      <c r="R148" s="45" t="str">
        <f>IF(AND(NOT(ISBLANK(Q148)),Dashboard!F16&gt;0), Q148/Dashboard!F16, "")</f>
        <v/>
      </c>
      <c r="S148" s="42"/>
      <c r="T148" s="45" t="str">
        <f>IF(AND(NOT(ISBLANK(S148)),Dashboard!F69&gt;0), S148/Dashboard!F69, "")</f>
        <v/>
      </c>
      <c r="U148" s="42"/>
      <c r="V148" s="45" t="str">
        <f>IF(AND(NOT(ISBLANK(U148)),Dashboard!F70&gt;0), U148/Dashboard!F70, "")</f>
        <v/>
      </c>
      <c r="W148" s="42"/>
      <c r="X148" s="45" t="str">
        <f>IF(AND(NOT(ISBLANK(W148)),Dashboard!F71&gt;0), W148/Dashboard!F71, "")</f>
        <v/>
      </c>
    </row>
    <row r="149" spans="2:24" x14ac:dyDescent="0.35">
      <c r="P149" s="55"/>
      <c r="Q149" s="42"/>
      <c r="R149" s="45" t="str">
        <f>IF(AND(NOT(ISBLANK(Q149)),Dashboard!F16&gt;0), Q149/Dashboard!F16, "")</f>
        <v/>
      </c>
      <c r="S149" s="42"/>
      <c r="T149" s="45" t="str">
        <f>IF(AND(NOT(ISBLANK(S149)),Dashboard!F69&gt;0), S149/Dashboard!F69, "")</f>
        <v/>
      </c>
      <c r="U149" s="42"/>
      <c r="V149" s="45" t="str">
        <f>IF(AND(NOT(ISBLANK(U149)),Dashboard!F70&gt;0), U149/Dashboard!F70, "")</f>
        <v/>
      </c>
      <c r="W149" s="42"/>
      <c r="X149" s="45" t="str">
        <f>IF(AND(NOT(ISBLANK(W149)),Dashboard!F71&gt;0), W149/Dashboard!F71, "")</f>
        <v/>
      </c>
    </row>
    <row r="150" spans="2:24" x14ac:dyDescent="0.35">
      <c r="P150" s="55"/>
      <c r="Q150" s="42"/>
      <c r="R150" s="45" t="str">
        <f>IF(AND(NOT(ISBLANK(Q150)),Dashboard!F16&gt;0), Q150/Dashboard!F16, "")</f>
        <v/>
      </c>
      <c r="S150" s="42"/>
      <c r="T150" s="45" t="str">
        <f>IF(AND(NOT(ISBLANK(S150)),Dashboard!F69&gt;0), S150/Dashboard!F69, "")</f>
        <v/>
      </c>
      <c r="U150" s="42"/>
      <c r="V150" s="45" t="str">
        <f>IF(AND(NOT(ISBLANK(U150)),Dashboard!F70&gt;0), U150/Dashboard!F70, "")</f>
        <v/>
      </c>
      <c r="W150" s="42"/>
      <c r="X150" s="45" t="str">
        <f>IF(AND(NOT(ISBLANK(W150)),Dashboard!F71&gt;0), W150/Dashboard!F71, "")</f>
        <v/>
      </c>
    </row>
    <row r="151" spans="2:24" x14ac:dyDescent="0.35">
      <c r="P151" s="55"/>
      <c r="Q151" s="42"/>
      <c r="R151" s="45" t="str">
        <f>IF(AND(NOT(ISBLANK(Q151)),Dashboard!F16&gt;0), Q151/Dashboard!F16, "")</f>
        <v/>
      </c>
      <c r="S151" s="42"/>
      <c r="T151" s="45" t="str">
        <f>IF(AND(NOT(ISBLANK(S151)),Dashboard!F69&gt;0), S151/Dashboard!F69, "")</f>
        <v/>
      </c>
      <c r="U151" s="42"/>
      <c r="V151" s="45" t="str">
        <f>IF(AND(NOT(ISBLANK(U151)),Dashboard!F70&gt;0), U151/Dashboard!F70, "")</f>
        <v/>
      </c>
      <c r="W151" s="42"/>
      <c r="X151" s="45" t="str">
        <f>IF(AND(NOT(ISBLANK(W151)),Dashboard!F71&gt;0), W151/Dashboard!F71, "")</f>
        <v/>
      </c>
    </row>
    <row r="152" spans="2:24" x14ac:dyDescent="0.35">
      <c r="P152" s="55"/>
      <c r="Q152" s="42"/>
      <c r="R152" s="45" t="str">
        <f>IF(AND(NOT(ISBLANK(Q152)),Dashboard!F16&gt;0), Q152/Dashboard!F16, "")</f>
        <v/>
      </c>
      <c r="S152" s="42"/>
      <c r="T152" s="45" t="str">
        <f>IF(AND(NOT(ISBLANK(S152)),Dashboard!F69&gt;0), S152/Dashboard!F69, "")</f>
        <v/>
      </c>
      <c r="U152" s="42"/>
      <c r="V152" s="45" t="str">
        <f>IF(AND(NOT(ISBLANK(U152)),Dashboard!F70&gt;0), U152/Dashboard!F70, "")</f>
        <v/>
      </c>
      <c r="W152" s="42"/>
      <c r="X152" s="45" t="str">
        <f>IF(AND(NOT(ISBLANK(W152)),Dashboard!F71&gt;0), W152/Dashboard!F71, "")</f>
        <v/>
      </c>
    </row>
    <row r="153" spans="2:24" x14ac:dyDescent="0.35">
      <c r="P153" s="55"/>
      <c r="Q153" s="42"/>
      <c r="R153" s="45" t="str">
        <f>IF(AND(NOT(ISBLANK(Q153)),Dashboard!F16&gt;0), Q153/Dashboard!F16, "")</f>
        <v/>
      </c>
      <c r="S153" s="42"/>
      <c r="T153" s="45" t="str">
        <f>IF(AND(NOT(ISBLANK(S153)),Dashboard!F69&gt;0), S153/Dashboard!F69, "")</f>
        <v/>
      </c>
      <c r="U153" s="42"/>
      <c r="V153" s="45" t="str">
        <f>IF(AND(NOT(ISBLANK(U153)),Dashboard!F70&gt;0), U153/Dashboard!F70, "")</f>
        <v/>
      </c>
      <c r="W153" s="42"/>
      <c r="X153" s="45" t="str">
        <f>IF(AND(NOT(ISBLANK(W153)),Dashboard!F71&gt;0), W153/Dashboard!F71, "")</f>
        <v/>
      </c>
    </row>
    <row r="154" spans="2:24" x14ac:dyDescent="0.35">
      <c r="P154" s="55"/>
      <c r="Q154" s="42"/>
      <c r="R154" s="45" t="str">
        <f>IF(AND(NOT(ISBLANK(Q154)),Dashboard!F16&gt;0), Q154/Dashboard!F16, "")</f>
        <v/>
      </c>
      <c r="S154" s="42"/>
      <c r="T154" s="45" t="str">
        <f>IF(AND(NOT(ISBLANK(S154)),Dashboard!F69&gt;0), S154/Dashboard!F69, "")</f>
        <v/>
      </c>
      <c r="U154" s="42"/>
      <c r="V154" s="45" t="str">
        <f>IF(AND(NOT(ISBLANK(U154)),Dashboard!F70&gt;0), U154/Dashboard!F70, "")</f>
        <v/>
      </c>
      <c r="W154" s="42"/>
      <c r="X154" s="45" t="str">
        <f>IF(AND(NOT(ISBLANK(W154)),Dashboard!F71&gt;0), W154/Dashboard!F71, "")</f>
        <v/>
      </c>
    </row>
    <row r="155" spans="2:24" x14ac:dyDescent="0.35">
      <c r="P155" s="55"/>
      <c r="Q155" s="42"/>
      <c r="R155" s="45" t="str">
        <f>IF(AND(NOT(ISBLANK(Q155)),Dashboard!F16&gt;0), Q155/Dashboard!F16, "")</f>
        <v/>
      </c>
      <c r="S155" s="42"/>
      <c r="T155" s="45" t="str">
        <f>IF(AND(NOT(ISBLANK(S155)),Dashboard!F69&gt;0), S155/Dashboard!F69, "")</f>
        <v/>
      </c>
      <c r="U155" s="42"/>
      <c r="V155" s="45" t="str">
        <f>IF(AND(NOT(ISBLANK(U155)),Dashboard!F70&gt;0), U155/Dashboard!F70, "")</f>
        <v/>
      </c>
      <c r="W155" s="42"/>
      <c r="X155" s="45" t="str">
        <f>IF(AND(NOT(ISBLANK(W155)),Dashboard!F71&gt;0), W155/Dashboard!F71, "")</f>
        <v/>
      </c>
    </row>
    <row r="160" spans="2:24" ht="21" x14ac:dyDescent="0.5">
      <c r="B160" s="39" t="s">
        <v>1927</v>
      </c>
      <c r="P160" s="56" t="s">
        <v>1928</v>
      </c>
    </row>
    <row r="162" spans="2:22" ht="45" customHeight="1" x14ac:dyDescent="0.35">
      <c r="B162" s="297" t="s">
        <v>1929</v>
      </c>
      <c r="C162" s="290"/>
      <c r="D162" s="290"/>
      <c r="E162" s="290"/>
      <c r="F162" s="290"/>
      <c r="P162" s="297" t="s">
        <v>1930</v>
      </c>
      <c r="Q162" s="290"/>
      <c r="R162" s="290"/>
      <c r="S162" s="290"/>
      <c r="T162" s="290"/>
      <c r="U162" s="290"/>
    </row>
    <row r="163" spans="2:22" ht="35" customHeight="1" x14ac:dyDescent="0.35">
      <c r="P163" s="294" t="s">
        <v>1931</v>
      </c>
      <c r="Q163" s="294"/>
      <c r="R163" s="294" t="s">
        <v>1932</v>
      </c>
      <c r="S163" s="294"/>
      <c r="T163" s="294"/>
    </row>
    <row r="164" spans="2:22" ht="30" customHeight="1" x14ac:dyDescent="0.35">
      <c r="P164" s="298">
        <v>0</v>
      </c>
      <c r="Q164" s="299"/>
      <c r="R164" s="300" t="s">
        <v>1933</v>
      </c>
      <c r="S164" s="301"/>
      <c r="T164" s="301"/>
    </row>
    <row r="167" spans="2:22" ht="25" customHeight="1" x14ac:dyDescent="0.35">
      <c r="P167" s="65" t="s">
        <v>1916</v>
      </c>
      <c r="Q167" s="65" t="s">
        <v>1934</v>
      </c>
      <c r="R167" s="65" t="s">
        <v>1935</v>
      </c>
      <c r="S167" s="302" t="s">
        <v>7</v>
      </c>
      <c r="T167" s="302"/>
      <c r="U167" s="302"/>
      <c r="V167" s="290"/>
    </row>
    <row r="168" spans="2:22" ht="20" customHeight="1" x14ac:dyDescent="0.35">
      <c r="P168" s="67"/>
      <c r="Q168" s="68"/>
      <c r="R168" s="69" t="str">
        <f>IF(AND(NOT(ISBLANK(Q168)), Dashboard!$P164&gt;0), Q168/Dashboard!$P164, "")</f>
        <v/>
      </c>
      <c r="S168" s="303"/>
      <c r="T168" s="304"/>
      <c r="U168" s="304"/>
      <c r="V168" s="304"/>
    </row>
    <row r="169" spans="2:22" ht="20" customHeight="1" x14ac:dyDescent="0.35">
      <c r="P169" s="67"/>
      <c r="Q169" s="68"/>
      <c r="R169" s="69" t="str">
        <f>IF(AND(NOT(ISBLANK(Q169)), Dashboard!$P164&gt;0), Q169/Dashboard!$P164, "")</f>
        <v/>
      </c>
      <c r="S169" s="303"/>
      <c r="T169" s="304"/>
      <c r="U169" s="304"/>
      <c r="V169" s="304"/>
    </row>
    <row r="170" spans="2:22" ht="20" customHeight="1" x14ac:dyDescent="0.35">
      <c r="P170" s="67"/>
      <c r="Q170" s="68"/>
      <c r="R170" s="69" t="str">
        <f>IF(AND(NOT(ISBLANK(Q170)), Dashboard!$P164&gt;0), Q170/Dashboard!$P164, "")</f>
        <v/>
      </c>
      <c r="S170" s="303"/>
      <c r="T170" s="304"/>
      <c r="U170" s="304"/>
      <c r="V170" s="304"/>
    </row>
    <row r="171" spans="2:22" ht="20" customHeight="1" x14ac:dyDescent="0.35">
      <c r="P171" s="67"/>
      <c r="Q171" s="68"/>
      <c r="R171" s="69" t="str">
        <f>IF(AND(NOT(ISBLANK(Q171)), Dashboard!$P164&gt;0), Q171/Dashboard!$P164, "")</f>
        <v/>
      </c>
      <c r="S171" s="303"/>
      <c r="T171" s="304"/>
      <c r="U171" s="304"/>
      <c r="V171" s="304"/>
    </row>
    <row r="172" spans="2:22" ht="20" customHeight="1" x14ac:dyDescent="0.35">
      <c r="P172" s="67"/>
      <c r="Q172" s="68"/>
      <c r="R172" s="69" t="str">
        <f>IF(AND(NOT(ISBLANK(Q172)), Dashboard!$P164&gt;0), Q172/Dashboard!$P164, "")</f>
        <v/>
      </c>
      <c r="S172" s="303"/>
      <c r="T172" s="304"/>
      <c r="U172" s="304"/>
      <c r="V172" s="304"/>
    </row>
    <row r="173" spans="2:22" ht="20" customHeight="1" x14ac:dyDescent="0.35">
      <c r="P173" s="67"/>
      <c r="Q173" s="68"/>
      <c r="R173" s="69" t="str">
        <f>IF(AND(NOT(ISBLANK(Q173)), Dashboard!$P164&gt;0), Q173/Dashboard!$P164, "")</f>
        <v/>
      </c>
      <c r="S173" s="303"/>
      <c r="T173" s="304"/>
      <c r="U173" s="304"/>
      <c r="V173" s="304"/>
    </row>
    <row r="174" spans="2:22" ht="20" customHeight="1" x14ac:dyDescent="0.35">
      <c r="P174" s="67"/>
      <c r="Q174" s="68"/>
      <c r="R174" s="69" t="str">
        <f>IF(AND(NOT(ISBLANK(Q174)), Dashboard!$P164&gt;0), Q174/Dashboard!$P164, "")</f>
        <v/>
      </c>
      <c r="S174" s="303"/>
      <c r="T174" s="304"/>
      <c r="U174" s="304"/>
      <c r="V174" s="304"/>
    </row>
    <row r="175" spans="2:22" ht="20" customHeight="1" x14ac:dyDescent="0.35">
      <c r="P175" s="67"/>
      <c r="Q175" s="68"/>
      <c r="R175" s="69" t="str">
        <f>IF(AND(NOT(ISBLANK(Q175)), Dashboard!$P164&gt;0), Q175/Dashboard!$P164, "")</f>
        <v/>
      </c>
      <c r="S175" s="303"/>
      <c r="T175" s="304"/>
      <c r="U175" s="304"/>
      <c r="V175" s="304"/>
    </row>
    <row r="176" spans="2:22" ht="20" customHeight="1" x14ac:dyDescent="0.35">
      <c r="P176" s="67"/>
      <c r="Q176" s="68"/>
      <c r="R176" s="69" t="str">
        <f>IF(AND(NOT(ISBLANK(Q176)), Dashboard!$P164&gt;0), Q176/Dashboard!$P164, "")</f>
        <v/>
      </c>
      <c r="S176" s="303"/>
      <c r="T176" s="304"/>
      <c r="U176" s="304"/>
      <c r="V176" s="304"/>
    </row>
    <row r="177" spans="2:22" ht="20" customHeight="1" x14ac:dyDescent="0.35">
      <c r="P177" s="67"/>
      <c r="Q177" s="68"/>
      <c r="R177" s="69" t="str">
        <f>IF(AND(NOT(ISBLANK(Q177)), Dashboard!$P164&gt;0), Q177/Dashboard!$P164, "")</f>
        <v/>
      </c>
      <c r="S177" s="303"/>
      <c r="T177" s="304"/>
      <c r="U177" s="304"/>
      <c r="V177" s="304"/>
    </row>
    <row r="178" spans="2:22" ht="20" customHeight="1" x14ac:dyDescent="0.35">
      <c r="P178" s="67"/>
      <c r="Q178" s="68"/>
      <c r="R178" s="69" t="str">
        <f>IF(AND(NOT(ISBLANK(Q178)), Dashboard!$P164&gt;0), Q178/Dashboard!$P164, "")</f>
        <v/>
      </c>
      <c r="S178" s="303"/>
      <c r="T178" s="304"/>
      <c r="U178" s="304"/>
      <c r="V178" s="304"/>
    </row>
    <row r="179" spans="2:22" ht="20" customHeight="1" x14ac:dyDescent="0.35">
      <c r="P179" s="67"/>
      <c r="Q179" s="68"/>
      <c r="R179" s="69" t="str">
        <f>IF(AND(NOT(ISBLANK(Q179)), Dashboard!$P164&gt;0), Q179/Dashboard!$P164, "")</f>
        <v/>
      </c>
      <c r="S179" s="303"/>
      <c r="T179" s="304"/>
      <c r="U179" s="304"/>
      <c r="V179" s="304"/>
    </row>
    <row r="180" spans="2:22" ht="20" customHeight="1" x14ac:dyDescent="0.35">
      <c r="P180" s="67"/>
      <c r="Q180" s="68"/>
      <c r="R180" s="69" t="str">
        <f>IF(AND(NOT(ISBLANK(Q180)), Dashboard!$P164&gt;0), Q180/Dashboard!$P164, "")</f>
        <v/>
      </c>
      <c r="S180" s="303"/>
      <c r="T180" s="304"/>
      <c r="U180" s="304"/>
      <c r="V180" s="304"/>
    </row>
    <row r="181" spans="2:22" ht="20" customHeight="1" x14ac:dyDescent="0.35">
      <c r="P181" s="67"/>
      <c r="Q181" s="68"/>
      <c r="R181" s="69" t="str">
        <f>IF(AND(NOT(ISBLANK(Q181)), Dashboard!$P164&gt;0), Q181/Dashboard!$P164, "")</f>
        <v/>
      </c>
      <c r="S181" s="303"/>
      <c r="T181" s="304"/>
      <c r="U181" s="304"/>
      <c r="V181" s="304"/>
    </row>
    <row r="182" spans="2:22" ht="20" customHeight="1" x14ac:dyDescent="0.35">
      <c r="P182" s="67"/>
      <c r="Q182" s="68"/>
      <c r="R182" s="69" t="str">
        <f>IF(AND(NOT(ISBLANK(Q182)), Dashboard!$P164&gt;0), Q182/Dashboard!$P164, "")</f>
        <v/>
      </c>
      <c r="S182" s="303"/>
      <c r="T182" s="304"/>
      <c r="U182" s="304"/>
      <c r="V182" s="304"/>
    </row>
    <row r="183" spans="2:22" ht="20" customHeight="1" x14ac:dyDescent="0.35">
      <c r="P183" s="67"/>
      <c r="Q183" s="68"/>
      <c r="R183" s="69" t="str">
        <f>IF(AND(NOT(ISBLANK(Q183)), Dashboard!$P164&gt;0), Q183/Dashboard!$P164, "")</f>
        <v/>
      </c>
      <c r="S183" s="303"/>
      <c r="T183" s="304"/>
      <c r="U183" s="304"/>
      <c r="V183" s="304"/>
    </row>
    <row r="184" spans="2:22" ht="20" customHeight="1" x14ac:dyDescent="0.35">
      <c r="P184" s="67"/>
      <c r="Q184" s="68"/>
      <c r="R184" s="69" t="str">
        <f>IF(AND(NOT(ISBLANK(Q184)), Dashboard!$P164&gt;0), Q184/Dashboard!$P164, "")</f>
        <v/>
      </c>
      <c r="S184" s="303"/>
      <c r="T184" s="304"/>
      <c r="U184" s="304"/>
      <c r="V184" s="304"/>
    </row>
    <row r="185" spans="2:22" ht="20" customHeight="1" x14ac:dyDescent="0.35">
      <c r="P185" s="67"/>
      <c r="Q185" s="68"/>
      <c r="R185" s="69" t="str">
        <f>IF(AND(NOT(ISBLANK(Q185)), Dashboard!$P164&gt;0), Q185/Dashboard!$P164, "")</f>
        <v/>
      </c>
      <c r="S185" s="303"/>
      <c r="T185" s="304"/>
      <c r="U185" s="304"/>
      <c r="V185" s="304"/>
    </row>
    <row r="186" spans="2:22" ht="20" customHeight="1" x14ac:dyDescent="0.35">
      <c r="P186" s="67"/>
      <c r="Q186" s="68"/>
      <c r="R186" s="69" t="str">
        <f>IF(AND(NOT(ISBLANK(Q186)), Dashboard!$P164&gt;0), Q186/Dashboard!$P164, "")</f>
        <v/>
      </c>
      <c r="S186" s="303"/>
      <c r="T186" s="304"/>
      <c r="U186" s="304"/>
      <c r="V186" s="304"/>
    </row>
    <row r="187" spans="2:22" ht="20" customHeight="1" x14ac:dyDescent="0.35">
      <c r="P187" s="67"/>
      <c r="Q187" s="68"/>
      <c r="R187" s="69" t="str">
        <f>IF(AND(NOT(ISBLANK(Q187)), Dashboard!$P164&gt;0), Q187/Dashboard!$P164, "")</f>
        <v/>
      </c>
      <c r="S187" s="303"/>
      <c r="T187" s="304"/>
      <c r="U187" s="304"/>
      <c r="V187" s="304"/>
    </row>
    <row r="191" spans="2:22" ht="32" customHeight="1" x14ac:dyDescent="0.35">
      <c r="B191" s="288" t="s">
        <v>1787</v>
      </c>
      <c r="C191" s="288"/>
      <c r="D191" s="288"/>
      <c r="E191" s="288"/>
      <c r="F191" s="288"/>
      <c r="G191" s="288"/>
      <c r="H191" s="288"/>
      <c r="I191" s="288"/>
    </row>
  </sheetData>
  <mergeCells count="55">
    <mergeCell ref="B191:I191"/>
    <mergeCell ref="S183:V183"/>
    <mergeCell ref="S184:V184"/>
    <mergeCell ref="S185:V185"/>
    <mergeCell ref="S186:V186"/>
    <mergeCell ref="S187:V187"/>
    <mergeCell ref="S178:V178"/>
    <mergeCell ref="S179:V179"/>
    <mergeCell ref="S180:V180"/>
    <mergeCell ref="S181:V181"/>
    <mergeCell ref="S182:V182"/>
    <mergeCell ref="S173:V173"/>
    <mergeCell ref="S174:V174"/>
    <mergeCell ref="S175:V175"/>
    <mergeCell ref="S176:V176"/>
    <mergeCell ref="S177:V177"/>
    <mergeCell ref="S168:V168"/>
    <mergeCell ref="S169:V169"/>
    <mergeCell ref="S170:V170"/>
    <mergeCell ref="S171:V171"/>
    <mergeCell ref="S172:V172"/>
    <mergeCell ref="P163:Q163"/>
    <mergeCell ref="R163:T163"/>
    <mergeCell ref="P164:Q164"/>
    <mergeCell ref="R164:T164"/>
    <mergeCell ref="S167:V167"/>
    <mergeCell ref="C112:D112"/>
    <mergeCell ref="G112:H112"/>
    <mergeCell ref="B121:F121"/>
    <mergeCell ref="P121:W121"/>
    <mergeCell ref="B162:F162"/>
    <mergeCell ref="P162:U162"/>
    <mergeCell ref="C109:D109"/>
    <mergeCell ref="G109:H109"/>
    <mergeCell ref="C110:D110"/>
    <mergeCell ref="G110:H110"/>
    <mergeCell ref="C111:D111"/>
    <mergeCell ref="G111:H111"/>
    <mergeCell ref="C106:D106"/>
    <mergeCell ref="G106:H106"/>
    <mergeCell ref="C107:D107"/>
    <mergeCell ref="G107:H107"/>
    <mergeCell ref="C108:D108"/>
    <mergeCell ref="G108:H108"/>
    <mergeCell ref="F7:H7"/>
    <mergeCell ref="I7:O7"/>
    <mergeCell ref="F8:H8"/>
    <mergeCell ref="I8:O8"/>
    <mergeCell ref="F9:H9"/>
    <mergeCell ref="I9:O9"/>
    <mergeCell ref="B2:I2"/>
    <mergeCell ref="F5:H5"/>
    <mergeCell ref="I5:O5"/>
    <mergeCell ref="F6:H6"/>
    <mergeCell ref="I6:O6"/>
  </mergeCells>
  <conditionalFormatting sqref="D7">
    <cfRule type="cellIs" dxfId="83" priority="1" operator="greaterThanOrEqual">
      <formula>0.9</formula>
    </cfRule>
    <cfRule type="cellIs" dxfId="82" priority="2" operator="greaterThanOrEqual">
      <formula>0.5</formula>
    </cfRule>
    <cfRule type="cellIs" dxfId="81" priority="3" operator="lessThan">
      <formula>0.5</formula>
    </cfRule>
  </conditionalFormatting>
  <conditionalFormatting sqref="G107:H112">
    <cfRule type="expression" dxfId="80" priority="4">
      <formula>$G107&gt;=0.8</formula>
    </cfRule>
    <cfRule type="expression" dxfId="79" priority="5">
      <formula>AND($G107&gt;=0.5,$G107&lt;0.8)</formula>
    </cfRule>
    <cfRule type="expression" dxfId="78" priority="6">
      <formula>$G107&lt;0.5</formula>
    </cfRule>
  </conditionalFormatting>
  <conditionalFormatting sqref="K107:K112">
    <cfRule type="cellIs" dxfId="77" priority="7" operator="greaterThan">
      <formula>0</formula>
    </cfRule>
  </conditionalFormatting>
  <conditionalFormatting sqref="L107:L112">
    <cfRule type="cellIs" dxfId="76" priority="8" operator="greaterThan">
      <formula>0</formula>
    </cfRule>
  </conditionalFormatting>
  <conditionalFormatting sqref="M107:M112">
    <cfRule type="cellIs" dxfId="75" priority="9" operator="greaterThan">
      <formula>0</formula>
    </cfRule>
  </conditionalFormatting>
  <conditionalFormatting sqref="N107:N112">
    <cfRule type="cellIs" dxfId="74" priority="10" operator="greaterThan">
      <formula>0</formula>
    </cfRule>
  </conditionalFormatting>
  <dataValidations count="140">
    <dataValidation type="whole" allowBlank="1" showErrorMessage="1" errorTitle="Invalid overall count" error="Overall count must be between 0 and the current implemented total." sqref="Q126" xr:uid="{00000000-0002-0000-0100-000000000000}">
      <formula1>0</formula1>
      <formula2>C16</formula2>
    </dataValidation>
    <dataValidation type="whole" allowBlank="1" showErrorMessage="1" errorTitle="Invalid count" error="Value must be between 0 and the current implemented total." sqref="S126" xr:uid="{00000000-0002-0000-0100-000001000000}">
      <formula1>0</formula1>
      <formula2>C69</formula2>
    </dataValidation>
    <dataValidation type="whole" allowBlank="1" showErrorMessage="1" errorTitle="Invalid count" error="Value must be between 0 and the current implemented total." sqref="U126" xr:uid="{00000000-0002-0000-0100-000002000000}">
      <formula1>0</formula1>
      <formula2>C70</formula2>
    </dataValidation>
    <dataValidation type="whole" allowBlank="1" showErrorMessage="1" errorTitle="Invalid count" error="Value must be between 0 and the current implemented total." sqref="W126" xr:uid="{00000000-0002-0000-0100-000003000000}">
      <formula1>0</formula1>
      <formula2>C71</formula2>
    </dataValidation>
    <dataValidation type="whole" allowBlank="1" showErrorMessage="1" errorTitle="Invalid overall count" error="Overall count must be between 0 and the current implemented total." sqref="Q127" xr:uid="{00000000-0002-0000-0100-000004000000}">
      <formula1>0</formula1>
      <formula2>C16</formula2>
    </dataValidation>
    <dataValidation type="whole" allowBlank="1" showErrorMessage="1" errorTitle="Invalid count" error="Value must be between 0 and the current implemented total." sqref="S127" xr:uid="{00000000-0002-0000-0100-000005000000}">
      <formula1>0</formula1>
      <formula2>C69</formula2>
    </dataValidation>
    <dataValidation type="whole" allowBlank="1" showErrorMessage="1" errorTitle="Invalid count" error="Value must be between 0 and the current implemented total." sqref="U127" xr:uid="{00000000-0002-0000-0100-000006000000}">
      <formula1>0</formula1>
      <formula2>C70</formula2>
    </dataValidation>
    <dataValidation type="whole" allowBlank="1" showErrorMessage="1" errorTitle="Invalid count" error="Value must be between 0 and the current implemented total." sqref="W127" xr:uid="{00000000-0002-0000-0100-000007000000}">
      <formula1>0</formula1>
      <formula2>C71</formula2>
    </dataValidation>
    <dataValidation type="whole" allowBlank="1" showErrorMessage="1" errorTitle="Invalid overall count" error="Overall count must be between 0 and the current implemented total." sqref="Q128" xr:uid="{00000000-0002-0000-0100-000008000000}">
      <formula1>0</formula1>
      <formula2>C16</formula2>
    </dataValidation>
    <dataValidation type="whole" allowBlank="1" showErrorMessage="1" errorTitle="Invalid count" error="Value must be between 0 and the current implemented total." sqref="S128" xr:uid="{00000000-0002-0000-0100-000009000000}">
      <formula1>0</formula1>
      <formula2>C69</formula2>
    </dataValidation>
    <dataValidation type="whole" allowBlank="1" showErrorMessage="1" errorTitle="Invalid count" error="Value must be between 0 and the current implemented total." sqref="U128" xr:uid="{00000000-0002-0000-0100-00000A000000}">
      <formula1>0</formula1>
      <formula2>C70</formula2>
    </dataValidation>
    <dataValidation type="whole" allowBlank="1" showErrorMessage="1" errorTitle="Invalid count" error="Value must be between 0 and the current implemented total." sqref="W128" xr:uid="{00000000-0002-0000-0100-00000B000000}">
      <formula1>0</formula1>
      <formula2>C71</formula2>
    </dataValidation>
    <dataValidation type="whole" allowBlank="1" showErrorMessage="1" errorTitle="Invalid overall count" error="Overall count must be between 0 and the current implemented total." sqref="Q129" xr:uid="{00000000-0002-0000-0100-00000C000000}">
      <formula1>0</formula1>
      <formula2>C16</formula2>
    </dataValidation>
    <dataValidation type="whole" allowBlank="1" showErrorMessage="1" errorTitle="Invalid count" error="Value must be between 0 and the current implemented total." sqref="S129" xr:uid="{00000000-0002-0000-0100-00000D000000}">
      <formula1>0</formula1>
      <formula2>C69</formula2>
    </dataValidation>
    <dataValidation type="whole" allowBlank="1" showErrorMessage="1" errorTitle="Invalid count" error="Value must be between 0 and the current implemented total." sqref="U129" xr:uid="{00000000-0002-0000-0100-00000E000000}">
      <formula1>0</formula1>
      <formula2>C70</formula2>
    </dataValidation>
    <dataValidation type="whole" allowBlank="1" showErrorMessage="1" errorTitle="Invalid count" error="Value must be between 0 and the current implemented total." sqref="W129" xr:uid="{00000000-0002-0000-0100-00000F000000}">
      <formula1>0</formula1>
      <formula2>C71</formula2>
    </dataValidation>
    <dataValidation type="whole" allowBlank="1" showErrorMessage="1" errorTitle="Invalid overall count" error="Overall count must be between 0 and the current implemented total." sqref="Q130" xr:uid="{00000000-0002-0000-0100-000010000000}">
      <formula1>0</formula1>
      <formula2>C16</formula2>
    </dataValidation>
    <dataValidation type="whole" allowBlank="1" showErrorMessage="1" errorTitle="Invalid count" error="Value must be between 0 and the current implemented total." sqref="S130" xr:uid="{00000000-0002-0000-0100-000011000000}">
      <formula1>0</formula1>
      <formula2>C69</formula2>
    </dataValidation>
    <dataValidation type="whole" allowBlank="1" showErrorMessage="1" errorTitle="Invalid count" error="Value must be between 0 and the current implemented total." sqref="U130" xr:uid="{00000000-0002-0000-0100-000012000000}">
      <formula1>0</formula1>
      <formula2>C70</formula2>
    </dataValidation>
    <dataValidation type="whole" allowBlank="1" showErrorMessage="1" errorTitle="Invalid count" error="Value must be between 0 and the current implemented total." sqref="W130" xr:uid="{00000000-0002-0000-0100-000013000000}">
      <formula1>0</formula1>
      <formula2>C71</formula2>
    </dataValidation>
    <dataValidation type="whole" allowBlank="1" showErrorMessage="1" errorTitle="Invalid overall count" error="Overall count must be between 0 and the current implemented total." sqref="Q131" xr:uid="{00000000-0002-0000-0100-000014000000}">
      <formula1>0</formula1>
      <formula2>C16</formula2>
    </dataValidation>
    <dataValidation type="whole" allowBlank="1" showErrorMessage="1" errorTitle="Invalid count" error="Value must be between 0 and the current implemented total." sqref="S131" xr:uid="{00000000-0002-0000-0100-000015000000}">
      <formula1>0</formula1>
      <formula2>C69</formula2>
    </dataValidation>
    <dataValidation type="whole" allowBlank="1" showErrorMessage="1" errorTitle="Invalid count" error="Value must be between 0 and the current implemented total." sqref="U131" xr:uid="{00000000-0002-0000-0100-000016000000}">
      <formula1>0</formula1>
      <formula2>C70</formula2>
    </dataValidation>
    <dataValidation type="whole" allowBlank="1" showErrorMessage="1" errorTitle="Invalid count" error="Value must be between 0 and the current implemented total." sqref="W131" xr:uid="{00000000-0002-0000-0100-000017000000}">
      <formula1>0</formula1>
      <formula2>C71</formula2>
    </dataValidation>
    <dataValidation type="whole" allowBlank="1" showErrorMessage="1" errorTitle="Invalid overall count" error="Overall count must be between 0 and the current implemented total." sqref="Q132" xr:uid="{00000000-0002-0000-0100-000018000000}">
      <formula1>0</formula1>
      <formula2>C16</formula2>
    </dataValidation>
    <dataValidation type="whole" allowBlank="1" showErrorMessage="1" errorTitle="Invalid count" error="Value must be between 0 and the current implemented total." sqref="S132" xr:uid="{00000000-0002-0000-0100-000019000000}">
      <formula1>0</formula1>
      <formula2>C69</formula2>
    </dataValidation>
    <dataValidation type="whole" allowBlank="1" showErrorMessage="1" errorTitle="Invalid count" error="Value must be between 0 and the current implemented total." sqref="U132" xr:uid="{00000000-0002-0000-0100-00001A000000}">
      <formula1>0</formula1>
      <formula2>C70</formula2>
    </dataValidation>
    <dataValidation type="whole" allowBlank="1" showErrorMessage="1" errorTitle="Invalid count" error="Value must be between 0 and the current implemented total." sqref="W132" xr:uid="{00000000-0002-0000-0100-00001B000000}">
      <formula1>0</formula1>
      <formula2>C71</formula2>
    </dataValidation>
    <dataValidation type="whole" allowBlank="1" showErrorMessage="1" errorTitle="Invalid overall count" error="Overall count must be between 0 and the current implemented total." sqref="Q133" xr:uid="{00000000-0002-0000-0100-00001C000000}">
      <formula1>0</formula1>
      <formula2>C16</formula2>
    </dataValidation>
    <dataValidation type="whole" allowBlank="1" showErrorMessage="1" errorTitle="Invalid count" error="Value must be between 0 and the current implemented total." sqref="S133" xr:uid="{00000000-0002-0000-0100-00001D000000}">
      <formula1>0</formula1>
      <formula2>C69</formula2>
    </dataValidation>
    <dataValidation type="whole" allowBlank="1" showErrorMessage="1" errorTitle="Invalid count" error="Value must be between 0 and the current implemented total." sqref="U133" xr:uid="{00000000-0002-0000-0100-00001E000000}">
      <formula1>0</formula1>
      <formula2>C70</formula2>
    </dataValidation>
    <dataValidation type="whole" allowBlank="1" showErrorMessage="1" errorTitle="Invalid count" error="Value must be between 0 and the current implemented total." sqref="W133" xr:uid="{00000000-0002-0000-0100-00001F000000}">
      <formula1>0</formula1>
      <formula2>C71</formula2>
    </dataValidation>
    <dataValidation type="whole" allowBlank="1" showErrorMessage="1" errorTitle="Invalid overall count" error="Overall count must be between 0 and the current implemented total." sqref="Q134" xr:uid="{00000000-0002-0000-0100-000020000000}">
      <formula1>0</formula1>
      <formula2>C16</formula2>
    </dataValidation>
    <dataValidation type="whole" allowBlank="1" showErrorMessage="1" errorTitle="Invalid count" error="Value must be between 0 and the current implemented total." sqref="S134" xr:uid="{00000000-0002-0000-0100-000021000000}">
      <formula1>0</formula1>
      <formula2>C69</formula2>
    </dataValidation>
    <dataValidation type="whole" allowBlank="1" showErrorMessage="1" errorTitle="Invalid count" error="Value must be between 0 and the current implemented total." sqref="U134" xr:uid="{00000000-0002-0000-0100-000022000000}">
      <formula1>0</formula1>
      <formula2>C70</formula2>
    </dataValidation>
    <dataValidation type="whole" allowBlank="1" showErrorMessage="1" errorTitle="Invalid count" error="Value must be between 0 and the current implemented total." sqref="W134" xr:uid="{00000000-0002-0000-0100-000023000000}">
      <formula1>0</formula1>
      <formula2>C71</formula2>
    </dataValidation>
    <dataValidation type="whole" allowBlank="1" showErrorMessage="1" errorTitle="Invalid overall count" error="Overall count must be between 0 and the current implemented total." sqref="Q135" xr:uid="{00000000-0002-0000-0100-000024000000}">
      <formula1>0</formula1>
      <formula2>C16</formula2>
    </dataValidation>
    <dataValidation type="whole" allowBlank="1" showErrorMessage="1" errorTitle="Invalid count" error="Value must be between 0 and the current implemented total." sqref="S135" xr:uid="{00000000-0002-0000-0100-000025000000}">
      <formula1>0</formula1>
      <formula2>C69</formula2>
    </dataValidation>
    <dataValidation type="whole" allowBlank="1" showErrorMessage="1" errorTitle="Invalid count" error="Value must be between 0 and the current implemented total." sqref="U135" xr:uid="{00000000-0002-0000-0100-000026000000}">
      <formula1>0</formula1>
      <formula2>C70</formula2>
    </dataValidation>
    <dataValidation type="whole" allowBlank="1" showErrorMessage="1" errorTitle="Invalid count" error="Value must be between 0 and the current implemented total." sqref="W135" xr:uid="{00000000-0002-0000-0100-000027000000}">
      <formula1>0</formula1>
      <formula2>C71</formula2>
    </dataValidation>
    <dataValidation type="whole" allowBlank="1" showErrorMessage="1" errorTitle="Invalid overall count" error="Overall count must be between 0 and the current implemented total." sqref="Q136" xr:uid="{00000000-0002-0000-0100-000028000000}">
      <formula1>0</formula1>
      <formula2>C16</formula2>
    </dataValidation>
    <dataValidation type="whole" allowBlank="1" showErrorMessage="1" errorTitle="Invalid count" error="Value must be between 0 and the current implemented total." sqref="S136" xr:uid="{00000000-0002-0000-0100-000029000000}">
      <formula1>0</formula1>
      <formula2>C69</formula2>
    </dataValidation>
    <dataValidation type="whole" allowBlank="1" showErrorMessage="1" errorTitle="Invalid count" error="Value must be between 0 and the current implemented total." sqref="U136" xr:uid="{00000000-0002-0000-0100-00002A000000}">
      <formula1>0</formula1>
      <formula2>C70</formula2>
    </dataValidation>
    <dataValidation type="whole" allowBlank="1" showErrorMessage="1" errorTitle="Invalid count" error="Value must be between 0 and the current implemented total." sqref="W136" xr:uid="{00000000-0002-0000-0100-00002B000000}">
      <formula1>0</formula1>
      <formula2>C71</formula2>
    </dataValidation>
    <dataValidation type="whole" allowBlank="1" showErrorMessage="1" errorTitle="Invalid overall count" error="Overall count must be between 0 and the current implemented total." sqref="Q137" xr:uid="{00000000-0002-0000-0100-00002C000000}">
      <formula1>0</formula1>
      <formula2>C16</formula2>
    </dataValidation>
    <dataValidation type="whole" allowBlank="1" showErrorMessage="1" errorTitle="Invalid count" error="Value must be between 0 and the current implemented total." sqref="S137" xr:uid="{00000000-0002-0000-0100-00002D000000}">
      <formula1>0</formula1>
      <formula2>C69</formula2>
    </dataValidation>
    <dataValidation type="whole" allowBlank="1" showErrorMessage="1" errorTitle="Invalid count" error="Value must be between 0 and the current implemented total." sqref="U137" xr:uid="{00000000-0002-0000-0100-00002E000000}">
      <formula1>0</formula1>
      <formula2>C70</formula2>
    </dataValidation>
    <dataValidation type="whole" allowBlank="1" showErrorMessage="1" errorTitle="Invalid count" error="Value must be between 0 and the current implemented total." sqref="W137" xr:uid="{00000000-0002-0000-0100-00002F000000}">
      <formula1>0</formula1>
      <formula2>C71</formula2>
    </dataValidation>
    <dataValidation type="whole" allowBlank="1" showErrorMessage="1" errorTitle="Invalid overall count" error="Overall count must be between 0 and the current implemented total." sqref="Q138" xr:uid="{00000000-0002-0000-0100-000030000000}">
      <formula1>0</formula1>
      <formula2>C16</formula2>
    </dataValidation>
    <dataValidation type="whole" allowBlank="1" showErrorMessage="1" errorTitle="Invalid count" error="Value must be between 0 and the current implemented total." sqref="S138" xr:uid="{00000000-0002-0000-0100-000031000000}">
      <formula1>0</formula1>
      <formula2>C69</formula2>
    </dataValidation>
    <dataValidation type="whole" allowBlank="1" showErrorMessage="1" errorTitle="Invalid count" error="Value must be between 0 and the current implemented total." sqref="U138" xr:uid="{00000000-0002-0000-0100-000032000000}">
      <formula1>0</formula1>
      <formula2>C70</formula2>
    </dataValidation>
    <dataValidation type="whole" allowBlank="1" showErrorMessage="1" errorTitle="Invalid count" error="Value must be between 0 and the current implemented total." sqref="W138" xr:uid="{00000000-0002-0000-0100-000033000000}">
      <formula1>0</formula1>
      <formula2>C71</formula2>
    </dataValidation>
    <dataValidation type="whole" allowBlank="1" showErrorMessage="1" errorTitle="Invalid overall count" error="Overall count must be between 0 and the current implemented total." sqref="Q139" xr:uid="{00000000-0002-0000-0100-000034000000}">
      <formula1>0</formula1>
      <formula2>C16</formula2>
    </dataValidation>
    <dataValidation type="whole" allowBlank="1" showErrorMessage="1" errorTitle="Invalid count" error="Value must be between 0 and the current implemented total." sqref="S139" xr:uid="{00000000-0002-0000-0100-000035000000}">
      <formula1>0</formula1>
      <formula2>C69</formula2>
    </dataValidation>
    <dataValidation type="whole" allowBlank="1" showErrorMessage="1" errorTitle="Invalid count" error="Value must be between 0 and the current implemented total." sqref="U139" xr:uid="{00000000-0002-0000-0100-000036000000}">
      <formula1>0</formula1>
      <formula2>C70</formula2>
    </dataValidation>
    <dataValidation type="whole" allowBlank="1" showErrorMessage="1" errorTitle="Invalid count" error="Value must be between 0 and the current implemented total." sqref="W139" xr:uid="{00000000-0002-0000-0100-000037000000}">
      <formula1>0</formula1>
      <formula2>C71</formula2>
    </dataValidation>
    <dataValidation type="whole" allowBlank="1" showErrorMessage="1" errorTitle="Invalid overall count" error="Overall count must be between 0 and the current implemented total." sqref="Q140" xr:uid="{00000000-0002-0000-0100-000038000000}">
      <formula1>0</formula1>
      <formula2>C16</formula2>
    </dataValidation>
    <dataValidation type="whole" allowBlank="1" showErrorMessage="1" errorTitle="Invalid count" error="Value must be between 0 and the current implemented total." sqref="S140" xr:uid="{00000000-0002-0000-0100-000039000000}">
      <formula1>0</formula1>
      <formula2>C69</formula2>
    </dataValidation>
    <dataValidation type="whole" allowBlank="1" showErrorMessage="1" errorTitle="Invalid count" error="Value must be between 0 and the current implemented total." sqref="U140" xr:uid="{00000000-0002-0000-0100-00003A000000}">
      <formula1>0</formula1>
      <formula2>C70</formula2>
    </dataValidation>
    <dataValidation type="whole" allowBlank="1" showErrorMessage="1" errorTitle="Invalid count" error="Value must be between 0 and the current implemented total." sqref="W140" xr:uid="{00000000-0002-0000-0100-00003B000000}">
      <formula1>0</formula1>
      <formula2>C71</formula2>
    </dataValidation>
    <dataValidation type="whole" allowBlank="1" showErrorMessage="1" errorTitle="Invalid overall count" error="Overall count must be between 0 and the current implemented total." sqref="Q141" xr:uid="{00000000-0002-0000-0100-00003C000000}">
      <formula1>0</formula1>
      <formula2>C16</formula2>
    </dataValidation>
    <dataValidation type="whole" allowBlank="1" showErrorMessage="1" errorTitle="Invalid count" error="Value must be between 0 and the current implemented total." sqref="S141" xr:uid="{00000000-0002-0000-0100-00003D000000}">
      <formula1>0</formula1>
      <formula2>C69</formula2>
    </dataValidation>
    <dataValidation type="whole" allowBlank="1" showErrorMessage="1" errorTitle="Invalid count" error="Value must be between 0 and the current implemented total." sqref="U141" xr:uid="{00000000-0002-0000-0100-00003E000000}">
      <formula1>0</formula1>
      <formula2>C70</formula2>
    </dataValidation>
    <dataValidation type="whole" allowBlank="1" showErrorMessage="1" errorTitle="Invalid count" error="Value must be between 0 and the current implemented total." sqref="W141" xr:uid="{00000000-0002-0000-0100-00003F000000}">
      <formula1>0</formula1>
      <formula2>C71</formula2>
    </dataValidation>
    <dataValidation type="whole" allowBlank="1" showErrorMessage="1" errorTitle="Invalid overall count" error="Overall count must be between 0 and the current implemented total." sqref="Q142" xr:uid="{00000000-0002-0000-0100-000040000000}">
      <formula1>0</formula1>
      <formula2>C16</formula2>
    </dataValidation>
    <dataValidation type="whole" allowBlank="1" showErrorMessage="1" errorTitle="Invalid count" error="Value must be between 0 and the current implemented total." sqref="S142" xr:uid="{00000000-0002-0000-0100-000041000000}">
      <formula1>0</formula1>
      <formula2>C69</formula2>
    </dataValidation>
    <dataValidation type="whole" allowBlank="1" showErrorMessage="1" errorTitle="Invalid count" error="Value must be between 0 and the current implemented total." sqref="U142" xr:uid="{00000000-0002-0000-0100-000042000000}">
      <formula1>0</formula1>
      <formula2>C70</formula2>
    </dataValidation>
    <dataValidation type="whole" allowBlank="1" showErrorMessage="1" errorTitle="Invalid count" error="Value must be between 0 and the current implemented total." sqref="W142" xr:uid="{00000000-0002-0000-0100-000043000000}">
      <formula1>0</formula1>
      <formula2>C71</formula2>
    </dataValidation>
    <dataValidation type="whole" allowBlank="1" showErrorMessage="1" errorTitle="Invalid overall count" error="Overall count must be between 0 and the current implemented total." sqref="Q143" xr:uid="{00000000-0002-0000-0100-000044000000}">
      <formula1>0</formula1>
      <formula2>C16</formula2>
    </dataValidation>
    <dataValidation type="whole" allowBlank="1" showErrorMessage="1" errorTitle="Invalid count" error="Value must be between 0 and the current implemented total." sqref="S143" xr:uid="{00000000-0002-0000-0100-000045000000}">
      <formula1>0</formula1>
      <formula2>C69</formula2>
    </dataValidation>
    <dataValidation type="whole" allowBlank="1" showErrorMessage="1" errorTitle="Invalid count" error="Value must be between 0 and the current implemented total." sqref="U143" xr:uid="{00000000-0002-0000-0100-000046000000}">
      <formula1>0</formula1>
      <formula2>C70</formula2>
    </dataValidation>
    <dataValidation type="whole" allowBlank="1" showErrorMessage="1" errorTitle="Invalid count" error="Value must be between 0 and the current implemented total." sqref="W143" xr:uid="{00000000-0002-0000-0100-000047000000}">
      <formula1>0</formula1>
      <formula2>C71</formula2>
    </dataValidation>
    <dataValidation type="whole" allowBlank="1" showErrorMessage="1" errorTitle="Invalid overall count" error="Overall count must be between 0 and the current implemented total." sqref="Q144" xr:uid="{00000000-0002-0000-0100-000048000000}">
      <formula1>0</formula1>
      <formula2>C16</formula2>
    </dataValidation>
    <dataValidation type="whole" allowBlank="1" showErrorMessage="1" errorTitle="Invalid count" error="Value must be between 0 and the current implemented total." sqref="S144" xr:uid="{00000000-0002-0000-0100-000049000000}">
      <formula1>0</formula1>
      <formula2>C69</formula2>
    </dataValidation>
    <dataValidation type="whole" allowBlank="1" showErrorMessage="1" errorTitle="Invalid count" error="Value must be between 0 and the current implemented total." sqref="U144" xr:uid="{00000000-0002-0000-0100-00004A000000}">
      <formula1>0</formula1>
      <formula2>C70</formula2>
    </dataValidation>
    <dataValidation type="whole" allowBlank="1" showErrorMessage="1" errorTitle="Invalid count" error="Value must be between 0 and the current implemented total." sqref="W144" xr:uid="{00000000-0002-0000-0100-00004B000000}">
      <formula1>0</formula1>
      <formula2>C71</formula2>
    </dataValidation>
    <dataValidation type="whole" allowBlank="1" showErrorMessage="1" errorTitle="Invalid overall count" error="Overall count must be between 0 and the current implemented total." sqref="Q145" xr:uid="{00000000-0002-0000-0100-00004C000000}">
      <formula1>0</formula1>
      <formula2>C16</formula2>
    </dataValidation>
    <dataValidation type="whole" allowBlank="1" showErrorMessage="1" errorTitle="Invalid count" error="Value must be between 0 and the current implemented total." sqref="S145" xr:uid="{00000000-0002-0000-0100-00004D000000}">
      <formula1>0</formula1>
      <formula2>C69</formula2>
    </dataValidation>
    <dataValidation type="whole" allowBlank="1" showErrorMessage="1" errorTitle="Invalid count" error="Value must be between 0 and the current implemented total." sqref="U145" xr:uid="{00000000-0002-0000-0100-00004E000000}">
      <formula1>0</formula1>
      <formula2>C70</formula2>
    </dataValidation>
    <dataValidation type="whole" allowBlank="1" showErrorMessage="1" errorTitle="Invalid count" error="Value must be between 0 and the current implemented total." sqref="W145" xr:uid="{00000000-0002-0000-0100-00004F000000}">
      <formula1>0</formula1>
      <formula2>C71</formula2>
    </dataValidation>
    <dataValidation type="whole" allowBlank="1" showErrorMessage="1" errorTitle="Invalid overall count" error="Overall count must be between 0 and the current implemented total." sqref="Q146" xr:uid="{00000000-0002-0000-0100-000050000000}">
      <formula1>0</formula1>
      <formula2>C16</formula2>
    </dataValidation>
    <dataValidation type="whole" allowBlank="1" showErrorMessage="1" errorTitle="Invalid count" error="Value must be between 0 and the current implemented total." sqref="S146" xr:uid="{00000000-0002-0000-0100-000051000000}">
      <formula1>0</formula1>
      <formula2>C69</formula2>
    </dataValidation>
    <dataValidation type="whole" allowBlank="1" showErrorMessage="1" errorTitle="Invalid count" error="Value must be between 0 and the current implemented total." sqref="U146" xr:uid="{00000000-0002-0000-0100-000052000000}">
      <formula1>0</formula1>
      <formula2>C70</formula2>
    </dataValidation>
    <dataValidation type="whole" allowBlank="1" showErrorMessage="1" errorTitle="Invalid count" error="Value must be between 0 and the current implemented total." sqref="W146" xr:uid="{00000000-0002-0000-0100-000053000000}">
      <formula1>0</formula1>
      <formula2>C71</formula2>
    </dataValidation>
    <dataValidation type="whole" allowBlank="1" showErrorMessage="1" errorTitle="Invalid overall count" error="Overall count must be between 0 and the current implemented total." sqref="Q147" xr:uid="{00000000-0002-0000-0100-000054000000}">
      <formula1>0</formula1>
      <formula2>C16</formula2>
    </dataValidation>
    <dataValidation type="whole" allowBlank="1" showErrorMessage="1" errorTitle="Invalid count" error="Value must be between 0 and the current implemented total." sqref="S147" xr:uid="{00000000-0002-0000-0100-000055000000}">
      <formula1>0</formula1>
      <formula2>C69</formula2>
    </dataValidation>
    <dataValidation type="whole" allowBlank="1" showErrorMessage="1" errorTitle="Invalid count" error="Value must be between 0 and the current implemented total." sqref="U147" xr:uid="{00000000-0002-0000-0100-000056000000}">
      <formula1>0</formula1>
      <formula2>C70</formula2>
    </dataValidation>
    <dataValidation type="whole" allowBlank="1" showErrorMessage="1" errorTitle="Invalid count" error="Value must be between 0 and the current implemented total." sqref="W147" xr:uid="{00000000-0002-0000-0100-000057000000}">
      <formula1>0</formula1>
      <formula2>C71</formula2>
    </dataValidation>
    <dataValidation type="whole" allowBlank="1" showErrorMessage="1" errorTitle="Invalid overall count" error="Overall count must be between 0 and the current implemented total." sqref="Q148" xr:uid="{00000000-0002-0000-0100-000058000000}">
      <formula1>0</formula1>
      <formula2>C16</formula2>
    </dataValidation>
    <dataValidation type="whole" allowBlank="1" showErrorMessage="1" errorTitle="Invalid count" error="Value must be between 0 and the current implemented total." sqref="S148" xr:uid="{00000000-0002-0000-0100-000059000000}">
      <formula1>0</formula1>
      <formula2>C69</formula2>
    </dataValidation>
    <dataValidation type="whole" allowBlank="1" showErrorMessage="1" errorTitle="Invalid count" error="Value must be between 0 and the current implemented total." sqref="U148" xr:uid="{00000000-0002-0000-0100-00005A000000}">
      <formula1>0</formula1>
      <formula2>C70</formula2>
    </dataValidation>
    <dataValidation type="whole" allowBlank="1" showErrorMessage="1" errorTitle="Invalid count" error="Value must be between 0 and the current implemented total." sqref="W148" xr:uid="{00000000-0002-0000-0100-00005B000000}">
      <formula1>0</formula1>
      <formula2>C71</formula2>
    </dataValidation>
    <dataValidation type="whole" allowBlank="1" showErrorMessage="1" errorTitle="Invalid overall count" error="Overall count must be between 0 and the current implemented total." sqref="Q149" xr:uid="{00000000-0002-0000-0100-00005C000000}">
      <formula1>0</formula1>
      <formula2>C16</formula2>
    </dataValidation>
    <dataValidation type="whole" allowBlank="1" showErrorMessage="1" errorTitle="Invalid count" error="Value must be between 0 and the current implemented total." sqref="S149" xr:uid="{00000000-0002-0000-0100-00005D000000}">
      <formula1>0</formula1>
      <formula2>C69</formula2>
    </dataValidation>
    <dataValidation type="whole" allowBlank="1" showErrorMessage="1" errorTitle="Invalid count" error="Value must be between 0 and the current implemented total." sqref="U149" xr:uid="{00000000-0002-0000-0100-00005E000000}">
      <formula1>0</formula1>
      <formula2>C70</formula2>
    </dataValidation>
    <dataValidation type="whole" allowBlank="1" showErrorMessage="1" errorTitle="Invalid count" error="Value must be between 0 and the current implemented total." sqref="W149" xr:uid="{00000000-0002-0000-0100-00005F000000}">
      <formula1>0</formula1>
      <formula2>C71</formula2>
    </dataValidation>
    <dataValidation type="whole" allowBlank="1" showErrorMessage="1" errorTitle="Invalid overall count" error="Overall count must be between 0 and the current implemented total." sqref="Q150" xr:uid="{00000000-0002-0000-0100-000060000000}">
      <formula1>0</formula1>
      <formula2>C16</formula2>
    </dataValidation>
    <dataValidation type="whole" allowBlank="1" showErrorMessage="1" errorTitle="Invalid count" error="Value must be between 0 and the current implemented total." sqref="S150" xr:uid="{00000000-0002-0000-0100-000061000000}">
      <formula1>0</formula1>
      <formula2>C69</formula2>
    </dataValidation>
    <dataValidation type="whole" allowBlank="1" showErrorMessage="1" errorTitle="Invalid count" error="Value must be between 0 and the current implemented total." sqref="U150" xr:uid="{00000000-0002-0000-0100-000062000000}">
      <formula1>0</formula1>
      <formula2>C70</formula2>
    </dataValidation>
    <dataValidation type="whole" allowBlank="1" showErrorMessage="1" errorTitle="Invalid count" error="Value must be between 0 and the current implemented total." sqref="W150" xr:uid="{00000000-0002-0000-0100-000063000000}">
      <formula1>0</formula1>
      <formula2>C71</formula2>
    </dataValidation>
    <dataValidation type="whole" allowBlank="1" showErrorMessage="1" errorTitle="Invalid overall count" error="Overall count must be between 0 and the current implemented total." sqref="Q151" xr:uid="{00000000-0002-0000-0100-000064000000}">
      <formula1>0</formula1>
      <formula2>C16</formula2>
    </dataValidation>
    <dataValidation type="whole" allowBlank="1" showErrorMessage="1" errorTitle="Invalid count" error="Value must be between 0 and the current implemented total." sqref="S151" xr:uid="{00000000-0002-0000-0100-000065000000}">
      <formula1>0</formula1>
      <formula2>C69</formula2>
    </dataValidation>
    <dataValidation type="whole" allowBlank="1" showErrorMessage="1" errorTitle="Invalid count" error="Value must be between 0 and the current implemented total." sqref="U151" xr:uid="{00000000-0002-0000-0100-000066000000}">
      <formula1>0</formula1>
      <formula2>C70</formula2>
    </dataValidation>
    <dataValidation type="whole" allowBlank="1" showErrorMessage="1" errorTitle="Invalid count" error="Value must be between 0 and the current implemented total." sqref="W151" xr:uid="{00000000-0002-0000-0100-000067000000}">
      <formula1>0</formula1>
      <formula2>C71</formula2>
    </dataValidation>
    <dataValidation type="whole" allowBlank="1" showErrorMessage="1" errorTitle="Invalid overall count" error="Overall count must be between 0 and the current implemented total." sqref="Q152" xr:uid="{00000000-0002-0000-0100-000068000000}">
      <formula1>0</formula1>
      <formula2>C16</formula2>
    </dataValidation>
    <dataValidation type="whole" allowBlank="1" showErrorMessage="1" errorTitle="Invalid count" error="Value must be between 0 and the current implemented total." sqref="S152" xr:uid="{00000000-0002-0000-0100-000069000000}">
      <formula1>0</formula1>
      <formula2>C69</formula2>
    </dataValidation>
    <dataValidation type="whole" allowBlank="1" showErrorMessage="1" errorTitle="Invalid count" error="Value must be between 0 and the current implemented total." sqref="U152" xr:uid="{00000000-0002-0000-0100-00006A000000}">
      <formula1>0</formula1>
      <formula2>C70</formula2>
    </dataValidation>
    <dataValidation type="whole" allowBlank="1" showErrorMessage="1" errorTitle="Invalid count" error="Value must be between 0 and the current implemented total." sqref="W152" xr:uid="{00000000-0002-0000-0100-00006B000000}">
      <formula1>0</formula1>
      <formula2>C71</formula2>
    </dataValidation>
    <dataValidation type="whole" allowBlank="1" showErrorMessage="1" errorTitle="Invalid overall count" error="Overall count must be between 0 and the current implemented total." sqref="Q153" xr:uid="{00000000-0002-0000-0100-00006C000000}">
      <formula1>0</formula1>
      <formula2>C16</formula2>
    </dataValidation>
    <dataValidation type="whole" allowBlank="1" showErrorMessage="1" errorTitle="Invalid count" error="Value must be between 0 and the current implemented total." sqref="S153" xr:uid="{00000000-0002-0000-0100-00006D000000}">
      <formula1>0</formula1>
      <formula2>C69</formula2>
    </dataValidation>
    <dataValidation type="whole" allowBlank="1" showErrorMessage="1" errorTitle="Invalid count" error="Value must be between 0 and the current implemented total." sqref="U153" xr:uid="{00000000-0002-0000-0100-00006E000000}">
      <formula1>0</formula1>
      <formula2>C70</formula2>
    </dataValidation>
    <dataValidation type="whole" allowBlank="1" showErrorMessage="1" errorTitle="Invalid count" error="Value must be between 0 and the current implemented total." sqref="W153" xr:uid="{00000000-0002-0000-0100-00006F000000}">
      <formula1>0</formula1>
      <formula2>C71</formula2>
    </dataValidation>
    <dataValidation type="whole" allowBlank="1" showErrorMessage="1" errorTitle="Invalid overall count" error="Overall count must be between 0 and the current implemented total." sqref="Q154" xr:uid="{00000000-0002-0000-0100-000070000000}">
      <formula1>0</formula1>
      <formula2>C16</formula2>
    </dataValidation>
    <dataValidation type="whole" allowBlank="1" showErrorMessage="1" errorTitle="Invalid count" error="Value must be between 0 and the current implemented total." sqref="S154" xr:uid="{00000000-0002-0000-0100-000071000000}">
      <formula1>0</formula1>
      <formula2>C69</formula2>
    </dataValidation>
    <dataValidation type="whole" allowBlank="1" showErrorMessage="1" errorTitle="Invalid count" error="Value must be between 0 and the current implemented total." sqref="U154" xr:uid="{00000000-0002-0000-0100-000072000000}">
      <formula1>0</formula1>
      <formula2>C70</formula2>
    </dataValidation>
    <dataValidation type="whole" allowBlank="1" showErrorMessage="1" errorTitle="Invalid count" error="Value must be between 0 and the current implemented total." sqref="W154" xr:uid="{00000000-0002-0000-0100-000073000000}">
      <formula1>0</formula1>
      <formula2>C71</formula2>
    </dataValidation>
    <dataValidation type="whole" allowBlank="1" showErrorMessage="1" errorTitle="Invalid overall count" error="Overall count must be between 0 and the current implemented total." sqref="Q155" xr:uid="{00000000-0002-0000-0100-000074000000}">
      <formula1>0</formula1>
      <formula2>C16</formula2>
    </dataValidation>
    <dataValidation type="whole" allowBlank="1" showErrorMessage="1" errorTitle="Invalid count" error="Value must be between 0 and the current implemented total." sqref="S155" xr:uid="{00000000-0002-0000-0100-000075000000}">
      <formula1>0</formula1>
      <formula2>C69</formula2>
    </dataValidation>
    <dataValidation type="whole" allowBlank="1" showErrorMessage="1" errorTitle="Invalid count" error="Value must be between 0 and the current implemented total." sqref="U155" xr:uid="{00000000-0002-0000-0100-000076000000}">
      <formula1>0</formula1>
      <formula2>C70</formula2>
    </dataValidation>
    <dataValidation type="whole" allowBlank="1" showErrorMessage="1" errorTitle="Invalid count" error="Value must be between 0 and the current implemented total." sqref="W155" xr:uid="{00000000-0002-0000-0100-000077000000}">
      <formula1>0</formula1>
      <formula2>C71</formula2>
    </dataValidation>
    <dataValidation type="whole" allowBlank="1" showErrorMessage="1" errorTitle="Invalid Asset Count" error="Value must be between 0 and the Total Asset Numbers above." sqref="Q168" xr:uid="{00000000-0002-0000-0100-000078000000}">
      <formula1>0</formula1>
      <formula2>$P164</formula2>
    </dataValidation>
    <dataValidation type="whole" allowBlank="1" showErrorMessage="1" errorTitle="Invalid Asset Count" error="Value must be between 0 and the Total Asset Numbers above." sqref="Q169" xr:uid="{00000000-0002-0000-0100-000079000000}">
      <formula1>0</formula1>
      <formula2>$P164</formula2>
    </dataValidation>
    <dataValidation type="whole" allowBlank="1" showErrorMessage="1" errorTitle="Invalid Asset Count" error="Value must be between 0 and the Total Asset Numbers above." sqref="Q170" xr:uid="{00000000-0002-0000-0100-00007A000000}">
      <formula1>0</formula1>
      <formula2>$P164</formula2>
    </dataValidation>
    <dataValidation type="whole" allowBlank="1" showErrorMessage="1" errorTitle="Invalid Asset Count" error="Value must be between 0 and the Total Asset Numbers above." sqref="Q171" xr:uid="{00000000-0002-0000-0100-00007B000000}">
      <formula1>0</formula1>
      <formula2>$P164</formula2>
    </dataValidation>
    <dataValidation type="whole" allowBlank="1" showErrorMessage="1" errorTitle="Invalid Asset Count" error="Value must be between 0 and the Total Asset Numbers above." sqref="Q172" xr:uid="{00000000-0002-0000-0100-00007C000000}">
      <formula1>0</formula1>
      <formula2>$P164</formula2>
    </dataValidation>
    <dataValidation type="whole" allowBlank="1" showErrorMessage="1" errorTitle="Invalid Asset Count" error="Value must be between 0 and the Total Asset Numbers above." sqref="Q173" xr:uid="{00000000-0002-0000-0100-00007D000000}">
      <formula1>0</formula1>
      <formula2>$P164</formula2>
    </dataValidation>
    <dataValidation type="whole" allowBlank="1" showErrorMessage="1" errorTitle="Invalid Asset Count" error="Value must be between 0 and the Total Asset Numbers above." sqref="Q174" xr:uid="{00000000-0002-0000-0100-00007E000000}">
      <formula1>0</formula1>
      <formula2>$P164</formula2>
    </dataValidation>
    <dataValidation type="whole" allowBlank="1" showErrorMessage="1" errorTitle="Invalid Asset Count" error="Value must be between 0 and the Total Asset Numbers above." sqref="Q175" xr:uid="{00000000-0002-0000-0100-00007F000000}">
      <formula1>0</formula1>
      <formula2>$P164</formula2>
    </dataValidation>
    <dataValidation type="whole" allowBlank="1" showErrorMessage="1" errorTitle="Invalid Asset Count" error="Value must be between 0 and the Total Asset Numbers above." sqref="Q176" xr:uid="{00000000-0002-0000-0100-000080000000}">
      <formula1>0</formula1>
      <formula2>$P164</formula2>
    </dataValidation>
    <dataValidation type="whole" allowBlank="1" showErrorMessage="1" errorTitle="Invalid Asset Count" error="Value must be between 0 and the Total Asset Numbers above." sqref="Q177" xr:uid="{00000000-0002-0000-0100-000081000000}">
      <formula1>0</formula1>
      <formula2>$P164</formula2>
    </dataValidation>
    <dataValidation type="whole" allowBlank="1" showErrorMessage="1" errorTitle="Invalid Asset Count" error="Value must be between 0 and the Total Asset Numbers above." sqref="Q178" xr:uid="{00000000-0002-0000-0100-000082000000}">
      <formula1>0</formula1>
      <formula2>$P164</formula2>
    </dataValidation>
    <dataValidation type="whole" allowBlank="1" showErrorMessage="1" errorTitle="Invalid Asset Count" error="Value must be between 0 and the Total Asset Numbers above." sqref="Q179" xr:uid="{00000000-0002-0000-0100-000083000000}">
      <formula1>0</formula1>
      <formula2>$P164</formula2>
    </dataValidation>
    <dataValidation type="whole" allowBlank="1" showErrorMessage="1" errorTitle="Invalid Asset Count" error="Value must be between 0 and the Total Asset Numbers above." sqref="Q180" xr:uid="{00000000-0002-0000-0100-000084000000}">
      <formula1>0</formula1>
      <formula2>$P164</formula2>
    </dataValidation>
    <dataValidation type="whole" allowBlank="1" showErrorMessage="1" errorTitle="Invalid Asset Count" error="Value must be between 0 and the Total Asset Numbers above." sqref="Q181" xr:uid="{00000000-0002-0000-0100-000085000000}">
      <formula1>0</formula1>
      <formula2>$P164</formula2>
    </dataValidation>
    <dataValidation type="whole" allowBlank="1" showErrorMessage="1" errorTitle="Invalid Asset Count" error="Value must be between 0 and the Total Asset Numbers above." sqref="Q182" xr:uid="{00000000-0002-0000-0100-000086000000}">
      <formula1>0</formula1>
      <formula2>$P164</formula2>
    </dataValidation>
    <dataValidation type="whole" allowBlank="1" showErrorMessage="1" errorTitle="Invalid Asset Count" error="Value must be between 0 and the Total Asset Numbers above." sqref="Q183" xr:uid="{00000000-0002-0000-0100-000087000000}">
      <formula1>0</formula1>
      <formula2>$P164</formula2>
    </dataValidation>
    <dataValidation type="whole" allowBlank="1" showErrorMessage="1" errorTitle="Invalid Asset Count" error="Value must be between 0 and the Total Asset Numbers above." sqref="Q184" xr:uid="{00000000-0002-0000-0100-000088000000}">
      <formula1>0</formula1>
      <formula2>$P164</formula2>
    </dataValidation>
    <dataValidation type="whole" allowBlank="1" showErrorMessage="1" errorTitle="Invalid Asset Count" error="Value must be between 0 and the Total Asset Numbers above." sqref="Q185" xr:uid="{00000000-0002-0000-0100-000089000000}">
      <formula1>0</formula1>
      <formula2>$P164</formula2>
    </dataValidation>
    <dataValidation type="whole" allowBlank="1" showErrorMessage="1" errorTitle="Invalid Asset Count" error="Value must be between 0 and the Total Asset Numbers above." sqref="Q186" xr:uid="{00000000-0002-0000-0100-00008A000000}">
      <formula1>0</formula1>
      <formula2>$P164</formula2>
    </dataValidation>
    <dataValidation type="whole" allowBlank="1" showErrorMessage="1" errorTitle="Invalid Asset Count" error="Value must be between 0 and the Total Asset Numbers above." sqref="Q187" xr:uid="{00000000-0002-0000-0100-00008B000000}">
      <formula1>0</formula1>
      <formula2>$P164</formula2>
    </dataValidation>
  </dataValidations>
  <hyperlinks>
    <hyperlink ref="B191"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380"/>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256" si="0">IF(OR(G2="Implemented",G2="Compensated"),"Resolved",IF(OR(G2="Risk Accepted",G2="N/A"),"Excluded",IF(G2="Testing","Testing","Outstanding")))</f>
        <v>Outstanding</v>
      </c>
      <c r="M2" s="11" t="s">
        <v>19</v>
      </c>
    </row>
    <row r="3" spans="1:13" ht="60" customHeight="1" x14ac:dyDescent="0.35">
      <c r="A3" s="9" t="s">
        <v>23</v>
      </c>
      <c r="B3" s="1" t="s">
        <v>24</v>
      </c>
      <c r="C3" s="2" t="s">
        <v>15</v>
      </c>
      <c r="D3" s="3" t="s">
        <v>16</v>
      </c>
      <c r="E3" s="3" t="s">
        <v>17</v>
      </c>
      <c r="F3" s="3" t="s">
        <v>18</v>
      </c>
      <c r="G3" s="3" t="s">
        <v>19</v>
      </c>
      <c r="H3" s="4" t="s">
        <v>19</v>
      </c>
      <c r="I3" s="1" t="s">
        <v>25</v>
      </c>
      <c r="J3" s="1" t="s">
        <v>21</v>
      </c>
      <c r="K3" s="1" t="s">
        <v>26</v>
      </c>
      <c r="L3" s="3" t="str">
        <f t="shared" si="0"/>
        <v>Outstanding</v>
      </c>
      <c r="M3" s="11" t="s">
        <v>19</v>
      </c>
    </row>
    <row r="4" spans="1:13" ht="60" customHeight="1" x14ac:dyDescent="0.35">
      <c r="A4" s="9" t="s">
        <v>27</v>
      </c>
      <c r="B4" s="1" t="s">
        <v>28</v>
      </c>
      <c r="C4" s="2" t="s">
        <v>29</v>
      </c>
      <c r="D4" s="3" t="s">
        <v>16</v>
      </c>
      <c r="E4" s="3" t="s">
        <v>17</v>
      </c>
      <c r="F4" s="3" t="s">
        <v>18</v>
      </c>
      <c r="G4" s="3" t="s">
        <v>19</v>
      </c>
      <c r="H4" s="4" t="s">
        <v>19</v>
      </c>
      <c r="I4" s="1" t="s">
        <v>30</v>
      </c>
      <c r="J4" s="1" t="s">
        <v>31</v>
      </c>
      <c r="K4" s="1" t="s">
        <v>32</v>
      </c>
      <c r="L4" s="3" t="str">
        <f t="shared" si="0"/>
        <v>Outstanding</v>
      </c>
      <c r="M4" s="11" t="s">
        <v>19</v>
      </c>
    </row>
    <row r="5" spans="1:13" ht="60" customHeight="1" x14ac:dyDescent="0.35">
      <c r="A5" s="9" t="s">
        <v>33</v>
      </c>
      <c r="B5" s="1" t="s">
        <v>34</v>
      </c>
      <c r="C5" s="2" t="s">
        <v>15</v>
      </c>
      <c r="D5" s="3" t="s">
        <v>16</v>
      </c>
      <c r="E5" s="3" t="s">
        <v>17</v>
      </c>
      <c r="F5" s="3" t="s">
        <v>18</v>
      </c>
      <c r="G5" s="3" t="s">
        <v>19</v>
      </c>
      <c r="H5" s="4" t="s">
        <v>19</v>
      </c>
      <c r="I5" s="1" t="s">
        <v>35</v>
      </c>
      <c r="J5" s="1" t="s">
        <v>36</v>
      </c>
      <c r="K5" s="1" t="s">
        <v>37</v>
      </c>
      <c r="L5" s="3" t="str">
        <f t="shared" si="0"/>
        <v>Outstanding</v>
      </c>
      <c r="M5" s="11" t="s">
        <v>19</v>
      </c>
    </row>
    <row r="6" spans="1:13" ht="60" customHeight="1" x14ac:dyDescent="0.35">
      <c r="A6" s="9" t="s">
        <v>38</v>
      </c>
      <c r="B6" s="1" t="s">
        <v>39</v>
      </c>
      <c r="C6" s="2" t="s">
        <v>29</v>
      </c>
      <c r="D6" s="3" t="s">
        <v>16</v>
      </c>
      <c r="E6" s="3" t="s">
        <v>17</v>
      </c>
      <c r="F6" s="3" t="s">
        <v>18</v>
      </c>
      <c r="G6" s="3" t="s">
        <v>19</v>
      </c>
      <c r="H6" s="4" t="s">
        <v>19</v>
      </c>
      <c r="I6" s="1" t="s">
        <v>40</v>
      </c>
      <c r="J6" s="1" t="s">
        <v>41</v>
      </c>
      <c r="K6" s="1" t="s">
        <v>42</v>
      </c>
      <c r="L6" s="3" t="str">
        <f t="shared" si="0"/>
        <v>Outstanding</v>
      </c>
      <c r="M6" s="11" t="s">
        <v>19</v>
      </c>
    </row>
    <row r="7" spans="1:13" ht="60" customHeight="1" x14ac:dyDescent="0.35">
      <c r="A7" s="9" t="s">
        <v>43</v>
      </c>
      <c r="B7" s="1" t="s">
        <v>44</v>
      </c>
      <c r="C7" s="2" t="s">
        <v>29</v>
      </c>
      <c r="D7" s="3" t="s">
        <v>16</v>
      </c>
      <c r="E7" s="3" t="s">
        <v>17</v>
      </c>
      <c r="F7" s="3" t="s">
        <v>18</v>
      </c>
      <c r="G7" s="3" t="s">
        <v>19</v>
      </c>
      <c r="H7" s="4" t="s">
        <v>19</v>
      </c>
      <c r="I7" s="1" t="s">
        <v>45</v>
      </c>
      <c r="J7" s="1" t="s">
        <v>46</v>
      </c>
      <c r="K7" s="1" t="s">
        <v>47</v>
      </c>
      <c r="L7" s="3" t="str">
        <f t="shared" si="0"/>
        <v>Outstanding</v>
      </c>
      <c r="M7" s="11" t="s">
        <v>19</v>
      </c>
    </row>
    <row r="8" spans="1:13" ht="60" customHeight="1" x14ac:dyDescent="0.35">
      <c r="A8" s="9" t="s">
        <v>48</v>
      </c>
      <c r="B8" s="1" t="s">
        <v>49</v>
      </c>
      <c r="C8" s="2" t="s">
        <v>15</v>
      </c>
      <c r="D8" s="3" t="s">
        <v>16</v>
      </c>
      <c r="E8" s="3" t="s">
        <v>17</v>
      </c>
      <c r="F8" s="3" t="s">
        <v>18</v>
      </c>
      <c r="G8" s="3" t="s">
        <v>19</v>
      </c>
      <c r="H8" s="4" t="s">
        <v>19</v>
      </c>
      <c r="I8" s="1" t="s">
        <v>50</v>
      </c>
      <c r="J8" s="1" t="s">
        <v>51</v>
      </c>
      <c r="K8" s="1" t="s">
        <v>52</v>
      </c>
      <c r="L8" s="3" t="str">
        <f t="shared" si="0"/>
        <v>Outstanding</v>
      </c>
      <c r="M8" s="11" t="s">
        <v>19</v>
      </c>
    </row>
    <row r="9" spans="1:13" ht="60" customHeight="1" x14ac:dyDescent="0.35">
      <c r="A9" s="9" t="s">
        <v>53</v>
      </c>
      <c r="B9" s="1" t="s">
        <v>54</v>
      </c>
      <c r="C9" s="2" t="s">
        <v>15</v>
      </c>
      <c r="D9" s="3" t="s">
        <v>16</v>
      </c>
      <c r="E9" s="3" t="s">
        <v>17</v>
      </c>
      <c r="F9" s="3" t="s">
        <v>18</v>
      </c>
      <c r="G9" s="3" t="s">
        <v>19</v>
      </c>
      <c r="H9" s="4" t="s">
        <v>19</v>
      </c>
      <c r="I9" s="1" t="s">
        <v>55</v>
      </c>
      <c r="J9" s="1" t="s">
        <v>56</v>
      </c>
      <c r="K9" s="1" t="s">
        <v>57</v>
      </c>
      <c r="L9" s="3" t="str">
        <f t="shared" si="0"/>
        <v>Outstanding</v>
      </c>
      <c r="M9" s="11" t="s">
        <v>19</v>
      </c>
    </row>
    <row r="10" spans="1:13" ht="60" customHeight="1" x14ac:dyDescent="0.35">
      <c r="A10" s="9" t="s">
        <v>58</v>
      </c>
      <c r="B10" s="1" t="s">
        <v>59</v>
      </c>
      <c r="C10" s="2" t="s">
        <v>15</v>
      </c>
      <c r="D10" s="3" t="s">
        <v>16</v>
      </c>
      <c r="E10" s="3" t="s">
        <v>17</v>
      </c>
      <c r="F10" s="3" t="s">
        <v>18</v>
      </c>
      <c r="G10" s="3" t="s">
        <v>19</v>
      </c>
      <c r="H10" s="4" t="s">
        <v>19</v>
      </c>
      <c r="I10" s="1" t="s">
        <v>60</v>
      </c>
      <c r="J10" s="1" t="s">
        <v>61</v>
      </c>
      <c r="K10" s="1" t="s">
        <v>62</v>
      </c>
      <c r="L10" s="3" t="str">
        <f t="shared" si="0"/>
        <v>Outstanding</v>
      </c>
      <c r="M10" s="11" t="s">
        <v>19</v>
      </c>
    </row>
    <row r="11" spans="1:13" ht="60" customHeight="1" x14ac:dyDescent="0.35">
      <c r="A11" s="9" t="s">
        <v>63</v>
      </c>
      <c r="B11" s="1" t="s">
        <v>64</v>
      </c>
      <c r="C11" s="2" t="s">
        <v>15</v>
      </c>
      <c r="D11" s="3" t="s">
        <v>16</v>
      </c>
      <c r="E11" s="3" t="s">
        <v>17</v>
      </c>
      <c r="F11" s="3" t="s">
        <v>18</v>
      </c>
      <c r="G11" s="3" t="s">
        <v>19</v>
      </c>
      <c r="H11" s="4" t="s">
        <v>19</v>
      </c>
      <c r="I11" s="1" t="s">
        <v>65</v>
      </c>
      <c r="J11" s="1" t="s">
        <v>61</v>
      </c>
      <c r="K11" s="1" t="s">
        <v>66</v>
      </c>
      <c r="L11" s="3" t="str">
        <f t="shared" si="0"/>
        <v>Outstanding</v>
      </c>
      <c r="M11" s="11" t="s">
        <v>19</v>
      </c>
    </row>
    <row r="12" spans="1:13" ht="60" customHeight="1" x14ac:dyDescent="0.35">
      <c r="A12" s="9" t="s">
        <v>67</v>
      </c>
      <c r="B12" s="1" t="s">
        <v>68</v>
      </c>
      <c r="C12" s="2" t="s">
        <v>15</v>
      </c>
      <c r="D12" s="3" t="s">
        <v>16</v>
      </c>
      <c r="E12" s="3" t="s">
        <v>17</v>
      </c>
      <c r="F12" s="3" t="s">
        <v>18</v>
      </c>
      <c r="G12" s="3" t="s">
        <v>19</v>
      </c>
      <c r="H12" s="4" t="s">
        <v>19</v>
      </c>
      <c r="I12" s="1" t="s">
        <v>69</v>
      </c>
      <c r="J12" s="1" t="s">
        <v>70</v>
      </c>
      <c r="K12" s="1" t="s">
        <v>71</v>
      </c>
      <c r="L12" s="3" t="str">
        <f t="shared" si="0"/>
        <v>Outstanding</v>
      </c>
      <c r="M12" s="11" t="s">
        <v>19</v>
      </c>
    </row>
    <row r="13" spans="1:13" ht="60" customHeight="1" x14ac:dyDescent="0.35">
      <c r="A13" s="9" t="s">
        <v>72</v>
      </c>
      <c r="B13" s="1" t="s">
        <v>73</v>
      </c>
      <c r="C13" s="2" t="s">
        <v>15</v>
      </c>
      <c r="D13" s="3" t="s">
        <v>16</v>
      </c>
      <c r="E13" s="3" t="s">
        <v>17</v>
      </c>
      <c r="F13" s="3" t="s">
        <v>18</v>
      </c>
      <c r="G13" s="3" t="s">
        <v>19</v>
      </c>
      <c r="H13" s="4" t="s">
        <v>19</v>
      </c>
      <c r="I13" s="1" t="s">
        <v>74</v>
      </c>
      <c r="J13" s="1" t="s">
        <v>75</v>
      </c>
      <c r="K13" s="1" t="s">
        <v>76</v>
      </c>
      <c r="L13" s="3" t="str">
        <f t="shared" si="0"/>
        <v>Outstanding</v>
      </c>
      <c r="M13" s="11" t="s">
        <v>19</v>
      </c>
    </row>
    <row r="14" spans="1:13" ht="60" customHeight="1" x14ac:dyDescent="0.35">
      <c r="A14" s="9" t="s">
        <v>77</v>
      </c>
      <c r="B14" s="1" t="s">
        <v>78</v>
      </c>
      <c r="C14" s="2" t="s">
        <v>15</v>
      </c>
      <c r="D14" s="3" t="s">
        <v>16</v>
      </c>
      <c r="E14" s="3" t="s">
        <v>17</v>
      </c>
      <c r="F14" s="3" t="s">
        <v>18</v>
      </c>
      <c r="G14" s="3" t="s">
        <v>19</v>
      </c>
      <c r="H14" s="4" t="s">
        <v>19</v>
      </c>
      <c r="I14" s="1" t="s">
        <v>79</v>
      </c>
      <c r="J14" s="1" t="s">
        <v>80</v>
      </c>
      <c r="K14" s="1" t="s">
        <v>81</v>
      </c>
      <c r="L14" s="3" t="str">
        <f t="shared" si="0"/>
        <v>Outstanding</v>
      </c>
      <c r="M14" s="11" t="s">
        <v>19</v>
      </c>
    </row>
    <row r="15" spans="1:13" ht="60" customHeight="1" x14ac:dyDescent="0.35">
      <c r="A15" s="9" t="s">
        <v>82</v>
      </c>
      <c r="B15" s="1" t="s">
        <v>83</v>
      </c>
      <c r="C15" s="2" t="s">
        <v>15</v>
      </c>
      <c r="D15" s="3" t="s">
        <v>16</v>
      </c>
      <c r="E15" s="3" t="s">
        <v>17</v>
      </c>
      <c r="F15" s="3" t="s">
        <v>18</v>
      </c>
      <c r="G15" s="3" t="s">
        <v>19</v>
      </c>
      <c r="H15" s="4" t="s">
        <v>19</v>
      </c>
      <c r="I15" s="1" t="s">
        <v>84</v>
      </c>
      <c r="J15" s="1" t="s">
        <v>85</v>
      </c>
      <c r="K15" s="1" t="s">
        <v>86</v>
      </c>
      <c r="L15" s="3" t="str">
        <f t="shared" si="0"/>
        <v>Outstanding</v>
      </c>
      <c r="M15" s="11" t="s">
        <v>19</v>
      </c>
    </row>
    <row r="16" spans="1:13" ht="60" customHeight="1" x14ac:dyDescent="0.35">
      <c r="A16" s="9" t="s">
        <v>87</v>
      </c>
      <c r="B16" s="1" t="s">
        <v>88</v>
      </c>
      <c r="C16" s="2" t="s">
        <v>15</v>
      </c>
      <c r="D16" s="3" t="s">
        <v>16</v>
      </c>
      <c r="E16" s="3" t="s">
        <v>17</v>
      </c>
      <c r="F16" s="3" t="s">
        <v>18</v>
      </c>
      <c r="G16" s="3" t="s">
        <v>19</v>
      </c>
      <c r="H16" s="4" t="s">
        <v>19</v>
      </c>
      <c r="I16" s="1" t="s">
        <v>89</v>
      </c>
      <c r="J16" s="1" t="s">
        <v>90</v>
      </c>
      <c r="K16" s="1" t="s">
        <v>91</v>
      </c>
      <c r="L16" s="3" t="str">
        <f t="shared" si="0"/>
        <v>Outstanding</v>
      </c>
      <c r="M16" s="11" t="s">
        <v>19</v>
      </c>
    </row>
    <row r="17" spans="1:13" ht="60" customHeight="1" x14ac:dyDescent="0.35">
      <c r="A17" s="9" t="s">
        <v>92</v>
      </c>
      <c r="B17" s="1" t="s">
        <v>93</v>
      </c>
      <c r="C17" s="2" t="s">
        <v>15</v>
      </c>
      <c r="D17" s="3" t="s">
        <v>16</v>
      </c>
      <c r="E17" s="3" t="s">
        <v>17</v>
      </c>
      <c r="F17" s="3" t="s">
        <v>18</v>
      </c>
      <c r="G17" s="3" t="s">
        <v>19</v>
      </c>
      <c r="H17" s="4" t="s">
        <v>19</v>
      </c>
      <c r="I17" s="1" t="s">
        <v>94</v>
      </c>
      <c r="J17" s="1" t="s">
        <v>95</v>
      </c>
      <c r="K17" s="1" t="s">
        <v>96</v>
      </c>
      <c r="L17" s="3" t="str">
        <f t="shared" si="0"/>
        <v>Outstanding</v>
      </c>
      <c r="M17" s="11" t="s">
        <v>19</v>
      </c>
    </row>
    <row r="18" spans="1:13" ht="60" customHeight="1" x14ac:dyDescent="0.35">
      <c r="A18" s="9" t="s">
        <v>97</v>
      </c>
      <c r="B18" s="1" t="s">
        <v>98</v>
      </c>
      <c r="C18" s="2" t="s">
        <v>29</v>
      </c>
      <c r="D18" s="3" t="s">
        <v>16</v>
      </c>
      <c r="E18" s="3" t="s">
        <v>17</v>
      </c>
      <c r="F18" s="3" t="s">
        <v>18</v>
      </c>
      <c r="G18" s="3" t="s">
        <v>19</v>
      </c>
      <c r="H18" s="4" t="s">
        <v>19</v>
      </c>
      <c r="I18" s="1" t="s">
        <v>99</v>
      </c>
      <c r="J18" s="1" t="s">
        <v>100</v>
      </c>
      <c r="K18" s="1" t="s">
        <v>101</v>
      </c>
      <c r="L18" s="3" t="str">
        <f t="shared" si="0"/>
        <v>Outstanding</v>
      </c>
      <c r="M18" s="11" t="s">
        <v>19</v>
      </c>
    </row>
    <row r="19" spans="1:13" ht="60" customHeight="1" x14ac:dyDescent="0.35">
      <c r="A19" s="9" t="s">
        <v>102</v>
      </c>
      <c r="B19" s="1" t="s">
        <v>103</v>
      </c>
      <c r="C19" s="2" t="s">
        <v>15</v>
      </c>
      <c r="D19" s="3" t="s">
        <v>16</v>
      </c>
      <c r="E19" s="3" t="s">
        <v>17</v>
      </c>
      <c r="F19" s="3" t="s">
        <v>18</v>
      </c>
      <c r="G19" s="3" t="s">
        <v>19</v>
      </c>
      <c r="H19" s="4" t="s">
        <v>19</v>
      </c>
      <c r="I19" s="1" t="s">
        <v>104</v>
      </c>
      <c r="J19" s="1" t="s">
        <v>105</v>
      </c>
      <c r="K19" s="1" t="s">
        <v>106</v>
      </c>
      <c r="L19" s="3" t="str">
        <f t="shared" si="0"/>
        <v>Outstanding</v>
      </c>
      <c r="M19" s="11" t="s">
        <v>19</v>
      </c>
    </row>
    <row r="20" spans="1:13" ht="60" customHeight="1" x14ac:dyDescent="0.35">
      <c r="A20" s="9" t="s">
        <v>107</v>
      </c>
      <c r="B20" s="1" t="s">
        <v>108</v>
      </c>
      <c r="C20" s="2" t="s">
        <v>15</v>
      </c>
      <c r="D20" s="3" t="s">
        <v>16</v>
      </c>
      <c r="E20" s="3" t="s">
        <v>17</v>
      </c>
      <c r="F20" s="3" t="s">
        <v>18</v>
      </c>
      <c r="G20" s="3" t="s">
        <v>19</v>
      </c>
      <c r="H20" s="4" t="s">
        <v>19</v>
      </c>
      <c r="I20" s="1" t="s">
        <v>109</v>
      </c>
      <c r="J20" s="1" t="s">
        <v>110</v>
      </c>
      <c r="K20" s="1" t="s">
        <v>111</v>
      </c>
      <c r="L20" s="3" t="str">
        <f t="shared" si="0"/>
        <v>Outstanding</v>
      </c>
      <c r="M20" s="11" t="s">
        <v>19</v>
      </c>
    </row>
    <row r="21" spans="1:13" ht="60" customHeight="1" x14ac:dyDescent="0.35">
      <c r="A21" s="9" t="s">
        <v>112</v>
      </c>
      <c r="B21" s="1" t="s">
        <v>113</v>
      </c>
      <c r="C21" s="2" t="s">
        <v>29</v>
      </c>
      <c r="D21" s="3" t="s">
        <v>16</v>
      </c>
      <c r="E21" s="3" t="s">
        <v>17</v>
      </c>
      <c r="F21" s="3" t="s">
        <v>18</v>
      </c>
      <c r="G21" s="3" t="s">
        <v>19</v>
      </c>
      <c r="H21" s="4" t="s">
        <v>19</v>
      </c>
      <c r="I21" s="1" t="s">
        <v>114</v>
      </c>
      <c r="J21" s="1" t="s">
        <v>100</v>
      </c>
      <c r="K21" s="1" t="s">
        <v>115</v>
      </c>
      <c r="L21" s="3" t="str">
        <f t="shared" si="0"/>
        <v>Outstanding</v>
      </c>
      <c r="M21" s="11" t="s">
        <v>19</v>
      </c>
    </row>
    <row r="22" spans="1:13" ht="60" customHeight="1" x14ac:dyDescent="0.35">
      <c r="A22" s="9" t="s">
        <v>116</v>
      </c>
      <c r="B22" s="1" t="s">
        <v>117</v>
      </c>
      <c r="C22" s="2" t="s">
        <v>15</v>
      </c>
      <c r="D22" s="3" t="s">
        <v>16</v>
      </c>
      <c r="E22" s="3" t="s">
        <v>17</v>
      </c>
      <c r="F22" s="3" t="s">
        <v>18</v>
      </c>
      <c r="G22" s="3" t="s">
        <v>19</v>
      </c>
      <c r="H22" s="4" t="s">
        <v>19</v>
      </c>
      <c r="I22" s="1" t="s">
        <v>118</v>
      </c>
      <c r="J22" s="1" t="s">
        <v>119</v>
      </c>
      <c r="K22" s="1" t="s">
        <v>120</v>
      </c>
      <c r="L22" s="3" t="str">
        <f t="shared" si="0"/>
        <v>Outstanding</v>
      </c>
      <c r="M22" s="11" t="s">
        <v>19</v>
      </c>
    </row>
    <row r="23" spans="1:13" ht="60" customHeight="1" x14ac:dyDescent="0.35">
      <c r="A23" s="9" t="s">
        <v>121</v>
      </c>
      <c r="B23" s="1" t="s">
        <v>122</v>
      </c>
      <c r="C23" s="2" t="s">
        <v>15</v>
      </c>
      <c r="D23" s="3" t="s">
        <v>16</v>
      </c>
      <c r="E23" s="3" t="s">
        <v>17</v>
      </c>
      <c r="F23" s="3" t="s">
        <v>18</v>
      </c>
      <c r="G23" s="3" t="s">
        <v>19</v>
      </c>
      <c r="H23" s="4" t="s">
        <v>19</v>
      </c>
      <c r="I23" s="1" t="s">
        <v>123</v>
      </c>
      <c r="J23" s="1" t="s">
        <v>119</v>
      </c>
      <c r="K23" s="1" t="s">
        <v>124</v>
      </c>
      <c r="L23" s="3" t="str">
        <f t="shared" si="0"/>
        <v>Outstanding</v>
      </c>
      <c r="M23" s="11" t="s">
        <v>19</v>
      </c>
    </row>
    <row r="24" spans="1:13" ht="60" customHeight="1" x14ac:dyDescent="0.35">
      <c r="A24" s="9" t="s">
        <v>125</v>
      </c>
      <c r="B24" s="1" t="s">
        <v>126</v>
      </c>
      <c r="C24" s="2" t="s">
        <v>15</v>
      </c>
      <c r="D24" s="3" t="s">
        <v>16</v>
      </c>
      <c r="E24" s="3" t="s">
        <v>17</v>
      </c>
      <c r="F24" s="3" t="s">
        <v>18</v>
      </c>
      <c r="G24" s="3" t="s">
        <v>19</v>
      </c>
      <c r="H24" s="4" t="s">
        <v>19</v>
      </c>
      <c r="I24" s="1" t="s">
        <v>127</v>
      </c>
      <c r="J24" s="1" t="s">
        <v>128</v>
      </c>
      <c r="K24" s="1" t="s">
        <v>129</v>
      </c>
      <c r="L24" s="3" t="str">
        <f t="shared" si="0"/>
        <v>Outstanding</v>
      </c>
      <c r="M24" s="11" t="s">
        <v>19</v>
      </c>
    </row>
    <row r="25" spans="1:13" ht="60" customHeight="1" x14ac:dyDescent="0.35">
      <c r="A25" s="9" t="s">
        <v>130</v>
      </c>
      <c r="B25" s="1" t="s">
        <v>131</v>
      </c>
      <c r="C25" s="2" t="s">
        <v>15</v>
      </c>
      <c r="D25" s="3" t="s">
        <v>16</v>
      </c>
      <c r="E25" s="3" t="s">
        <v>17</v>
      </c>
      <c r="F25" s="3" t="s">
        <v>18</v>
      </c>
      <c r="G25" s="3" t="s">
        <v>19</v>
      </c>
      <c r="H25" s="4" t="s">
        <v>19</v>
      </c>
      <c r="I25" s="1" t="s">
        <v>132</v>
      </c>
      <c r="J25" s="1" t="s">
        <v>128</v>
      </c>
      <c r="K25" s="1" t="s">
        <v>133</v>
      </c>
      <c r="L25" s="3" t="str">
        <f t="shared" si="0"/>
        <v>Outstanding</v>
      </c>
      <c r="M25" s="11" t="s">
        <v>19</v>
      </c>
    </row>
    <row r="26" spans="1:13" ht="60" customHeight="1" x14ac:dyDescent="0.35">
      <c r="A26" s="9" t="s">
        <v>134</v>
      </c>
      <c r="B26" s="1" t="s">
        <v>135</v>
      </c>
      <c r="C26" s="2" t="s">
        <v>15</v>
      </c>
      <c r="D26" s="3" t="s">
        <v>16</v>
      </c>
      <c r="E26" s="3" t="s">
        <v>17</v>
      </c>
      <c r="F26" s="3" t="s">
        <v>18</v>
      </c>
      <c r="G26" s="3" t="s">
        <v>19</v>
      </c>
      <c r="H26" s="4" t="s">
        <v>19</v>
      </c>
      <c r="I26" s="1" t="s">
        <v>136</v>
      </c>
      <c r="J26" s="1" t="s">
        <v>137</v>
      </c>
      <c r="K26" s="1" t="s">
        <v>138</v>
      </c>
      <c r="L26" s="3" t="str">
        <f t="shared" si="0"/>
        <v>Outstanding</v>
      </c>
      <c r="M26" s="11" t="s">
        <v>19</v>
      </c>
    </row>
    <row r="27" spans="1:13" ht="60" customHeight="1" x14ac:dyDescent="0.35">
      <c r="A27" s="9" t="s">
        <v>139</v>
      </c>
      <c r="B27" s="1" t="s">
        <v>140</v>
      </c>
      <c r="C27" s="2" t="s">
        <v>15</v>
      </c>
      <c r="D27" s="3" t="s">
        <v>16</v>
      </c>
      <c r="E27" s="3" t="s">
        <v>17</v>
      </c>
      <c r="F27" s="3" t="s">
        <v>18</v>
      </c>
      <c r="G27" s="3" t="s">
        <v>19</v>
      </c>
      <c r="H27" s="4" t="s">
        <v>19</v>
      </c>
      <c r="I27" s="1" t="s">
        <v>141</v>
      </c>
      <c r="J27" s="1" t="s">
        <v>142</v>
      </c>
      <c r="K27" s="1" t="s">
        <v>143</v>
      </c>
      <c r="L27" s="3" t="str">
        <f t="shared" si="0"/>
        <v>Outstanding</v>
      </c>
      <c r="M27" s="11" t="s">
        <v>19</v>
      </c>
    </row>
    <row r="28" spans="1:13" ht="60" customHeight="1" x14ac:dyDescent="0.35">
      <c r="A28" s="9" t="s">
        <v>144</v>
      </c>
      <c r="B28" s="1" t="s">
        <v>145</v>
      </c>
      <c r="C28" s="2" t="s">
        <v>15</v>
      </c>
      <c r="D28" s="3" t="s">
        <v>16</v>
      </c>
      <c r="E28" s="3" t="s">
        <v>17</v>
      </c>
      <c r="F28" s="3" t="s">
        <v>18</v>
      </c>
      <c r="G28" s="3" t="s">
        <v>19</v>
      </c>
      <c r="H28" s="4" t="s">
        <v>19</v>
      </c>
      <c r="I28" s="1" t="s">
        <v>146</v>
      </c>
      <c r="J28" s="1" t="s">
        <v>142</v>
      </c>
      <c r="K28" s="1" t="s">
        <v>147</v>
      </c>
      <c r="L28" s="3" t="str">
        <f t="shared" si="0"/>
        <v>Outstanding</v>
      </c>
      <c r="M28" s="11" t="s">
        <v>19</v>
      </c>
    </row>
    <row r="29" spans="1:13" ht="60" customHeight="1" x14ac:dyDescent="0.35">
      <c r="A29" s="9" t="s">
        <v>148</v>
      </c>
      <c r="B29" s="1" t="s">
        <v>149</v>
      </c>
      <c r="C29" s="2" t="s">
        <v>15</v>
      </c>
      <c r="D29" s="3" t="s">
        <v>16</v>
      </c>
      <c r="E29" s="3" t="s">
        <v>17</v>
      </c>
      <c r="F29" s="3" t="s">
        <v>18</v>
      </c>
      <c r="G29" s="3" t="s">
        <v>19</v>
      </c>
      <c r="H29" s="4" t="s">
        <v>19</v>
      </c>
      <c r="I29" s="1" t="s">
        <v>150</v>
      </c>
      <c r="J29" s="1" t="s">
        <v>151</v>
      </c>
      <c r="K29" s="1" t="s">
        <v>152</v>
      </c>
      <c r="L29" s="3" t="str">
        <f t="shared" si="0"/>
        <v>Outstanding</v>
      </c>
      <c r="M29" s="11" t="s">
        <v>19</v>
      </c>
    </row>
    <row r="30" spans="1:13" ht="60" customHeight="1" x14ac:dyDescent="0.35">
      <c r="A30" s="9" t="s">
        <v>153</v>
      </c>
      <c r="B30" s="1" t="s">
        <v>154</v>
      </c>
      <c r="C30" s="2" t="s">
        <v>155</v>
      </c>
      <c r="D30" s="3" t="s">
        <v>16</v>
      </c>
      <c r="E30" s="3" t="s">
        <v>17</v>
      </c>
      <c r="F30" s="3" t="s">
        <v>18</v>
      </c>
      <c r="G30" s="3" t="s">
        <v>19</v>
      </c>
      <c r="H30" s="4" t="s">
        <v>19</v>
      </c>
      <c r="I30" s="1" t="s">
        <v>156</v>
      </c>
      <c r="J30" s="1" t="s">
        <v>157</v>
      </c>
      <c r="K30" s="1" t="s">
        <v>158</v>
      </c>
      <c r="L30" s="3" t="str">
        <f t="shared" si="0"/>
        <v>Outstanding</v>
      </c>
      <c r="M30" s="11" t="s">
        <v>19</v>
      </c>
    </row>
    <row r="31" spans="1:13" ht="60" customHeight="1" x14ac:dyDescent="0.35">
      <c r="A31" s="9" t="s">
        <v>159</v>
      </c>
      <c r="B31" s="1" t="s">
        <v>160</v>
      </c>
      <c r="C31" s="2" t="s">
        <v>15</v>
      </c>
      <c r="D31" s="3" t="s">
        <v>16</v>
      </c>
      <c r="E31" s="3" t="s">
        <v>17</v>
      </c>
      <c r="F31" s="3" t="s">
        <v>18</v>
      </c>
      <c r="G31" s="3" t="s">
        <v>19</v>
      </c>
      <c r="H31" s="4" t="s">
        <v>19</v>
      </c>
      <c r="I31" s="1" t="s">
        <v>161</v>
      </c>
      <c r="J31" s="1" t="s">
        <v>162</v>
      </c>
      <c r="K31" s="1" t="s">
        <v>163</v>
      </c>
      <c r="L31" s="3" t="str">
        <f t="shared" si="0"/>
        <v>Outstanding</v>
      </c>
      <c r="M31" s="11" t="s">
        <v>19</v>
      </c>
    </row>
    <row r="32" spans="1:13" ht="60" customHeight="1" x14ac:dyDescent="0.35">
      <c r="A32" s="9" t="s">
        <v>164</v>
      </c>
      <c r="B32" s="1" t="s">
        <v>165</v>
      </c>
      <c r="C32" s="2" t="s">
        <v>15</v>
      </c>
      <c r="D32" s="3" t="s">
        <v>16</v>
      </c>
      <c r="E32" s="3" t="s">
        <v>17</v>
      </c>
      <c r="F32" s="3" t="s">
        <v>18</v>
      </c>
      <c r="G32" s="3" t="s">
        <v>19</v>
      </c>
      <c r="H32" s="4" t="s">
        <v>19</v>
      </c>
      <c r="I32" s="1" t="s">
        <v>166</v>
      </c>
      <c r="J32" s="1" t="s">
        <v>167</v>
      </c>
      <c r="K32" s="1" t="s">
        <v>168</v>
      </c>
      <c r="L32" s="3" t="str">
        <f t="shared" si="0"/>
        <v>Outstanding</v>
      </c>
      <c r="M32" s="11" t="s">
        <v>19</v>
      </c>
    </row>
    <row r="33" spans="1:13" ht="60" customHeight="1" x14ac:dyDescent="0.35">
      <c r="A33" s="9" t="s">
        <v>169</v>
      </c>
      <c r="B33" s="1" t="s">
        <v>170</v>
      </c>
      <c r="C33" s="2" t="s">
        <v>15</v>
      </c>
      <c r="D33" s="3" t="s">
        <v>16</v>
      </c>
      <c r="E33" s="3" t="s">
        <v>17</v>
      </c>
      <c r="F33" s="3" t="s">
        <v>18</v>
      </c>
      <c r="G33" s="3" t="s">
        <v>19</v>
      </c>
      <c r="H33" s="4" t="s">
        <v>19</v>
      </c>
      <c r="I33" s="1" t="s">
        <v>171</v>
      </c>
      <c r="J33" s="1" t="s">
        <v>172</v>
      </c>
      <c r="K33" s="1" t="s">
        <v>173</v>
      </c>
      <c r="L33" s="3" t="str">
        <f t="shared" si="0"/>
        <v>Outstanding</v>
      </c>
      <c r="M33" s="11" t="s">
        <v>19</v>
      </c>
    </row>
    <row r="34" spans="1:13" ht="60" customHeight="1" x14ac:dyDescent="0.35">
      <c r="A34" s="9" t="s">
        <v>174</v>
      </c>
      <c r="B34" s="1" t="s">
        <v>175</v>
      </c>
      <c r="C34" s="2" t="s">
        <v>15</v>
      </c>
      <c r="D34" s="3" t="s">
        <v>16</v>
      </c>
      <c r="E34" s="3" t="s">
        <v>17</v>
      </c>
      <c r="F34" s="3" t="s">
        <v>18</v>
      </c>
      <c r="G34" s="3" t="s">
        <v>19</v>
      </c>
      <c r="H34" s="4" t="s">
        <v>19</v>
      </c>
      <c r="I34" s="1" t="s">
        <v>176</v>
      </c>
      <c r="J34" s="1" t="s">
        <v>177</v>
      </c>
      <c r="K34" s="1" t="s">
        <v>178</v>
      </c>
      <c r="L34" s="3" t="str">
        <f t="shared" si="0"/>
        <v>Outstanding</v>
      </c>
      <c r="M34" s="11" t="s">
        <v>19</v>
      </c>
    </row>
    <row r="35" spans="1:13" ht="60" customHeight="1" x14ac:dyDescent="0.35">
      <c r="A35" s="9" t="s">
        <v>179</v>
      </c>
      <c r="B35" s="1" t="s">
        <v>180</v>
      </c>
      <c r="C35" s="2" t="s">
        <v>15</v>
      </c>
      <c r="D35" s="3" t="s">
        <v>16</v>
      </c>
      <c r="E35" s="3" t="s">
        <v>17</v>
      </c>
      <c r="F35" s="3" t="s">
        <v>18</v>
      </c>
      <c r="G35" s="3" t="s">
        <v>19</v>
      </c>
      <c r="H35" s="4" t="s">
        <v>19</v>
      </c>
      <c r="I35" s="1" t="s">
        <v>181</v>
      </c>
      <c r="J35" s="1" t="s">
        <v>177</v>
      </c>
      <c r="K35" s="1" t="s">
        <v>182</v>
      </c>
      <c r="L35" s="3" t="str">
        <f t="shared" si="0"/>
        <v>Outstanding</v>
      </c>
      <c r="M35" s="11" t="s">
        <v>19</v>
      </c>
    </row>
    <row r="36" spans="1:13" ht="60" customHeight="1" x14ac:dyDescent="0.35">
      <c r="A36" s="9" t="s">
        <v>183</v>
      </c>
      <c r="B36" s="1" t="s">
        <v>184</v>
      </c>
      <c r="C36" s="2" t="s">
        <v>15</v>
      </c>
      <c r="D36" s="3" t="s">
        <v>16</v>
      </c>
      <c r="E36" s="3" t="s">
        <v>17</v>
      </c>
      <c r="F36" s="3" t="s">
        <v>18</v>
      </c>
      <c r="G36" s="3" t="s">
        <v>19</v>
      </c>
      <c r="H36" s="4" t="s">
        <v>19</v>
      </c>
      <c r="I36" s="1" t="s">
        <v>185</v>
      </c>
      <c r="J36" s="1" t="s">
        <v>177</v>
      </c>
      <c r="K36" s="1" t="s">
        <v>186</v>
      </c>
      <c r="L36" s="3" t="str">
        <f t="shared" si="0"/>
        <v>Outstanding</v>
      </c>
      <c r="M36" s="11" t="s">
        <v>19</v>
      </c>
    </row>
    <row r="37" spans="1:13" ht="60" customHeight="1" x14ac:dyDescent="0.35">
      <c r="A37" s="9" t="s">
        <v>187</v>
      </c>
      <c r="B37" s="1" t="s">
        <v>188</v>
      </c>
      <c r="C37" s="2" t="s">
        <v>15</v>
      </c>
      <c r="D37" s="3" t="s">
        <v>16</v>
      </c>
      <c r="E37" s="3" t="s">
        <v>17</v>
      </c>
      <c r="F37" s="3" t="s">
        <v>18</v>
      </c>
      <c r="G37" s="3" t="s">
        <v>19</v>
      </c>
      <c r="H37" s="4" t="s">
        <v>19</v>
      </c>
      <c r="I37" s="1" t="s">
        <v>189</v>
      </c>
      <c r="J37" s="1" t="s">
        <v>177</v>
      </c>
      <c r="K37" s="1" t="s">
        <v>190</v>
      </c>
      <c r="L37" s="3" t="str">
        <f t="shared" si="0"/>
        <v>Outstanding</v>
      </c>
      <c r="M37" s="11" t="s">
        <v>19</v>
      </c>
    </row>
    <row r="38" spans="1:13" ht="60" customHeight="1" x14ac:dyDescent="0.35">
      <c r="A38" s="9" t="s">
        <v>191</v>
      </c>
      <c r="B38" s="1" t="s">
        <v>192</v>
      </c>
      <c r="C38" s="2" t="s">
        <v>15</v>
      </c>
      <c r="D38" s="3" t="s">
        <v>16</v>
      </c>
      <c r="E38" s="3" t="s">
        <v>17</v>
      </c>
      <c r="F38" s="3" t="s">
        <v>18</v>
      </c>
      <c r="G38" s="3" t="s">
        <v>19</v>
      </c>
      <c r="H38" s="4" t="s">
        <v>19</v>
      </c>
      <c r="I38" s="1" t="s">
        <v>193</v>
      </c>
      <c r="J38" s="1" t="s">
        <v>177</v>
      </c>
      <c r="K38" s="1" t="s">
        <v>194</v>
      </c>
      <c r="L38" s="3" t="str">
        <f t="shared" si="0"/>
        <v>Outstanding</v>
      </c>
      <c r="M38" s="11" t="s">
        <v>19</v>
      </c>
    </row>
    <row r="39" spans="1:13" ht="60" customHeight="1" x14ac:dyDescent="0.35">
      <c r="A39" s="9" t="s">
        <v>195</v>
      </c>
      <c r="B39" s="1" t="s">
        <v>196</v>
      </c>
      <c r="C39" s="2" t="s">
        <v>15</v>
      </c>
      <c r="D39" s="3" t="s">
        <v>16</v>
      </c>
      <c r="E39" s="3" t="s">
        <v>17</v>
      </c>
      <c r="F39" s="3" t="s">
        <v>18</v>
      </c>
      <c r="G39" s="3" t="s">
        <v>19</v>
      </c>
      <c r="H39" s="4" t="s">
        <v>19</v>
      </c>
      <c r="I39" s="1" t="s">
        <v>197</v>
      </c>
      <c r="J39" s="1" t="s">
        <v>177</v>
      </c>
      <c r="K39" s="1" t="s">
        <v>198</v>
      </c>
      <c r="L39" s="3" t="str">
        <f t="shared" si="0"/>
        <v>Outstanding</v>
      </c>
      <c r="M39" s="11" t="s">
        <v>19</v>
      </c>
    </row>
    <row r="40" spans="1:13" ht="60" customHeight="1" x14ac:dyDescent="0.35">
      <c r="A40" s="9" t="s">
        <v>199</v>
      </c>
      <c r="B40" s="1" t="s">
        <v>200</v>
      </c>
      <c r="C40" s="2" t="s">
        <v>155</v>
      </c>
      <c r="D40" s="3" t="s">
        <v>16</v>
      </c>
      <c r="E40" s="3" t="s">
        <v>17</v>
      </c>
      <c r="F40" s="3" t="s">
        <v>18</v>
      </c>
      <c r="G40" s="3" t="s">
        <v>19</v>
      </c>
      <c r="H40" s="4" t="s">
        <v>19</v>
      </c>
      <c r="I40" s="1" t="s">
        <v>201</v>
      </c>
      <c r="J40" s="1" t="s">
        <v>202</v>
      </c>
      <c r="K40" s="1" t="s">
        <v>203</v>
      </c>
      <c r="L40" s="3" t="str">
        <f t="shared" si="0"/>
        <v>Outstanding</v>
      </c>
      <c r="M40" s="11" t="s">
        <v>19</v>
      </c>
    </row>
    <row r="41" spans="1:13" ht="60" customHeight="1" x14ac:dyDescent="0.35">
      <c r="A41" s="9" t="s">
        <v>204</v>
      </c>
      <c r="B41" s="1" t="s">
        <v>205</v>
      </c>
      <c r="C41" s="2" t="s">
        <v>15</v>
      </c>
      <c r="D41" s="3" t="s">
        <v>16</v>
      </c>
      <c r="E41" s="3" t="s">
        <v>17</v>
      </c>
      <c r="F41" s="3" t="s">
        <v>18</v>
      </c>
      <c r="G41" s="3" t="s">
        <v>19</v>
      </c>
      <c r="H41" s="4" t="s">
        <v>19</v>
      </c>
      <c r="I41" s="1" t="s">
        <v>206</v>
      </c>
      <c r="J41" s="1" t="s">
        <v>207</v>
      </c>
      <c r="K41" s="1" t="s">
        <v>208</v>
      </c>
      <c r="L41" s="3" t="str">
        <f t="shared" si="0"/>
        <v>Outstanding</v>
      </c>
      <c r="M41" s="11" t="s">
        <v>19</v>
      </c>
    </row>
    <row r="42" spans="1:13" ht="60" customHeight="1" x14ac:dyDescent="0.35">
      <c r="A42" s="9" t="s">
        <v>209</v>
      </c>
      <c r="B42" s="1" t="s">
        <v>210</v>
      </c>
      <c r="C42" s="2" t="s">
        <v>15</v>
      </c>
      <c r="D42" s="3" t="s">
        <v>16</v>
      </c>
      <c r="E42" s="3" t="s">
        <v>17</v>
      </c>
      <c r="F42" s="3" t="s">
        <v>18</v>
      </c>
      <c r="G42" s="3" t="s">
        <v>19</v>
      </c>
      <c r="H42" s="4" t="s">
        <v>19</v>
      </c>
      <c r="I42" s="1" t="s">
        <v>211</v>
      </c>
      <c r="J42" s="1" t="s">
        <v>207</v>
      </c>
      <c r="K42" s="1" t="s">
        <v>212</v>
      </c>
      <c r="L42" s="3" t="str">
        <f t="shared" si="0"/>
        <v>Outstanding</v>
      </c>
      <c r="M42" s="11" t="s">
        <v>19</v>
      </c>
    </row>
    <row r="43" spans="1:13" ht="60" customHeight="1" x14ac:dyDescent="0.35">
      <c r="A43" s="9" t="s">
        <v>213</v>
      </c>
      <c r="B43" s="1" t="s">
        <v>214</v>
      </c>
      <c r="C43" s="2" t="s">
        <v>15</v>
      </c>
      <c r="D43" s="3" t="s">
        <v>16</v>
      </c>
      <c r="E43" s="3" t="s">
        <v>17</v>
      </c>
      <c r="F43" s="3" t="s">
        <v>18</v>
      </c>
      <c r="G43" s="3" t="s">
        <v>19</v>
      </c>
      <c r="H43" s="4" t="s">
        <v>19</v>
      </c>
      <c r="I43" s="1" t="s">
        <v>215</v>
      </c>
      <c r="J43" s="1" t="s">
        <v>207</v>
      </c>
      <c r="K43" s="1" t="s">
        <v>216</v>
      </c>
      <c r="L43" s="3" t="str">
        <f t="shared" si="0"/>
        <v>Outstanding</v>
      </c>
      <c r="M43" s="11" t="s">
        <v>19</v>
      </c>
    </row>
    <row r="44" spans="1:13" ht="60" customHeight="1" x14ac:dyDescent="0.35">
      <c r="A44" s="9" t="s">
        <v>217</v>
      </c>
      <c r="B44" s="1" t="s">
        <v>218</v>
      </c>
      <c r="C44" s="2" t="s">
        <v>15</v>
      </c>
      <c r="D44" s="3" t="s">
        <v>16</v>
      </c>
      <c r="E44" s="3" t="s">
        <v>17</v>
      </c>
      <c r="F44" s="3" t="s">
        <v>18</v>
      </c>
      <c r="G44" s="3" t="s">
        <v>19</v>
      </c>
      <c r="H44" s="4" t="s">
        <v>19</v>
      </c>
      <c r="I44" s="1" t="s">
        <v>219</v>
      </c>
      <c r="J44" s="1" t="s">
        <v>207</v>
      </c>
      <c r="K44" s="1" t="s">
        <v>220</v>
      </c>
      <c r="L44" s="3" t="str">
        <f t="shared" si="0"/>
        <v>Outstanding</v>
      </c>
      <c r="M44" s="11" t="s">
        <v>19</v>
      </c>
    </row>
    <row r="45" spans="1:13" ht="60" customHeight="1" x14ac:dyDescent="0.35">
      <c r="A45" s="9" t="s">
        <v>221</v>
      </c>
      <c r="B45" s="1" t="s">
        <v>222</v>
      </c>
      <c r="C45" s="2" t="s">
        <v>15</v>
      </c>
      <c r="D45" s="3" t="s">
        <v>16</v>
      </c>
      <c r="E45" s="3" t="s">
        <v>17</v>
      </c>
      <c r="F45" s="3" t="s">
        <v>18</v>
      </c>
      <c r="G45" s="3" t="s">
        <v>19</v>
      </c>
      <c r="H45" s="4" t="s">
        <v>19</v>
      </c>
      <c r="I45" s="1" t="s">
        <v>223</v>
      </c>
      <c r="J45" s="1" t="s">
        <v>207</v>
      </c>
      <c r="K45" s="1" t="s">
        <v>224</v>
      </c>
      <c r="L45" s="3" t="str">
        <f t="shared" si="0"/>
        <v>Outstanding</v>
      </c>
      <c r="M45" s="11" t="s">
        <v>19</v>
      </c>
    </row>
    <row r="46" spans="1:13" ht="60" customHeight="1" x14ac:dyDescent="0.35">
      <c r="A46" s="9" t="s">
        <v>225</v>
      </c>
      <c r="B46" s="1" t="s">
        <v>226</v>
      </c>
      <c r="C46" s="2" t="s">
        <v>15</v>
      </c>
      <c r="D46" s="3" t="s">
        <v>16</v>
      </c>
      <c r="E46" s="3" t="s">
        <v>17</v>
      </c>
      <c r="F46" s="3" t="s">
        <v>18</v>
      </c>
      <c r="G46" s="3" t="s">
        <v>19</v>
      </c>
      <c r="H46" s="4" t="s">
        <v>19</v>
      </c>
      <c r="I46" s="1" t="s">
        <v>227</v>
      </c>
      <c r="J46" s="1" t="s">
        <v>228</v>
      </c>
      <c r="K46" s="1" t="s">
        <v>229</v>
      </c>
      <c r="L46" s="3" t="str">
        <f t="shared" si="0"/>
        <v>Outstanding</v>
      </c>
      <c r="M46" s="11" t="s">
        <v>19</v>
      </c>
    </row>
    <row r="47" spans="1:13" ht="60" customHeight="1" x14ac:dyDescent="0.35">
      <c r="A47" s="9" t="s">
        <v>230</v>
      </c>
      <c r="B47" s="1" t="s">
        <v>231</v>
      </c>
      <c r="C47" s="2" t="s">
        <v>15</v>
      </c>
      <c r="D47" s="3" t="s">
        <v>16</v>
      </c>
      <c r="E47" s="3" t="s">
        <v>17</v>
      </c>
      <c r="F47" s="3" t="s">
        <v>18</v>
      </c>
      <c r="G47" s="3" t="s">
        <v>19</v>
      </c>
      <c r="H47" s="4" t="s">
        <v>19</v>
      </c>
      <c r="I47" s="1" t="s">
        <v>232</v>
      </c>
      <c r="J47" s="1" t="s">
        <v>233</v>
      </c>
      <c r="K47" s="1" t="s">
        <v>234</v>
      </c>
      <c r="L47" s="3" t="str">
        <f t="shared" si="0"/>
        <v>Outstanding</v>
      </c>
      <c r="M47" s="11" t="s">
        <v>19</v>
      </c>
    </row>
    <row r="48" spans="1:13" ht="60" customHeight="1" x14ac:dyDescent="0.35">
      <c r="A48" s="9" t="s">
        <v>235</v>
      </c>
      <c r="B48" s="1" t="s">
        <v>236</v>
      </c>
      <c r="C48" s="2" t="s">
        <v>29</v>
      </c>
      <c r="D48" s="3" t="s">
        <v>16</v>
      </c>
      <c r="E48" s="3" t="s">
        <v>17</v>
      </c>
      <c r="F48" s="3" t="s">
        <v>18</v>
      </c>
      <c r="G48" s="3" t="s">
        <v>19</v>
      </c>
      <c r="H48" s="4" t="s">
        <v>19</v>
      </c>
      <c r="I48" s="1" t="s">
        <v>237</v>
      </c>
      <c r="J48" s="1" t="s">
        <v>238</v>
      </c>
      <c r="K48" s="1" t="s">
        <v>239</v>
      </c>
      <c r="L48" s="3" t="str">
        <f t="shared" si="0"/>
        <v>Outstanding</v>
      </c>
      <c r="M48" s="11" t="s">
        <v>19</v>
      </c>
    </row>
    <row r="49" spans="1:13" ht="60" customHeight="1" x14ac:dyDescent="0.35">
      <c r="A49" s="9" t="s">
        <v>240</v>
      </c>
      <c r="B49" s="1" t="s">
        <v>241</v>
      </c>
      <c r="C49" s="2" t="s">
        <v>29</v>
      </c>
      <c r="D49" s="3" t="s">
        <v>16</v>
      </c>
      <c r="E49" s="3" t="s">
        <v>17</v>
      </c>
      <c r="F49" s="3" t="s">
        <v>18</v>
      </c>
      <c r="G49" s="3" t="s">
        <v>19</v>
      </c>
      <c r="H49" s="4" t="s">
        <v>19</v>
      </c>
      <c r="I49" s="1" t="s">
        <v>242</v>
      </c>
      <c r="J49" s="1" t="s">
        <v>238</v>
      </c>
      <c r="K49" s="1" t="s">
        <v>243</v>
      </c>
      <c r="L49" s="3" t="str">
        <f t="shared" si="0"/>
        <v>Outstanding</v>
      </c>
      <c r="M49" s="11" t="s">
        <v>19</v>
      </c>
    </row>
    <row r="50" spans="1:13" ht="60" customHeight="1" x14ac:dyDescent="0.35">
      <c r="A50" s="9" t="s">
        <v>244</v>
      </c>
      <c r="B50" s="1" t="s">
        <v>245</v>
      </c>
      <c r="C50" s="2" t="s">
        <v>15</v>
      </c>
      <c r="D50" s="3" t="s">
        <v>16</v>
      </c>
      <c r="E50" s="3" t="s">
        <v>17</v>
      </c>
      <c r="F50" s="3" t="s">
        <v>18</v>
      </c>
      <c r="G50" s="3" t="s">
        <v>19</v>
      </c>
      <c r="H50" s="4" t="s">
        <v>19</v>
      </c>
      <c r="I50" s="1" t="s">
        <v>246</v>
      </c>
      <c r="J50" s="1" t="s">
        <v>247</v>
      </c>
      <c r="K50" s="1" t="s">
        <v>248</v>
      </c>
      <c r="L50" s="3" t="str">
        <f t="shared" si="0"/>
        <v>Outstanding</v>
      </c>
      <c r="M50" s="11" t="s">
        <v>19</v>
      </c>
    </row>
    <row r="51" spans="1:13" ht="60" customHeight="1" x14ac:dyDescent="0.35">
      <c r="A51" s="9" t="s">
        <v>249</v>
      </c>
      <c r="B51" s="1" t="s">
        <v>250</v>
      </c>
      <c r="C51" s="2" t="s">
        <v>15</v>
      </c>
      <c r="D51" s="3" t="s">
        <v>16</v>
      </c>
      <c r="E51" s="3" t="s">
        <v>17</v>
      </c>
      <c r="F51" s="3" t="s">
        <v>18</v>
      </c>
      <c r="G51" s="3" t="s">
        <v>19</v>
      </c>
      <c r="H51" s="4" t="s">
        <v>19</v>
      </c>
      <c r="I51" s="1" t="s">
        <v>251</v>
      </c>
      <c r="J51" s="1" t="s">
        <v>252</v>
      </c>
      <c r="K51" s="1" t="s">
        <v>253</v>
      </c>
      <c r="L51" s="3" t="str">
        <f t="shared" si="0"/>
        <v>Outstanding</v>
      </c>
      <c r="M51" s="11" t="s">
        <v>19</v>
      </c>
    </row>
    <row r="52" spans="1:13" ht="60" customHeight="1" x14ac:dyDescent="0.35">
      <c r="A52" s="9" t="s">
        <v>254</v>
      </c>
      <c r="B52" s="1" t="s">
        <v>255</v>
      </c>
      <c r="C52" s="2" t="s">
        <v>15</v>
      </c>
      <c r="D52" s="3" t="s">
        <v>16</v>
      </c>
      <c r="E52" s="3" t="s">
        <v>17</v>
      </c>
      <c r="F52" s="3" t="s">
        <v>18</v>
      </c>
      <c r="G52" s="3" t="s">
        <v>19</v>
      </c>
      <c r="H52" s="4" t="s">
        <v>19</v>
      </c>
      <c r="I52" s="1" t="s">
        <v>256</v>
      </c>
      <c r="J52" s="1" t="s">
        <v>257</v>
      </c>
      <c r="K52" s="1" t="s">
        <v>258</v>
      </c>
      <c r="L52" s="3" t="str">
        <f t="shared" si="0"/>
        <v>Outstanding</v>
      </c>
      <c r="M52" s="11" t="s">
        <v>19</v>
      </c>
    </row>
    <row r="53" spans="1:13" ht="60" customHeight="1" x14ac:dyDescent="0.35">
      <c r="A53" s="9" t="s">
        <v>259</v>
      </c>
      <c r="B53" s="1" t="s">
        <v>260</v>
      </c>
      <c r="C53" s="2" t="s">
        <v>155</v>
      </c>
      <c r="D53" s="3" t="s">
        <v>16</v>
      </c>
      <c r="E53" s="3" t="s">
        <v>17</v>
      </c>
      <c r="F53" s="3" t="s">
        <v>18</v>
      </c>
      <c r="G53" s="3" t="s">
        <v>19</v>
      </c>
      <c r="H53" s="4" t="s">
        <v>19</v>
      </c>
      <c r="I53" s="1" t="s">
        <v>261</v>
      </c>
      <c r="J53" s="1" t="s">
        <v>262</v>
      </c>
      <c r="K53" s="1" t="s">
        <v>263</v>
      </c>
      <c r="L53" s="3" t="str">
        <f t="shared" si="0"/>
        <v>Outstanding</v>
      </c>
      <c r="M53" s="11" t="s">
        <v>19</v>
      </c>
    </row>
    <row r="54" spans="1:13" ht="60" customHeight="1" x14ac:dyDescent="0.35">
      <c r="A54" s="9" t="s">
        <v>264</v>
      </c>
      <c r="B54" s="1" t="s">
        <v>265</v>
      </c>
      <c r="C54" s="2" t="s">
        <v>155</v>
      </c>
      <c r="D54" s="3" t="s">
        <v>16</v>
      </c>
      <c r="E54" s="3" t="s">
        <v>17</v>
      </c>
      <c r="F54" s="3" t="s">
        <v>18</v>
      </c>
      <c r="G54" s="3" t="s">
        <v>19</v>
      </c>
      <c r="H54" s="4" t="s">
        <v>19</v>
      </c>
      <c r="I54" s="1" t="s">
        <v>266</v>
      </c>
      <c r="J54" s="1" t="s">
        <v>267</v>
      </c>
      <c r="K54" s="1" t="s">
        <v>268</v>
      </c>
      <c r="L54" s="3" t="str">
        <f t="shared" si="0"/>
        <v>Outstanding</v>
      </c>
      <c r="M54" s="11" t="s">
        <v>19</v>
      </c>
    </row>
    <row r="55" spans="1:13" ht="60" customHeight="1" x14ac:dyDescent="0.35">
      <c r="A55" s="9" t="s">
        <v>269</v>
      </c>
      <c r="B55" s="1" t="s">
        <v>270</v>
      </c>
      <c r="C55" s="2" t="s">
        <v>15</v>
      </c>
      <c r="D55" s="3" t="s">
        <v>16</v>
      </c>
      <c r="E55" s="3" t="s">
        <v>17</v>
      </c>
      <c r="F55" s="3" t="s">
        <v>18</v>
      </c>
      <c r="G55" s="3" t="s">
        <v>19</v>
      </c>
      <c r="H55" s="4" t="s">
        <v>19</v>
      </c>
      <c r="I55" s="1" t="s">
        <v>271</v>
      </c>
      <c r="J55" s="1" t="s">
        <v>272</v>
      </c>
      <c r="K55" s="1" t="s">
        <v>273</v>
      </c>
      <c r="L55" s="3" t="str">
        <f t="shared" si="0"/>
        <v>Outstanding</v>
      </c>
      <c r="M55" s="11" t="s">
        <v>19</v>
      </c>
    </row>
    <row r="56" spans="1:13" ht="60" customHeight="1" x14ac:dyDescent="0.35">
      <c r="A56" s="9" t="s">
        <v>274</v>
      </c>
      <c r="B56" s="1" t="s">
        <v>275</v>
      </c>
      <c r="C56" s="2" t="s">
        <v>15</v>
      </c>
      <c r="D56" s="3" t="s">
        <v>16</v>
      </c>
      <c r="E56" s="3" t="s">
        <v>17</v>
      </c>
      <c r="F56" s="3" t="s">
        <v>18</v>
      </c>
      <c r="G56" s="3" t="s">
        <v>19</v>
      </c>
      <c r="H56" s="4" t="s">
        <v>19</v>
      </c>
      <c r="I56" s="1" t="s">
        <v>276</v>
      </c>
      <c r="J56" s="1" t="s">
        <v>272</v>
      </c>
      <c r="K56" s="1" t="s">
        <v>277</v>
      </c>
      <c r="L56" s="3" t="str">
        <f t="shared" si="0"/>
        <v>Outstanding</v>
      </c>
      <c r="M56" s="11" t="s">
        <v>19</v>
      </c>
    </row>
    <row r="57" spans="1:13" ht="60" customHeight="1" x14ac:dyDescent="0.35">
      <c r="A57" s="9" t="s">
        <v>278</v>
      </c>
      <c r="B57" s="1" t="s">
        <v>279</v>
      </c>
      <c r="C57" s="2" t="s">
        <v>15</v>
      </c>
      <c r="D57" s="3" t="s">
        <v>16</v>
      </c>
      <c r="E57" s="3" t="s">
        <v>17</v>
      </c>
      <c r="F57" s="3" t="s">
        <v>18</v>
      </c>
      <c r="G57" s="3" t="s">
        <v>19</v>
      </c>
      <c r="H57" s="4" t="s">
        <v>19</v>
      </c>
      <c r="I57" s="1" t="s">
        <v>280</v>
      </c>
      <c r="J57" s="1" t="s">
        <v>281</v>
      </c>
      <c r="K57" s="1" t="s">
        <v>282</v>
      </c>
      <c r="L57" s="3" t="str">
        <f t="shared" si="0"/>
        <v>Outstanding</v>
      </c>
      <c r="M57" s="11" t="s">
        <v>19</v>
      </c>
    </row>
    <row r="58" spans="1:13" ht="60" customHeight="1" x14ac:dyDescent="0.35">
      <c r="A58" s="9" t="s">
        <v>283</v>
      </c>
      <c r="B58" s="1" t="s">
        <v>284</v>
      </c>
      <c r="C58" s="2" t="s">
        <v>15</v>
      </c>
      <c r="D58" s="3" t="s">
        <v>16</v>
      </c>
      <c r="E58" s="3" t="s">
        <v>17</v>
      </c>
      <c r="F58" s="3" t="s">
        <v>18</v>
      </c>
      <c r="G58" s="3" t="s">
        <v>19</v>
      </c>
      <c r="H58" s="4" t="s">
        <v>19</v>
      </c>
      <c r="I58" s="1" t="s">
        <v>285</v>
      </c>
      <c r="J58" s="1" t="s">
        <v>286</v>
      </c>
      <c r="K58" s="1" t="s">
        <v>287</v>
      </c>
      <c r="L58" s="3" t="str">
        <f t="shared" si="0"/>
        <v>Outstanding</v>
      </c>
      <c r="M58" s="11" t="s">
        <v>19</v>
      </c>
    </row>
    <row r="59" spans="1:13" ht="60" customHeight="1" x14ac:dyDescent="0.35">
      <c r="A59" s="9" t="s">
        <v>288</v>
      </c>
      <c r="B59" s="1" t="s">
        <v>289</v>
      </c>
      <c r="C59" s="2" t="s">
        <v>15</v>
      </c>
      <c r="D59" s="3" t="s">
        <v>16</v>
      </c>
      <c r="E59" s="3" t="s">
        <v>17</v>
      </c>
      <c r="F59" s="3" t="s">
        <v>18</v>
      </c>
      <c r="G59" s="3" t="s">
        <v>19</v>
      </c>
      <c r="H59" s="4" t="s">
        <v>19</v>
      </c>
      <c r="I59" s="1" t="s">
        <v>290</v>
      </c>
      <c r="J59" s="1" t="s">
        <v>291</v>
      </c>
      <c r="K59" s="1" t="s">
        <v>292</v>
      </c>
      <c r="L59" s="3" t="str">
        <f t="shared" si="0"/>
        <v>Outstanding</v>
      </c>
      <c r="M59" s="11" t="s">
        <v>19</v>
      </c>
    </row>
    <row r="60" spans="1:13" ht="60" customHeight="1" x14ac:dyDescent="0.35">
      <c r="A60" s="9" t="s">
        <v>293</v>
      </c>
      <c r="B60" s="1" t="s">
        <v>294</v>
      </c>
      <c r="C60" s="2" t="s">
        <v>155</v>
      </c>
      <c r="D60" s="3" t="s">
        <v>16</v>
      </c>
      <c r="E60" s="3" t="s">
        <v>17</v>
      </c>
      <c r="F60" s="3" t="s">
        <v>18</v>
      </c>
      <c r="G60" s="3" t="s">
        <v>19</v>
      </c>
      <c r="H60" s="4" t="s">
        <v>19</v>
      </c>
      <c r="I60" s="1" t="s">
        <v>295</v>
      </c>
      <c r="J60" s="1" t="s">
        <v>296</v>
      </c>
      <c r="K60" s="1" t="s">
        <v>297</v>
      </c>
      <c r="L60" s="3" t="str">
        <f t="shared" si="0"/>
        <v>Outstanding</v>
      </c>
      <c r="M60" s="11" t="s">
        <v>19</v>
      </c>
    </row>
    <row r="61" spans="1:13" ht="60" customHeight="1" x14ac:dyDescent="0.35">
      <c r="A61" s="9" t="s">
        <v>298</v>
      </c>
      <c r="B61" s="1" t="s">
        <v>299</v>
      </c>
      <c r="C61" s="2" t="s">
        <v>15</v>
      </c>
      <c r="D61" s="3" t="s">
        <v>16</v>
      </c>
      <c r="E61" s="3" t="s">
        <v>17</v>
      </c>
      <c r="F61" s="3" t="s">
        <v>18</v>
      </c>
      <c r="G61" s="3" t="s">
        <v>19</v>
      </c>
      <c r="H61" s="4" t="s">
        <v>19</v>
      </c>
      <c r="I61" s="1" t="s">
        <v>300</v>
      </c>
      <c r="J61" s="1" t="s">
        <v>301</v>
      </c>
      <c r="K61" s="1" t="s">
        <v>302</v>
      </c>
      <c r="L61" s="3" t="str">
        <f t="shared" si="0"/>
        <v>Outstanding</v>
      </c>
      <c r="M61" s="11" t="s">
        <v>19</v>
      </c>
    </row>
    <row r="62" spans="1:13" ht="60" customHeight="1" x14ac:dyDescent="0.35">
      <c r="A62" s="9" t="s">
        <v>303</v>
      </c>
      <c r="B62" s="1" t="s">
        <v>304</v>
      </c>
      <c r="C62" s="2" t="s">
        <v>15</v>
      </c>
      <c r="D62" s="3" t="s">
        <v>16</v>
      </c>
      <c r="E62" s="3" t="s">
        <v>17</v>
      </c>
      <c r="F62" s="3" t="s">
        <v>18</v>
      </c>
      <c r="G62" s="3" t="s">
        <v>19</v>
      </c>
      <c r="H62" s="4" t="s">
        <v>19</v>
      </c>
      <c r="I62" s="1" t="s">
        <v>305</v>
      </c>
      <c r="J62" s="1" t="s">
        <v>306</v>
      </c>
      <c r="K62" s="1" t="s">
        <v>307</v>
      </c>
      <c r="L62" s="3" t="str">
        <f t="shared" si="0"/>
        <v>Outstanding</v>
      </c>
      <c r="M62" s="11" t="s">
        <v>19</v>
      </c>
    </row>
    <row r="63" spans="1:13" ht="60" customHeight="1" x14ac:dyDescent="0.35">
      <c r="A63" s="9" t="s">
        <v>308</v>
      </c>
      <c r="B63" s="1" t="s">
        <v>309</v>
      </c>
      <c r="C63" s="2" t="s">
        <v>15</v>
      </c>
      <c r="D63" s="3" t="s">
        <v>16</v>
      </c>
      <c r="E63" s="3" t="s">
        <v>17</v>
      </c>
      <c r="F63" s="3" t="s">
        <v>18</v>
      </c>
      <c r="G63" s="3" t="s">
        <v>19</v>
      </c>
      <c r="H63" s="4" t="s">
        <v>19</v>
      </c>
      <c r="I63" s="1" t="s">
        <v>310</v>
      </c>
      <c r="J63" s="1" t="s">
        <v>311</v>
      </c>
      <c r="K63" s="1" t="s">
        <v>312</v>
      </c>
      <c r="L63" s="3" t="str">
        <f t="shared" si="0"/>
        <v>Outstanding</v>
      </c>
      <c r="M63" s="11" t="s">
        <v>19</v>
      </c>
    </row>
    <row r="64" spans="1:13" ht="60" customHeight="1" x14ac:dyDescent="0.35">
      <c r="A64" s="9" t="s">
        <v>313</v>
      </c>
      <c r="B64" s="1" t="s">
        <v>314</v>
      </c>
      <c r="C64" s="2" t="s">
        <v>15</v>
      </c>
      <c r="D64" s="3" t="s">
        <v>16</v>
      </c>
      <c r="E64" s="3" t="s">
        <v>17</v>
      </c>
      <c r="F64" s="3" t="s">
        <v>18</v>
      </c>
      <c r="G64" s="3" t="s">
        <v>19</v>
      </c>
      <c r="H64" s="4" t="s">
        <v>19</v>
      </c>
      <c r="I64" s="1" t="s">
        <v>315</v>
      </c>
      <c r="J64" s="1" t="s">
        <v>316</v>
      </c>
      <c r="K64" s="1" t="s">
        <v>317</v>
      </c>
      <c r="L64" s="3" t="str">
        <f t="shared" si="0"/>
        <v>Outstanding</v>
      </c>
      <c r="M64" s="11" t="s">
        <v>19</v>
      </c>
    </row>
    <row r="65" spans="1:13" ht="60" customHeight="1" x14ac:dyDescent="0.35">
      <c r="A65" s="9" t="s">
        <v>318</v>
      </c>
      <c r="B65" s="1" t="s">
        <v>319</v>
      </c>
      <c r="C65" s="2" t="s">
        <v>15</v>
      </c>
      <c r="D65" s="3" t="s">
        <v>16</v>
      </c>
      <c r="E65" s="3" t="s">
        <v>17</v>
      </c>
      <c r="F65" s="3" t="s">
        <v>18</v>
      </c>
      <c r="G65" s="3" t="s">
        <v>19</v>
      </c>
      <c r="H65" s="4" t="s">
        <v>19</v>
      </c>
      <c r="I65" s="1" t="s">
        <v>320</v>
      </c>
      <c r="J65" s="1" t="s">
        <v>321</v>
      </c>
      <c r="K65" s="1" t="s">
        <v>322</v>
      </c>
      <c r="L65" s="3" t="str">
        <f t="shared" si="0"/>
        <v>Outstanding</v>
      </c>
      <c r="M65" s="11" t="s">
        <v>19</v>
      </c>
    </row>
    <row r="66" spans="1:13" ht="60" customHeight="1" x14ac:dyDescent="0.35">
      <c r="A66" s="9" t="s">
        <v>323</v>
      </c>
      <c r="B66" s="1" t="s">
        <v>324</v>
      </c>
      <c r="C66" s="2" t="s">
        <v>15</v>
      </c>
      <c r="D66" s="3" t="s">
        <v>16</v>
      </c>
      <c r="E66" s="3" t="s">
        <v>17</v>
      </c>
      <c r="F66" s="3" t="s">
        <v>18</v>
      </c>
      <c r="G66" s="3" t="s">
        <v>19</v>
      </c>
      <c r="H66" s="4" t="s">
        <v>19</v>
      </c>
      <c r="I66" s="1" t="s">
        <v>325</v>
      </c>
      <c r="J66" s="1" t="s">
        <v>326</v>
      </c>
      <c r="K66" s="1" t="s">
        <v>327</v>
      </c>
      <c r="L66" s="3" t="str">
        <f t="shared" si="0"/>
        <v>Outstanding</v>
      </c>
      <c r="M66" s="11" t="s">
        <v>19</v>
      </c>
    </row>
    <row r="67" spans="1:13" ht="60" customHeight="1" x14ac:dyDescent="0.35">
      <c r="A67" s="9" t="s">
        <v>328</v>
      </c>
      <c r="B67" s="1" t="s">
        <v>329</v>
      </c>
      <c r="C67" s="2" t="s">
        <v>15</v>
      </c>
      <c r="D67" s="3" t="s">
        <v>16</v>
      </c>
      <c r="E67" s="3" t="s">
        <v>17</v>
      </c>
      <c r="F67" s="3" t="s">
        <v>18</v>
      </c>
      <c r="G67" s="3" t="s">
        <v>19</v>
      </c>
      <c r="H67" s="4" t="s">
        <v>19</v>
      </c>
      <c r="I67" s="1" t="s">
        <v>330</v>
      </c>
      <c r="J67" s="1" t="s">
        <v>331</v>
      </c>
      <c r="K67" s="1" t="s">
        <v>332</v>
      </c>
      <c r="L67" s="3" t="str">
        <f t="shared" si="0"/>
        <v>Outstanding</v>
      </c>
      <c r="M67" s="11" t="s">
        <v>19</v>
      </c>
    </row>
    <row r="68" spans="1:13" ht="60" customHeight="1" x14ac:dyDescent="0.35">
      <c r="A68" s="9" t="s">
        <v>333</v>
      </c>
      <c r="B68" s="1" t="s">
        <v>334</v>
      </c>
      <c r="C68" s="2" t="s">
        <v>15</v>
      </c>
      <c r="D68" s="3" t="s">
        <v>16</v>
      </c>
      <c r="E68" s="3" t="s">
        <v>17</v>
      </c>
      <c r="F68" s="3" t="s">
        <v>18</v>
      </c>
      <c r="G68" s="3" t="s">
        <v>19</v>
      </c>
      <c r="H68" s="4" t="s">
        <v>19</v>
      </c>
      <c r="I68" s="1" t="s">
        <v>335</v>
      </c>
      <c r="J68" s="1" t="s">
        <v>336</v>
      </c>
      <c r="K68" s="1" t="s">
        <v>337</v>
      </c>
      <c r="L68" s="3" t="str">
        <f t="shared" si="0"/>
        <v>Outstanding</v>
      </c>
      <c r="M68" s="11" t="s">
        <v>19</v>
      </c>
    </row>
    <row r="69" spans="1:13" ht="60" customHeight="1" x14ac:dyDescent="0.35">
      <c r="A69" s="9" t="s">
        <v>338</v>
      </c>
      <c r="B69" s="1" t="s">
        <v>339</v>
      </c>
      <c r="C69" s="2" t="s">
        <v>155</v>
      </c>
      <c r="D69" s="3" t="s">
        <v>16</v>
      </c>
      <c r="E69" s="3" t="s">
        <v>17</v>
      </c>
      <c r="F69" s="3" t="s">
        <v>18</v>
      </c>
      <c r="G69" s="3" t="s">
        <v>19</v>
      </c>
      <c r="H69" s="4" t="s">
        <v>19</v>
      </c>
      <c r="I69" s="1" t="s">
        <v>340</v>
      </c>
      <c r="J69" s="1" t="s">
        <v>341</v>
      </c>
      <c r="K69" s="1" t="s">
        <v>342</v>
      </c>
      <c r="L69" s="3" t="str">
        <f t="shared" si="0"/>
        <v>Outstanding</v>
      </c>
      <c r="M69" s="11" t="s">
        <v>19</v>
      </c>
    </row>
    <row r="70" spans="1:13" ht="60" customHeight="1" x14ac:dyDescent="0.35">
      <c r="A70" s="9" t="s">
        <v>343</v>
      </c>
      <c r="B70" s="1" t="s">
        <v>344</v>
      </c>
      <c r="C70" s="2" t="s">
        <v>15</v>
      </c>
      <c r="D70" s="3" t="s">
        <v>16</v>
      </c>
      <c r="E70" s="3" t="s">
        <v>17</v>
      </c>
      <c r="F70" s="3" t="s">
        <v>18</v>
      </c>
      <c r="G70" s="3" t="s">
        <v>19</v>
      </c>
      <c r="H70" s="4" t="s">
        <v>19</v>
      </c>
      <c r="I70" s="1" t="s">
        <v>345</v>
      </c>
      <c r="J70" s="1" t="s">
        <v>346</v>
      </c>
      <c r="K70" s="1" t="s">
        <v>347</v>
      </c>
      <c r="L70" s="3" t="str">
        <f t="shared" si="0"/>
        <v>Outstanding</v>
      </c>
      <c r="M70" s="11" t="s">
        <v>19</v>
      </c>
    </row>
    <row r="71" spans="1:13" ht="60" customHeight="1" x14ac:dyDescent="0.35">
      <c r="A71" s="9" t="s">
        <v>348</v>
      </c>
      <c r="B71" s="1" t="s">
        <v>349</v>
      </c>
      <c r="C71" s="2" t="s">
        <v>29</v>
      </c>
      <c r="D71" s="3" t="s">
        <v>16</v>
      </c>
      <c r="E71" s="3" t="s">
        <v>17</v>
      </c>
      <c r="F71" s="3" t="s">
        <v>18</v>
      </c>
      <c r="G71" s="3" t="s">
        <v>19</v>
      </c>
      <c r="H71" s="4" t="s">
        <v>19</v>
      </c>
      <c r="I71" s="1" t="s">
        <v>350</v>
      </c>
      <c r="J71" s="1" t="s">
        <v>351</v>
      </c>
      <c r="K71" s="1" t="s">
        <v>352</v>
      </c>
      <c r="L71" s="3" t="str">
        <f t="shared" si="0"/>
        <v>Outstanding</v>
      </c>
      <c r="M71" s="11" t="s">
        <v>19</v>
      </c>
    </row>
    <row r="72" spans="1:13" ht="60" customHeight="1" x14ac:dyDescent="0.35">
      <c r="A72" s="9" t="s">
        <v>353</v>
      </c>
      <c r="B72" s="1" t="s">
        <v>354</v>
      </c>
      <c r="C72" s="2" t="s">
        <v>29</v>
      </c>
      <c r="D72" s="3" t="s">
        <v>16</v>
      </c>
      <c r="E72" s="3" t="s">
        <v>17</v>
      </c>
      <c r="F72" s="3" t="s">
        <v>18</v>
      </c>
      <c r="G72" s="3" t="s">
        <v>19</v>
      </c>
      <c r="H72" s="4" t="s">
        <v>19</v>
      </c>
      <c r="I72" s="1" t="s">
        <v>355</v>
      </c>
      <c r="J72" s="1" t="s">
        <v>356</v>
      </c>
      <c r="K72" s="1" t="s">
        <v>357</v>
      </c>
      <c r="L72" s="3" t="str">
        <f t="shared" si="0"/>
        <v>Outstanding</v>
      </c>
      <c r="M72" s="11" t="s">
        <v>19</v>
      </c>
    </row>
    <row r="73" spans="1:13" ht="60" customHeight="1" x14ac:dyDescent="0.35">
      <c r="A73" s="9" t="s">
        <v>358</v>
      </c>
      <c r="B73" s="1" t="s">
        <v>359</v>
      </c>
      <c r="C73" s="2" t="s">
        <v>155</v>
      </c>
      <c r="D73" s="3" t="s">
        <v>16</v>
      </c>
      <c r="E73" s="3" t="s">
        <v>17</v>
      </c>
      <c r="F73" s="3" t="s">
        <v>18</v>
      </c>
      <c r="G73" s="3" t="s">
        <v>19</v>
      </c>
      <c r="H73" s="4" t="s">
        <v>19</v>
      </c>
      <c r="I73" s="1" t="s">
        <v>360</v>
      </c>
      <c r="J73" s="1" t="s">
        <v>361</v>
      </c>
      <c r="K73" s="1" t="s">
        <v>362</v>
      </c>
      <c r="L73" s="3" t="str">
        <f t="shared" si="0"/>
        <v>Outstanding</v>
      </c>
      <c r="M73" s="11" t="s">
        <v>19</v>
      </c>
    </row>
    <row r="74" spans="1:13" ht="60" customHeight="1" x14ac:dyDescent="0.35">
      <c r="A74" s="9" t="s">
        <v>363</v>
      </c>
      <c r="B74" s="1" t="s">
        <v>364</v>
      </c>
      <c r="C74" s="2" t="s">
        <v>155</v>
      </c>
      <c r="D74" s="3" t="s">
        <v>16</v>
      </c>
      <c r="E74" s="3" t="s">
        <v>17</v>
      </c>
      <c r="F74" s="3" t="s">
        <v>18</v>
      </c>
      <c r="G74" s="3" t="s">
        <v>19</v>
      </c>
      <c r="H74" s="4" t="s">
        <v>19</v>
      </c>
      <c r="I74" s="1" t="s">
        <v>365</v>
      </c>
      <c r="J74" s="1" t="s">
        <v>366</v>
      </c>
      <c r="K74" s="1" t="s">
        <v>367</v>
      </c>
      <c r="L74" s="3" t="str">
        <f t="shared" si="0"/>
        <v>Outstanding</v>
      </c>
      <c r="M74" s="11" t="s">
        <v>19</v>
      </c>
    </row>
    <row r="75" spans="1:13" ht="60" customHeight="1" x14ac:dyDescent="0.35">
      <c r="A75" s="9" t="s">
        <v>368</v>
      </c>
      <c r="B75" s="1" t="s">
        <v>369</v>
      </c>
      <c r="C75" s="2" t="s">
        <v>15</v>
      </c>
      <c r="D75" s="3" t="s">
        <v>16</v>
      </c>
      <c r="E75" s="3" t="s">
        <v>17</v>
      </c>
      <c r="F75" s="3" t="s">
        <v>18</v>
      </c>
      <c r="G75" s="3" t="s">
        <v>19</v>
      </c>
      <c r="H75" s="4" t="s">
        <v>19</v>
      </c>
      <c r="I75" s="1" t="s">
        <v>370</v>
      </c>
      <c r="J75" s="1" t="s">
        <v>371</v>
      </c>
      <c r="K75" s="1" t="s">
        <v>372</v>
      </c>
      <c r="L75" s="3" t="str">
        <f t="shared" si="0"/>
        <v>Outstanding</v>
      </c>
      <c r="M75" s="11" t="s">
        <v>19</v>
      </c>
    </row>
    <row r="76" spans="1:13" ht="60" customHeight="1" x14ac:dyDescent="0.35">
      <c r="A76" s="9" t="s">
        <v>373</v>
      </c>
      <c r="B76" s="1" t="s">
        <v>374</v>
      </c>
      <c r="C76" s="2" t="s">
        <v>15</v>
      </c>
      <c r="D76" s="3" t="s">
        <v>16</v>
      </c>
      <c r="E76" s="3" t="s">
        <v>17</v>
      </c>
      <c r="F76" s="3" t="s">
        <v>18</v>
      </c>
      <c r="G76" s="3" t="s">
        <v>19</v>
      </c>
      <c r="H76" s="4" t="s">
        <v>19</v>
      </c>
      <c r="I76" s="1" t="s">
        <v>375</v>
      </c>
      <c r="J76" s="1" t="s">
        <v>376</v>
      </c>
      <c r="K76" s="1" t="s">
        <v>377</v>
      </c>
      <c r="L76" s="3" t="str">
        <f t="shared" si="0"/>
        <v>Outstanding</v>
      </c>
      <c r="M76" s="11" t="s">
        <v>19</v>
      </c>
    </row>
    <row r="77" spans="1:13" ht="60" customHeight="1" x14ac:dyDescent="0.35">
      <c r="A77" s="9" t="s">
        <v>378</v>
      </c>
      <c r="B77" s="1" t="s">
        <v>379</v>
      </c>
      <c r="C77" s="2" t="s">
        <v>15</v>
      </c>
      <c r="D77" s="3" t="s">
        <v>16</v>
      </c>
      <c r="E77" s="3" t="s">
        <v>17</v>
      </c>
      <c r="F77" s="3" t="s">
        <v>18</v>
      </c>
      <c r="G77" s="3" t="s">
        <v>19</v>
      </c>
      <c r="H77" s="4" t="s">
        <v>19</v>
      </c>
      <c r="I77" s="1" t="s">
        <v>380</v>
      </c>
      <c r="J77" s="1" t="s">
        <v>381</v>
      </c>
      <c r="K77" s="1" t="s">
        <v>382</v>
      </c>
      <c r="L77" s="3" t="str">
        <f t="shared" si="0"/>
        <v>Outstanding</v>
      </c>
      <c r="M77" s="11" t="s">
        <v>19</v>
      </c>
    </row>
    <row r="78" spans="1:13" ht="60" customHeight="1" x14ac:dyDescent="0.35">
      <c r="A78" s="9" t="s">
        <v>383</v>
      </c>
      <c r="B78" s="1" t="s">
        <v>384</v>
      </c>
      <c r="C78" s="2" t="s">
        <v>15</v>
      </c>
      <c r="D78" s="3" t="s">
        <v>16</v>
      </c>
      <c r="E78" s="3" t="s">
        <v>17</v>
      </c>
      <c r="F78" s="3" t="s">
        <v>18</v>
      </c>
      <c r="G78" s="3" t="s">
        <v>19</v>
      </c>
      <c r="H78" s="4" t="s">
        <v>19</v>
      </c>
      <c r="I78" s="1" t="s">
        <v>385</v>
      </c>
      <c r="J78" s="1" t="s">
        <v>386</v>
      </c>
      <c r="K78" s="1" t="s">
        <v>387</v>
      </c>
      <c r="L78" s="3" t="str">
        <f t="shared" si="0"/>
        <v>Outstanding</v>
      </c>
      <c r="M78" s="11" t="s">
        <v>19</v>
      </c>
    </row>
    <row r="79" spans="1:13" ht="60" customHeight="1" x14ac:dyDescent="0.35">
      <c r="A79" s="9" t="s">
        <v>388</v>
      </c>
      <c r="B79" s="1" t="s">
        <v>389</v>
      </c>
      <c r="C79" s="2" t="s">
        <v>15</v>
      </c>
      <c r="D79" s="3" t="s">
        <v>16</v>
      </c>
      <c r="E79" s="3" t="s">
        <v>17</v>
      </c>
      <c r="F79" s="3" t="s">
        <v>18</v>
      </c>
      <c r="G79" s="3" t="s">
        <v>19</v>
      </c>
      <c r="H79" s="4" t="s">
        <v>19</v>
      </c>
      <c r="I79" s="1" t="s">
        <v>390</v>
      </c>
      <c r="J79" s="1" t="s">
        <v>386</v>
      </c>
      <c r="K79" s="1" t="s">
        <v>391</v>
      </c>
      <c r="L79" s="3" t="str">
        <f t="shared" si="0"/>
        <v>Outstanding</v>
      </c>
      <c r="M79" s="11" t="s">
        <v>19</v>
      </c>
    </row>
    <row r="80" spans="1:13" ht="60" customHeight="1" x14ac:dyDescent="0.35">
      <c r="A80" s="9" t="s">
        <v>392</v>
      </c>
      <c r="B80" s="1" t="s">
        <v>393</v>
      </c>
      <c r="C80" s="2" t="s">
        <v>15</v>
      </c>
      <c r="D80" s="3" t="s">
        <v>16</v>
      </c>
      <c r="E80" s="3" t="s">
        <v>17</v>
      </c>
      <c r="F80" s="3" t="s">
        <v>18</v>
      </c>
      <c r="G80" s="3" t="s">
        <v>19</v>
      </c>
      <c r="H80" s="4" t="s">
        <v>19</v>
      </c>
      <c r="I80" s="1" t="s">
        <v>394</v>
      </c>
      <c r="J80" s="1" t="s">
        <v>386</v>
      </c>
      <c r="K80" s="1" t="s">
        <v>395</v>
      </c>
      <c r="L80" s="3" t="str">
        <f t="shared" si="0"/>
        <v>Outstanding</v>
      </c>
      <c r="M80" s="11" t="s">
        <v>19</v>
      </c>
    </row>
    <row r="81" spans="1:13" ht="60" customHeight="1" x14ac:dyDescent="0.35">
      <c r="A81" s="9" t="s">
        <v>396</v>
      </c>
      <c r="B81" s="1" t="s">
        <v>397</v>
      </c>
      <c r="C81" s="2" t="s">
        <v>155</v>
      </c>
      <c r="D81" s="3" t="s">
        <v>16</v>
      </c>
      <c r="E81" s="3" t="s">
        <v>17</v>
      </c>
      <c r="F81" s="3" t="s">
        <v>18</v>
      </c>
      <c r="G81" s="3" t="s">
        <v>19</v>
      </c>
      <c r="H81" s="4" t="s">
        <v>19</v>
      </c>
      <c r="I81" s="1" t="s">
        <v>398</v>
      </c>
      <c r="J81" s="1" t="s">
        <v>399</v>
      </c>
      <c r="K81" s="1" t="s">
        <v>400</v>
      </c>
      <c r="L81" s="3" t="str">
        <f t="shared" si="0"/>
        <v>Outstanding</v>
      </c>
      <c r="M81" s="11" t="s">
        <v>19</v>
      </c>
    </row>
    <row r="82" spans="1:13" ht="60" customHeight="1" x14ac:dyDescent="0.35">
      <c r="A82" s="9" t="s">
        <v>401</v>
      </c>
      <c r="B82" s="1" t="s">
        <v>402</v>
      </c>
      <c r="C82" s="2" t="s">
        <v>155</v>
      </c>
      <c r="D82" s="3" t="s">
        <v>16</v>
      </c>
      <c r="E82" s="3" t="s">
        <v>17</v>
      </c>
      <c r="F82" s="3" t="s">
        <v>18</v>
      </c>
      <c r="G82" s="3" t="s">
        <v>19</v>
      </c>
      <c r="H82" s="4" t="s">
        <v>19</v>
      </c>
      <c r="I82" s="1" t="s">
        <v>403</v>
      </c>
      <c r="J82" s="1" t="s">
        <v>399</v>
      </c>
      <c r="K82" s="1" t="s">
        <v>404</v>
      </c>
      <c r="L82" s="3" t="str">
        <f t="shared" si="0"/>
        <v>Outstanding</v>
      </c>
      <c r="M82" s="11" t="s">
        <v>19</v>
      </c>
    </row>
    <row r="83" spans="1:13" ht="60" customHeight="1" x14ac:dyDescent="0.35">
      <c r="A83" s="9" t="s">
        <v>405</v>
      </c>
      <c r="B83" s="1" t="s">
        <v>406</v>
      </c>
      <c r="C83" s="2" t="s">
        <v>155</v>
      </c>
      <c r="D83" s="3" t="s">
        <v>16</v>
      </c>
      <c r="E83" s="3" t="s">
        <v>17</v>
      </c>
      <c r="F83" s="3" t="s">
        <v>18</v>
      </c>
      <c r="G83" s="3" t="s">
        <v>19</v>
      </c>
      <c r="H83" s="4" t="s">
        <v>19</v>
      </c>
      <c r="I83" s="1" t="s">
        <v>407</v>
      </c>
      <c r="J83" s="1" t="s">
        <v>399</v>
      </c>
      <c r="K83" s="1" t="s">
        <v>408</v>
      </c>
      <c r="L83" s="3" t="str">
        <f t="shared" si="0"/>
        <v>Outstanding</v>
      </c>
      <c r="M83" s="11" t="s">
        <v>19</v>
      </c>
    </row>
    <row r="84" spans="1:13" ht="60" customHeight="1" x14ac:dyDescent="0.35">
      <c r="A84" s="9" t="s">
        <v>409</v>
      </c>
      <c r="B84" s="1" t="s">
        <v>410</v>
      </c>
      <c r="C84" s="2" t="s">
        <v>15</v>
      </c>
      <c r="D84" s="3" t="s">
        <v>16</v>
      </c>
      <c r="E84" s="3" t="s">
        <v>17</v>
      </c>
      <c r="F84" s="3" t="s">
        <v>18</v>
      </c>
      <c r="G84" s="3" t="s">
        <v>19</v>
      </c>
      <c r="H84" s="4" t="s">
        <v>19</v>
      </c>
      <c r="I84" s="1" t="s">
        <v>411</v>
      </c>
      <c r="J84" s="1" t="s">
        <v>399</v>
      </c>
      <c r="K84" s="1" t="s">
        <v>412</v>
      </c>
      <c r="L84" s="3" t="str">
        <f t="shared" si="0"/>
        <v>Outstanding</v>
      </c>
      <c r="M84" s="11" t="s">
        <v>19</v>
      </c>
    </row>
    <row r="85" spans="1:13" ht="60" customHeight="1" x14ac:dyDescent="0.35">
      <c r="A85" s="9" t="s">
        <v>413</v>
      </c>
      <c r="B85" s="1" t="s">
        <v>414</v>
      </c>
      <c r="C85" s="2" t="s">
        <v>15</v>
      </c>
      <c r="D85" s="3" t="s">
        <v>16</v>
      </c>
      <c r="E85" s="3" t="s">
        <v>17</v>
      </c>
      <c r="F85" s="3" t="s">
        <v>18</v>
      </c>
      <c r="G85" s="3" t="s">
        <v>19</v>
      </c>
      <c r="H85" s="4" t="s">
        <v>19</v>
      </c>
      <c r="I85" s="1" t="s">
        <v>415</v>
      </c>
      <c r="J85" s="1" t="s">
        <v>399</v>
      </c>
      <c r="K85" s="1" t="s">
        <v>416</v>
      </c>
      <c r="L85" s="3" t="str">
        <f t="shared" si="0"/>
        <v>Outstanding</v>
      </c>
      <c r="M85" s="11" t="s">
        <v>19</v>
      </c>
    </row>
    <row r="86" spans="1:13" ht="60" customHeight="1" x14ac:dyDescent="0.35">
      <c r="A86" s="9" t="s">
        <v>417</v>
      </c>
      <c r="B86" s="1" t="s">
        <v>418</v>
      </c>
      <c r="C86" s="2" t="s">
        <v>15</v>
      </c>
      <c r="D86" s="3" t="s">
        <v>16</v>
      </c>
      <c r="E86" s="3" t="s">
        <v>17</v>
      </c>
      <c r="F86" s="3" t="s">
        <v>18</v>
      </c>
      <c r="G86" s="3" t="s">
        <v>19</v>
      </c>
      <c r="H86" s="4" t="s">
        <v>19</v>
      </c>
      <c r="I86" s="1" t="s">
        <v>419</v>
      </c>
      <c r="J86" s="1" t="s">
        <v>420</v>
      </c>
      <c r="K86" s="1" t="s">
        <v>421</v>
      </c>
      <c r="L86" s="3" t="str">
        <f t="shared" si="0"/>
        <v>Outstanding</v>
      </c>
      <c r="M86" s="11" t="s">
        <v>19</v>
      </c>
    </row>
    <row r="87" spans="1:13" ht="60" customHeight="1" x14ac:dyDescent="0.35">
      <c r="A87" s="9" t="s">
        <v>422</v>
      </c>
      <c r="B87" s="1" t="s">
        <v>423</v>
      </c>
      <c r="C87" s="2" t="s">
        <v>15</v>
      </c>
      <c r="D87" s="3" t="s">
        <v>16</v>
      </c>
      <c r="E87" s="3" t="s">
        <v>17</v>
      </c>
      <c r="F87" s="3" t="s">
        <v>18</v>
      </c>
      <c r="G87" s="3" t="s">
        <v>19</v>
      </c>
      <c r="H87" s="4" t="s">
        <v>19</v>
      </c>
      <c r="I87" s="1" t="s">
        <v>424</v>
      </c>
      <c r="J87" s="1" t="s">
        <v>425</v>
      </c>
      <c r="K87" s="1" t="s">
        <v>426</v>
      </c>
      <c r="L87" s="3" t="str">
        <f t="shared" si="0"/>
        <v>Outstanding</v>
      </c>
      <c r="M87" s="11" t="s">
        <v>19</v>
      </c>
    </row>
    <row r="88" spans="1:13" ht="60" customHeight="1" x14ac:dyDescent="0.35">
      <c r="A88" s="9" t="s">
        <v>427</v>
      </c>
      <c r="B88" s="1" t="s">
        <v>428</v>
      </c>
      <c r="C88" s="2" t="s">
        <v>15</v>
      </c>
      <c r="D88" s="3" t="s">
        <v>16</v>
      </c>
      <c r="E88" s="3" t="s">
        <v>17</v>
      </c>
      <c r="F88" s="3" t="s">
        <v>18</v>
      </c>
      <c r="G88" s="3" t="s">
        <v>19</v>
      </c>
      <c r="H88" s="4" t="s">
        <v>19</v>
      </c>
      <c r="I88" s="1" t="s">
        <v>429</v>
      </c>
      <c r="J88" s="1" t="s">
        <v>430</v>
      </c>
      <c r="K88" s="1" t="s">
        <v>431</v>
      </c>
      <c r="L88" s="3" t="str">
        <f t="shared" si="0"/>
        <v>Outstanding</v>
      </c>
      <c r="M88" s="11" t="s">
        <v>19</v>
      </c>
    </row>
    <row r="89" spans="1:13" ht="60" customHeight="1" x14ac:dyDescent="0.35">
      <c r="A89" s="9" t="s">
        <v>432</v>
      </c>
      <c r="B89" s="1" t="s">
        <v>433</v>
      </c>
      <c r="C89" s="2" t="s">
        <v>15</v>
      </c>
      <c r="D89" s="3" t="s">
        <v>16</v>
      </c>
      <c r="E89" s="3" t="s">
        <v>17</v>
      </c>
      <c r="F89" s="3" t="s">
        <v>18</v>
      </c>
      <c r="G89" s="3" t="s">
        <v>19</v>
      </c>
      <c r="H89" s="4" t="s">
        <v>19</v>
      </c>
      <c r="I89" s="1" t="s">
        <v>434</v>
      </c>
      <c r="J89" s="1" t="s">
        <v>430</v>
      </c>
      <c r="K89" s="1" t="s">
        <v>435</v>
      </c>
      <c r="L89" s="3" t="str">
        <f t="shared" si="0"/>
        <v>Outstanding</v>
      </c>
      <c r="M89" s="11" t="s">
        <v>19</v>
      </c>
    </row>
    <row r="90" spans="1:13" ht="60" customHeight="1" x14ac:dyDescent="0.35">
      <c r="A90" s="9" t="s">
        <v>436</v>
      </c>
      <c r="B90" s="1" t="s">
        <v>437</v>
      </c>
      <c r="C90" s="2" t="s">
        <v>15</v>
      </c>
      <c r="D90" s="3" t="s">
        <v>16</v>
      </c>
      <c r="E90" s="3" t="s">
        <v>17</v>
      </c>
      <c r="F90" s="3" t="s">
        <v>18</v>
      </c>
      <c r="G90" s="3" t="s">
        <v>19</v>
      </c>
      <c r="H90" s="4" t="s">
        <v>19</v>
      </c>
      <c r="I90" s="1" t="s">
        <v>438</v>
      </c>
      <c r="J90" s="1" t="s">
        <v>439</v>
      </c>
      <c r="K90" s="1" t="s">
        <v>440</v>
      </c>
      <c r="L90" s="3" t="str">
        <f t="shared" si="0"/>
        <v>Outstanding</v>
      </c>
      <c r="M90" s="11" t="s">
        <v>19</v>
      </c>
    </row>
    <row r="91" spans="1:13" ht="60" customHeight="1" x14ac:dyDescent="0.35">
      <c r="A91" s="9" t="s">
        <v>441</v>
      </c>
      <c r="B91" s="1" t="s">
        <v>442</v>
      </c>
      <c r="C91" s="2" t="s">
        <v>15</v>
      </c>
      <c r="D91" s="3" t="s">
        <v>16</v>
      </c>
      <c r="E91" s="3" t="s">
        <v>17</v>
      </c>
      <c r="F91" s="3" t="s">
        <v>18</v>
      </c>
      <c r="G91" s="3" t="s">
        <v>19</v>
      </c>
      <c r="H91" s="4" t="s">
        <v>19</v>
      </c>
      <c r="I91" s="1" t="s">
        <v>443</v>
      </c>
      <c r="J91" s="1" t="s">
        <v>444</v>
      </c>
      <c r="K91" s="1" t="s">
        <v>445</v>
      </c>
      <c r="L91" s="3" t="str">
        <f t="shared" si="0"/>
        <v>Outstanding</v>
      </c>
      <c r="M91" s="11" t="s">
        <v>19</v>
      </c>
    </row>
    <row r="92" spans="1:13" ht="60" customHeight="1" x14ac:dyDescent="0.35">
      <c r="A92" s="9" t="s">
        <v>446</v>
      </c>
      <c r="B92" s="1" t="s">
        <v>447</v>
      </c>
      <c r="C92" s="2" t="s">
        <v>15</v>
      </c>
      <c r="D92" s="3" t="s">
        <v>16</v>
      </c>
      <c r="E92" s="3" t="s">
        <v>17</v>
      </c>
      <c r="F92" s="3" t="s">
        <v>18</v>
      </c>
      <c r="G92" s="3" t="s">
        <v>19</v>
      </c>
      <c r="H92" s="4" t="s">
        <v>19</v>
      </c>
      <c r="I92" s="1" t="s">
        <v>448</v>
      </c>
      <c r="J92" s="1" t="s">
        <v>449</v>
      </c>
      <c r="K92" s="1" t="s">
        <v>450</v>
      </c>
      <c r="L92" s="3" t="str">
        <f t="shared" si="0"/>
        <v>Outstanding</v>
      </c>
      <c r="M92" s="11" t="s">
        <v>19</v>
      </c>
    </row>
    <row r="93" spans="1:13" ht="60" customHeight="1" x14ac:dyDescent="0.35">
      <c r="A93" s="9" t="s">
        <v>451</v>
      </c>
      <c r="B93" s="1" t="s">
        <v>452</v>
      </c>
      <c r="C93" s="2" t="s">
        <v>15</v>
      </c>
      <c r="D93" s="3" t="s">
        <v>16</v>
      </c>
      <c r="E93" s="3" t="s">
        <v>17</v>
      </c>
      <c r="F93" s="3" t="s">
        <v>18</v>
      </c>
      <c r="G93" s="3" t="s">
        <v>19</v>
      </c>
      <c r="H93" s="4" t="s">
        <v>19</v>
      </c>
      <c r="I93" s="1" t="s">
        <v>453</v>
      </c>
      <c r="J93" s="1" t="s">
        <v>454</v>
      </c>
      <c r="K93" s="1" t="s">
        <v>455</v>
      </c>
      <c r="L93" s="3" t="str">
        <f t="shared" si="0"/>
        <v>Outstanding</v>
      </c>
      <c r="M93" s="11" t="s">
        <v>19</v>
      </c>
    </row>
    <row r="94" spans="1:13" ht="60" customHeight="1" x14ac:dyDescent="0.35">
      <c r="A94" s="9" t="s">
        <v>456</v>
      </c>
      <c r="B94" s="1" t="s">
        <v>457</v>
      </c>
      <c r="C94" s="2" t="s">
        <v>15</v>
      </c>
      <c r="D94" s="3" t="s">
        <v>16</v>
      </c>
      <c r="E94" s="3" t="s">
        <v>17</v>
      </c>
      <c r="F94" s="3" t="s">
        <v>18</v>
      </c>
      <c r="G94" s="3" t="s">
        <v>19</v>
      </c>
      <c r="H94" s="4" t="s">
        <v>19</v>
      </c>
      <c r="I94" s="1" t="s">
        <v>458</v>
      </c>
      <c r="J94" s="1" t="s">
        <v>449</v>
      </c>
      <c r="K94" s="1" t="s">
        <v>459</v>
      </c>
      <c r="L94" s="3" t="str">
        <f t="shared" si="0"/>
        <v>Outstanding</v>
      </c>
      <c r="M94" s="11" t="s">
        <v>19</v>
      </c>
    </row>
    <row r="95" spans="1:13" ht="60" customHeight="1" x14ac:dyDescent="0.35">
      <c r="A95" s="9" t="s">
        <v>460</v>
      </c>
      <c r="B95" s="1" t="s">
        <v>461</v>
      </c>
      <c r="C95" s="2" t="s">
        <v>15</v>
      </c>
      <c r="D95" s="3" t="s">
        <v>16</v>
      </c>
      <c r="E95" s="3" t="s">
        <v>17</v>
      </c>
      <c r="F95" s="3" t="s">
        <v>18</v>
      </c>
      <c r="G95" s="3" t="s">
        <v>19</v>
      </c>
      <c r="H95" s="4" t="s">
        <v>19</v>
      </c>
      <c r="I95" s="1" t="s">
        <v>462</v>
      </c>
      <c r="J95" s="1" t="s">
        <v>430</v>
      </c>
      <c r="K95" s="1" t="s">
        <v>463</v>
      </c>
      <c r="L95" s="3" t="str">
        <f t="shared" si="0"/>
        <v>Outstanding</v>
      </c>
      <c r="M95" s="11" t="s">
        <v>19</v>
      </c>
    </row>
    <row r="96" spans="1:13" ht="60" customHeight="1" x14ac:dyDescent="0.35">
      <c r="A96" s="9" t="s">
        <v>464</v>
      </c>
      <c r="B96" s="1" t="s">
        <v>465</v>
      </c>
      <c r="C96" s="2" t="s">
        <v>15</v>
      </c>
      <c r="D96" s="3" t="s">
        <v>16</v>
      </c>
      <c r="E96" s="3" t="s">
        <v>17</v>
      </c>
      <c r="F96" s="3" t="s">
        <v>18</v>
      </c>
      <c r="G96" s="3" t="s">
        <v>19</v>
      </c>
      <c r="H96" s="4" t="s">
        <v>19</v>
      </c>
      <c r="I96" s="1" t="s">
        <v>466</v>
      </c>
      <c r="J96" s="1" t="s">
        <v>467</v>
      </c>
      <c r="K96" s="1" t="s">
        <v>468</v>
      </c>
      <c r="L96" s="3" t="str">
        <f t="shared" si="0"/>
        <v>Outstanding</v>
      </c>
      <c r="M96" s="11" t="s">
        <v>19</v>
      </c>
    </row>
    <row r="97" spans="1:13" ht="60" customHeight="1" x14ac:dyDescent="0.35">
      <c r="A97" s="9" t="s">
        <v>469</v>
      </c>
      <c r="B97" s="1" t="s">
        <v>470</v>
      </c>
      <c r="C97" s="2" t="s">
        <v>15</v>
      </c>
      <c r="D97" s="3" t="s">
        <v>16</v>
      </c>
      <c r="E97" s="3" t="s">
        <v>17</v>
      </c>
      <c r="F97" s="3" t="s">
        <v>18</v>
      </c>
      <c r="G97" s="3" t="s">
        <v>19</v>
      </c>
      <c r="H97" s="4" t="s">
        <v>19</v>
      </c>
      <c r="I97" s="1" t="s">
        <v>471</v>
      </c>
      <c r="J97" s="1" t="s">
        <v>472</v>
      </c>
      <c r="K97" s="1" t="s">
        <v>473</v>
      </c>
      <c r="L97" s="3" t="str">
        <f t="shared" si="0"/>
        <v>Outstanding</v>
      </c>
      <c r="M97" s="11" t="s">
        <v>19</v>
      </c>
    </row>
    <row r="98" spans="1:13" ht="60" customHeight="1" x14ac:dyDescent="0.35">
      <c r="A98" s="9" t="s">
        <v>474</v>
      </c>
      <c r="B98" s="1" t="s">
        <v>475</v>
      </c>
      <c r="C98" s="2" t="s">
        <v>15</v>
      </c>
      <c r="D98" s="3" t="s">
        <v>16</v>
      </c>
      <c r="E98" s="3" t="s">
        <v>17</v>
      </c>
      <c r="F98" s="3" t="s">
        <v>18</v>
      </c>
      <c r="G98" s="3" t="s">
        <v>19</v>
      </c>
      <c r="H98" s="4" t="s">
        <v>19</v>
      </c>
      <c r="I98" s="1" t="s">
        <v>476</v>
      </c>
      <c r="J98" s="1" t="s">
        <v>439</v>
      </c>
      <c r="K98" s="1" t="s">
        <v>477</v>
      </c>
      <c r="L98" s="3" t="str">
        <f t="shared" si="0"/>
        <v>Outstanding</v>
      </c>
      <c r="M98" s="11" t="s">
        <v>19</v>
      </c>
    </row>
    <row r="99" spans="1:13" ht="60" customHeight="1" x14ac:dyDescent="0.35">
      <c r="A99" s="9" t="s">
        <v>478</v>
      </c>
      <c r="B99" s="1" t="s">
        <v>479</v>
      </c>
      <c r="C99" s="2" t="s">
        <v>15</v>
      </c>
      <c r="D99" s="3" t="s">
        <v>16</v>
      </c>
      <c r="E99" s="3" t="s">
        <v>17</v>
      </c>
      <c r="F99" s="3" t="s">
        <v>18</v>
      </c>
      <c r="G99" s="3" t="s">
        <v>19</v>
      </c>
      <c r="H99" s="4" t="s">
        <v>19</v>
      </c>
      <c r="I99" s="1" t="s">
        <v>480</v>
      </c>
      <c r="J99" s="1" t="s">
        <v>481</v>
      </c>
      <c r="K99" s="1" t="s">
        <v>482</v>
      </c>
      <c r="L99" s="3" t="str">
        <f t="shared" si="0"/>
        <v>Outstanding</v>
      </c>
      <c r="M99" s="11" t="s">
        <v>19</v>
      </c>
    </row>
    <row r="100" spans="1:13" ht="60" customHeight="1" x14ac:dyDescent="0.35">
      <c r="A100" s="9" t="s">
        <v>483</v>
      </c>
      <c r="B100" s="1" t="s">
        <v>484</v>
      </c>
      <c r="C100" s="2" t="s">
        <v>15</v>
      </c>
      <c r="D100" s="3" t="s">
        <v>16</v>
      </c>
      <c r="E100" s="3" t="s">
        <v>17</v>
      </c>
      <c r="F100" s="3" t="s">
        <v>18</v>
      </c>
      <c r="G100" s="3" t="s">
        <v>19</v>
      </c>
      <c r="H100" s="4" t="s">
        <v>19</v>
      </c>
      <c r="I100" s="1" t="s">
        <v>485</v>
      </c>
      <c r="J100" s="1" t="s">
        <v>486</v>
      </c>
      <c r="K100" s="1" t="s">
        <v>487</v>
      </c>
      <c r="L100" s="3" t="str">
        <f t="shared" si="0"/>
        <v>Outstanding</v>
      </c>
      <c r="M100" s="11" t="s">
        <v>19</v>
      </c>
    </row>
    <row r="101" spans="1:13" ht="60" customHeight="1" x14ac:dyDescent="0.35">
      <c r="A101" s="9" t="s">
        <v>488</v>
      </c>
      <c r="B101" s="1" t="s">
        <v>489</v>
      </c>
      <c r="C101" s="2" t="s">
        <v>15</v>
      </c>
      <c r="D101" s="3" t="s">
        <v>16</v>
      </c>
      <c r="E101" s="3" t="s">
        <v>17</v>
      </c>
      <c r="F101" s="3" t="s">
        <v>18</v>
      </c>
      <c r="G101" s="3" t="s">
        <v>19</v>
      </c>
      <c r="H101" s="4" t="s">
        <v>19</v>
      </c>
      <c r="I101" s="1" t="s">
        <v>490</v>
      </c>
      <c r="J101" s="1" t="s">
        <v>491</v>
      </c>
      <c r="K101" s="1" t="s">
        <v>492</v>
      </c>
      <c r="L101" s="3" t="str">
        <f t="shared" si="0"/>
        <v>Outstanding</v>
      </c>
      <c r="M101" s="11" t="s">
        <v>19</v>
      </c>
    </row>
    <row r="102" spans="1:13" ht="60" customHeight="1" x14ac:dyDescent="0.35">
      <c r="A102" s="9" t="s">
        <v>493</v>
      </c>
      <c r="B102" s="1" t="s">
        <v>494</v>
      </c>
      <c r="C102" s="2" t="s">
        <v>15</v>
      </c>
      <c r="D102" s="3" t="s">
        <v>16</v>
      </c>
      <c r="E102" s="3" t="s">
        <v>17</v>
      </c>
      <c r="F102" s="3" t="s">
        <v>18</v>
      </c>
      <c r="G102" s="3" t="s">
        <v>19</v>
      </c>
      <c r="H102" s="4" t="s">
        <v>19</v>
      </c>
      <c r="I102" s="1" t="s">
        <v>495</v>
      </c>
      <c r="J102" s="1" t="s">
        <v>496</v>
      </c>
      <c r="K102" s="1" t="s">
        <v>497</v>
      </c>
      <c r="L102" s="3" t="str">
        <f t="shared" si="0"/>
        <v>Outstanding</v>
      </c>
      <c r="M102" s="11" t="s">
        <v>19</v>
      </c>
    </row>
    <row r="103" spans="1:13" ht="60" customHeight="1" x14ac:dyDescent="0.35">
      <c r="A103" s="9" t="s">
        <v>498</v>
      </c>
      <c r="B103" s="1" t="s">
        <v>499</v>
      </c>
      <c r="C103" s="2" t="s">
        <v>15</v>
      </c>
      <c r="D103" s="3" t="s">
        <v>16</v>
      </c>
      <c r="E103" s="3" t="s">
        <v>17</v>
      </c>
      <c r="F103" s="3" t="s">
        <v>18</v>
      </c>
      <c r="G103" s="3" t="s">
        <v>19</v>
      </c>
      <c r="H103" s="4" t="s">
        <v>19</v>
      </c>
      <c r="I103" s="1" t="s">
        <v>500</v>
      </c>
      <c r="J103" s="1" t="s">
        <v>496</v>
      </c>
      <c r="K103" s="1" t="s">
        <v>501</v>
      </c>
      <c r="L103" s="3" t="str">
        <f t="shared" si="0"/>
        <v>Outstanding</v>
      </c>
      <c r="M103" s="11" t="s">
        <v>19</v>
      </c>
    </row>
    <row r="104" spans="1:13" ht="60" customHeight="1" x14ac:dyDescent="0.35">
      <c r="A104" s="9" t="s">
        <v>502</v>
      </c>
      <c r="B104" s="1" t="s">
        <v>503</v>
      </c>
      <c r="C104" s="2" t="s">
        <v>15</v>
      </c>
      <c r="D104" s="3" t="s">
        <v>16</v>
      </c>
      <c r="E104" s="3" t="s">
        <v>17</v>
      </c>
      <c r="F104" s="3" t="s">
        <v>18</v>
      </c>
      <c r="G104" s="3" t="s">
        <v>19</v>
      </c>
      <c r="H104" s="4" t="s">
        <v>19</v>
      </c>
      <c r="I104" s="1" t="s">
        <v>504</v>
      </c>
      <c r="J104" s="1" t="s">
        <v>496</v>
      </c>
      <c r="K104" s="1" t="s">
        <v>505</v>
      </c>
      <c r="L104" s="3" t="str">
        <f t="shared" si="0"/>
        <v>Outstanding</v>
      </c>
      <c r="M104" s="11" t="s">
        <v>19</v>
      </c>
    </row>
    <row r="105" spans="1:13" ht="60" customHeight="1" x14ac:dyDescent="0.35">
      <c r="A105" s="9" t="s">
        <v>506</v>
      </c>
      <c r="B105" s="1" t="s">
        <v>507</v>
      </c>
      <c r="C105" s="2" t="s">
        <v>15</v>
      </c>
      <c r="D105" s="3" t="s">
        <v>16</v>
      </c>
      <c r="E105" s="3" t="s">
        <v>17</v>
      </c>
      <c r="F105" s="3" t="s">
        <v>18</v>
      </c>
      <c r="G105" s="3" t="s">
        <v>19</v>
      </c>
      <c r="H105" s="4" t="s">
        <v>19</v>
      </c>
      <c r="I105" s="1" t="s">
        <v>508</v>
      </c>
      <c r="J105" s="1" t="s">
        <v>509</v>
      </c>
      <c r="K105" s="1" t="s">
        <v>510</v>
      </c>
      <c r="L105" s="3" t="str">
        <f t="shared" si="0"/>
        <v>Outstanding</v>
      </c>
      <c r="M105" s="11" t="s">
        <v>19</v>
      </c>
    </row>
    <row r="106" spans="1:13" ht="60" customHeight="1" x14ac:dyDescent="0.35">
      <c r="A106" s="9" t="s">
        <v>511</v>
      </c>
      <c r="B106" s="1" t="s">
        <v>512</v>
      </c>
      <c r="C106" s="2" t="s">
        <v>15</v>
      </c>
      <c r="D106" s="3" t="s">
        <v>16</v>
      </c>
      <c r="E106" s="3" t="s">
        <v>17</v>
      </c>
      <c r="F106" s="3" t="s">
        <v>18</v>
      </c>
      <c r="G106" s="3" t="s">
        <v>19</v>
      </c>
      <c r="H106" s="4" t="s">
        <v>19</v>
      </c>
      <c r="I106" s="1" t="s">
        <v>513</v>
      </c>
      <c r="J106" s="1" t="s">
        <v>514</v>
      </c>
      <c r="K106" s="1" t="s">
        <v>515</v>
      </c>
      <c r="L106" s="3" t="str">
        <f t="shared" si="0"/>
        <v>Outstanding</v>
      </c>
      <c r="M106" s="11" t="s">
        <v>19</v>
      </c>
    </row>
    <row r="107" spans="1:13" ht="60" customHeight="1" x14ac:dyDescent="0.35">
      <c r="A107" s="9" t="s">
        <v>516</v>
      </c>
      <c r="B107" s="1" t="s">
        <v>517</v>
      </c>
      <c r="C107" s="2" t="s">
        <v>15</v>
      </c>
      <c r="D107" s="3" t="s">
        <v>16</v>
      </c>
      <c r="E107" s="3" t="s">
        <v>17</v>
      </c>
      <c r="F107" s="3" t="s">
        <v>18</v>
      </c>
      <c r="G107" s="3" t="s">
        <v>19</v>
      </c>
      <c r="H107" s="4" t="s">
        <v>19</v>
      </c>
      <c r="I107" s="1" t="s">
        <v>518</v>
      </c>
      <c r="J107" s="1" t="s">
        <v>519</v>
      </c>
      <c r="K107" s="1" t="s">
        <v>520</v>
      </c>
      <c r="L107" s="3" t="str">
        <f t="shared" si="0"/>
        <v>Outstanding</v>
      </c>
      <c r="M107" s="11" t="s">
        <v>19</v>
      </c>
    </row>
    <row r="108" spans="1:13" ht="60" customHeight="1" x14ac:dyDescent="0.35">
      <c r="A108" s="9" t="s">
        <v>521</v>
      </c>
      <c r="B108" s="1" t="s">
        <v>522</v>
      </c>
      <c r="C108" s="2" t="s">
        <v>15</v>
      </c>
      <c r="D108" s="3" t="s">
        <v>16</v>
      </c>
      <c r="E108" s="3" t="s">
        <v>17</v>
      </c>
      <c r="F108" s="3" t="s">
        <v>18</v>
      </c>
      <c r="G108" s="3" t="s">
        <v>19</v>
      </c>
      <c r="H108" s="4" t="s">
        <v>19</v>
      </c>
      <c r="I108" s="1" t="s">
        <v>523</v>
      </c>
      <c r="J108" s="1" t="s">
        <v>524</v>
      </c>
      <c r="K108" s="1" t="s">
        <v>525</v>
      </c>
      <c r="L108" s="3" t="str">
        <f t="shared" si="0"/>
        <v>Outstanding</v>
      </c>
      <c r="M108" s="11" t="s">
        <v>19</v>
      </c>
    </row>
    <row r="109" spans="1:13" ht="60" customHeight="1" x14ac:dyDescent="0.35">
      <c r="A109" s="9" t="s">
        <v>526</v>
      </c>
      <c r="B109" s="1" t="s">
        <v>527</v>
      </c>
      <c r="C109" s="2" t="s">
        <v>15</v>
      </c>
      <c r="D109" s="3" t="s">
        <v>16</v>
      </c>
      <c r="E109" s="3" t="s">
        <v>17</v>
      </c>
      <c r="F109" s="3" t="s">
        <v>18</v>
      </c>
      <c r="G109" s="3" t="s">
        <v>19</v>
      </c>
      <c r="H109" s="4" t="s">
        <v>19</v>
      </c>
      <c r="I109" s="1" t="s">
        <v>528</v>
      </c>
      <c r="J109" s="1" t="s">
        <v>529</v>
      </c>
      <c r="K109" s="1" t="s">
        <v>530</v>
      </c>
      <c r="L109" s="3" t="str">
        <f t="shared" si="0"/>
        <v>Outstanding</v>
      </c>
      <c r="M109" s="11" t="s">
        <v>19</v>
      </c>
    </row>
    <row r="110" spans="1:13" ht="60" customHeight="1" x14ac:dyDescent="0.35">
      <c r="A110" s="9" t="s">
        <v>531</v>
      </c>
      <c r="B110" s="1" t="s">
        <v>532</v>
      </c>
      <c r="C110" s="2" t="s">
        <v>15</v>
      </c>
      <c r="D110" s="3" t="s">
        <v>16</v>
      </c>
      <c r="E110" s="3" t="s">
        <v>17</v>
      </c>
      <c r="F110" s="3" t="s">
        <v>18</v>
      </c>
      <c r="G110" s="3" t="s">
        <v>19</v>
      </c>
      <c r="H110" s="4" t="s">
        <v>19</v>
      </c>
      <c r="I110" s="1" t="s">
        <v>533</v>
      </c>
      <c r="J110" s="1" t="s">
        <v>534</v>
      </c>
      <c r="K110" s="1" t="s">
        <v>535</v>
      </c>
      <c r="L110" s="3" t="str">
        <f t="shared" si="0"/>
        <v>Outstanding</v>
      </c>
      <c r="M110" s="11" t="s">
        <v>19</v>
      </c>
    </row>
    <row r="111" spans="1:13" ht="60" customHeight="1" x14ac:dyDescent="0.35">
      <c r="A111" s="9" t="s">
        <v>536</v>
      </c>
      <c r="B111" s="1" t="s">
        <v>537</v>
      </c>
      <c r="C111" s="2" t="s">
        <v>15</v>
      </c>
      <c r="D111" s="3" t="s">
        <v>16</v>
      </c>
      <c r="E111" s="3" t="s">
        <v>17</v>
      </c>
      <c r="F111" s="3" t="s">
        <v>18</v>
      </c>
      <c r="G111" s="3" t="s">
        <v>19</v>
      </c>
      <c r="H111" s="4" t="s">
        <v>19</v>
      </c>
      <c r="I111" s="1" t="s">
        <v>538</v>
      </c>
      <c r="J111" s="1" t="s">
        <v>534</v>
      </c>
      <c r="K111" s="1" t="s">
        <v>539</v>
      </c>
      <c r="L111" s="3" t="str">
        <f t="shared" si="0"/>
        <v>Outstanding</v>
      </c>
      <c r="M111" s="11" t="s">
        <v>19</v>
      </c>
    </row>
    <row r="112" spans="1:13" ht="60" customHeight="1" x14ac:dyDescent="0.35">
      <c r="A112" s="9" t="s">
        <v>540</v>
      </c>
      <c r="B112" s="1" t="s">
        <v>541</v>
      </c>
      <c r="C112" s="2" t="s">
        <v>15</v>
      </c>
      <c r="D112" s="3" t="s">
        <v>16</v>
      </c>
      <c r="E112" s="3" t="s">
        <v>17</v>
      </c>
      <c r="F112" s="3" t="s">
        <v>18</v>
      </c>
      <c r="G112" s="3" t="s">
        <v>19</v>
      </c>
      <c r="H112" s="4" t="s">
        <v>19</v>
      </c>
      <c r="I112" s="1" t="s">
        <v>542</v>
      </c>
      <c r="J112" s="1" t="s">
        <v>543</v>
      </c>
      <c r="K112" s="1" t="s">
        <v>544</v>
      </c>
      <c r="L112" s="3" t="str">
        <f t="shared" si="0"/>
        <v>Outstanding</v>
      </c>
      <c r="M112" s="11" t="s">
        <v>19</v>
      </c>
    </row>
    <row r="113" spans="1:13" ht="60" customHeight="1" x14ac:dyDescent="0.35">
      <c r="A113" s="9" t="s">
        <v>545</v>
      </c>
      <c r="B113" s="1" t="s">
        <v>546</v>
      </c>
      <c r="C113" s="2" t="s">
        <v>15</v>
      </c>
      <c r="D113" s="3" t="s">
        <v>16</v>
      </c>
      <c r="E113" s="3" t="s">
        <v>17</v>
      </c>
      <c r="F113" s="3" t="s">
        <v>18</v>
      </c>
      <c r="G113" s="3" t="s">
        <v>19</v>
      </c>
      <c r="H113" s="4" t="s">
        <v>19</v>
      </c>
      <c r="I113" s="1" t="s">
        <v>547</v>
      </c>
      <c r="J113" s="1" t="s">
        <v>548</v>
      </c>
      <c r="K113" s="1" t="s">
        <v>549</v>
      </c>
      <c r="L113" s="3" t="str">
        <f t="shared" si="0"/>
        <v>Outstanding</v>
      </c>
      <c r="M113" s="11" t="s">
        <v>19</v>
      </c>
    </row>
    <row r="114" spans="1:13" ht="60" customHeight="1" x14ac:dyDescent="0.35">
      <c r="A114" s="9" t="s">
        <v>550</v>
      </c>
      <c r="B114" s="1" t="s">
        <v>551</v>
      </c>
      <c r="C114" s="2" t="s">
        <v>15</v>
      </c>
      <c r="D114" s="3" t="s">
        <v>16</v>
      </c>
      <c r="E114" s="3" t="s">
        <v>17</v>
      </c>
      <c r="F114" s="3" t="s">
        <v>18</v>
      </c>
      <c r="G114" s="3" t="s">
        <v>19</v>
      </c>
      <c r="H114" s="4" t="s">
        <v>19</v>
      </c>
      <c r="I114" s="1" t="s">
        <v>552</v>
      </c>
      <c r="J114" s="1" t="s">
        <v>553</v>
      </c>
      <c r="K114" s="1" t="s">
        <v>554</v>
      </c>
      <c r="L114" s="3" t="str">
        <f t="shared" si="0"/>
        <v>Outstanding</v>
      </c>
      <c r="M114" s="11" t="s">
        <v>19</v>
      </c>
    </row>
    <row r="115" spans="1:13" ht="60" customHeight="1" x14ac:dyDescent="0.35">
      <c r="A115" s="9" t="s">
        <v>555</v>
      </c>
      <c r="B115" s="1" t="s">
        <v>556</v>
      </c>
      <c r="C115" s="2" t="s">
        <v>15</v>
      </c>
      <c r="D115" s="3" t="s">
        <v>16</v>
      </c>
      <c r="E115" s="3" t="s">
        <v>17</v>
      </c>
      <c r="F115" s="3" t="s">
        <v>18</v>
      </c>
      <c r="G115" s="3" t="s">
        <v>19</v>
      </c>
      <c r="H115" s="4" t="s">
        <v>19</v>
      </c>
      <c r="I115" s="1" t="s">
        <v>557</v>
      </c>
      <c r="J115" s="1" t="s">
        <v>529</v>
      </c>
      <c r="K115" s="1" t="s">
        <v>558</v>
      </c>
      <c r="L115" s="3" t="str">
        <f t="shared" si="0"/>
        <v>Outstanding</v>
      </c>
      <c r="M115" s="11" t="s">
        <v>19</v>
      </c>
    </row>
    <row r="116" spans="1:13" ht="60" customHeight="1" x14ac:dyDescent="0.35">
      <c r="A116" s="9" t="s">
        <v>559</v>
      </c>
      <c r="B116" s="1" t="s">
        <v>560</v>
      </c>
      <c r="C116" s="2" t="s">
        <v>15</v>
      </c>
      <c r="D116" s="3" t="s">
        <v>16</v>
      </c>
      <c r="E116" s="3" t="s">
        <v>17</v>
      </c>
      <c r="F116" s="3" t="s">
        <v>18</v>
      </c>
      <c r="G116" s="3" t="s">
        <v>19</v>
      </c>
      <c r="H116" s="4" t="s">
        <v>19</v>
      </c>
      <c r="I116" s="1" t="s">
        <v>561</v>
      </c>
      <c r="J116" s="1" t="s">
        <v>562</v>
      </c>
      <c r="K116" s="1" t="s">
        <v>563</v>
      </c>
      <c r="L116" s="3" t="str">
        <f t="shared" si="0"/>
        <v>Outstanding</v>
      </c>
      <c r="M116" s="11" t="s">
        <v>19</v>
      </c>
    </row>
    <row r="117" spans="1:13" ht="60" customHeight="1" x14ac:dyDescent="0.35">
      <c r="A117" s="9" t="s">
        <v>564</v>
      </c>
      <c r="B117" s="1" t="s">
        <v>565</v>
      </c>
      <c r="C117" s="2" t="s">
        <v>15</v>
      </c>
      <c r="D117" s="3" t="s">
        <v>16</v>
      </c>
      <c r="E117" s="3" t="s">
        <v>17</v>
      </c>
      <c r="F117" s="3" t="s">
        <v>18</v>
      </c>
      <c r="G117" s="3" t="s">
        <v>19</v>
      </c>
      <c r="H117" s="4" t="s">
        <v>19</v>
      </c>
      <c r="I117" s="1" t="s">
        <v>566</v>
      </c>
      <c r="J117" s="1" t="s">
        <v>567</v>
      </c>
      <c r="K117" s="1" t="s">
        <v>568</v>
      </c>
      <c r="L117" s="3" t="str">
        <f t="shared" si="0"/>
        <v>Outstanding</v>
      </c>
      <c r="M117" s="11" t="s">
        <v>19</v>
      </c>
    </row>
    <row r="118" spans="1:13" ht="60" customHeight="1" x14ac:dyDescent="0.35">
      <c r="A118" s="9" t="s">
        <v>569</v>
      </c>
      <c r="B118" s="1" t="s">
        <v>570</v>
      </c>
      <c r="C118" s="2" t="s">
        <v>15</v>
      </c>
      <c r="D118" s="3" t="s">
        <v>16</v>
      </c>
      <c r="E118" s="3" t="s">
        <v>17</v>
      </c>
      <c r="F118" s="3" t="s">
        <v>18</v>
      </c>
      <c r="G118" s="3" t="s">
        <v>19</v>
      </c>
      <c r="H118" s="4" t="s">
        <v>19</v>
      </c>
      <c r="I118" s="1" t="s">
        <v>571</v>
      </c>
      <c r="J118" s="1" t="s">
        <v>572</v>
      </c>
      <c r="K118" s="1" t="s">
        <v>573</v>
      </c>
      <c r="L118" s="3" t="str">
        <f t="shared" si="0"/>
        <v>Outstanding</v>
      </c>
      <c r="M118" s="11" t="s">
        <v>19</v>
      </c>
    </row>
    <row r="119" spans="1:13" ht="60" customHeight="1" x14ac:dyDescent="0.35">
      <c r="A119" s="9" t="s">
        <v>574</v>
      </c>
      <c r="B119" s="1" t="s">
        <v>575</v>
      </c>
      <c r="C119" s="2" t="s">
        <v>15</v>
      </c>
      <c r="D119" s="3" t="s">
        <v>16</v>
      </c>
      <c r="E119" s="3" t="s">
        <v>17</v>
      </c>
      <c r="F119" s="3" t="s">
        <v>18</v>
      </c>
      <c r="G119" s="3" t="s">
        <v>19</v>
      </c>
      <c r="H119" s="4" t="s">
        <v>19</v>
      </c>
      <c r="I119" s="1" t="s">
        <v>576</v>
      </c>
      <c r="J119" s="1" t="s">
        <v>399</v>
      </c>
      <c r="K119" s="1" t="s">
        <v>577</v>
      </c>
      <c r="L119" s="3" t="str">
        <f t="shared" si="0"/>
        <v>Outstanding</v>
      </c>
      <c r="M119" s="11" t="s">
        <v>19</v>
      </c>
    </row>
    <row r="120" spans="1:13" ht="60" customHeight="1" x14ac:dyDescent="0.35">
      <c r="A120" s="9" t="s">
        <v>578</v>
      </c>
      <c r="B120" s="1" t="s">
        <v>579</v>
      </c>
      <c r="C120" s="2" t="s">
        <v>29</v>
      </c>
      <c r="D120" s="3" t="s">
        <v>16</v>
      </c>
      <c r="E120" s="3" t="s">
        <v>17</v>
      </c>
      <c r="F120" s="3" t="s">
        <v>18</v>
      </c>
      <c r="G120" s="3" t="s">
        <v>19</v>
      </c>
      <c r="H120" s="4" t="s">
        <v>19</v>
      </c>
      <c r="I120" s="1" t="s">
        <v>580</v>
      </c>
      <c r="J120" s="1" t="s">
        <v>581</v>
      </c>
      <c r="K120" s="1" t="s">
        <v>582</v>
      </c>
      <c r="L120" s="3" t="str">
        <f t="shared" si="0"/>
        <v>Outstanding</v>
      </c>
      <c r="M120" s="11" t="s">
        <v>19</v>
      </c>
    </row>
    <row r="121" spans="1:13" ht="60" customHeight="1" x14ac:dyDescent="0.35">
      <c r="A121" s="9" t="s">
        <v>583</v>
      </c>
      <c r="B121" s="1" t="s">
        <v>584</v>
      </c>
      <c r="C121" s="2" t="s">
        <v>29</v>
      </c>
      <c r="D121" s="3" t="s">
        <v>16</v>
      </c>
      <c r="E121" s="3" t="s">
        <v>17</v>
      </c>
      <c r="F121" s="3" t="s">
        <v>18</v>
      </c>
      <c r="G121" s="3" t="s">
        <v>19</v>
      </c>
      <c r="H121" s="4" t="s">
        <v>19</v>
      </c>
      <c r="I121" s="1" t="s">
        <v>585</v>
      </c>
      <c r="J121" s="1" t="s">
        <v>586</v>
      </c>
      <c r="K121" s="1" t="s">
        <v>587</v>
      </c>
      <c r="L121" s="3" t="str">
        <f t="shared" si="0"/>
        <v>Outstanding</v>
      </c>
      <c r="M121" s="11" t="s">
        <v>19</v>
      </c>
    </row>
    <row r="122" spans="1:13" ht="60" customHeight="1" x14ac:dyDescent="0.35">
      <c r="A122" s="9" t="s">
        <v>588</v>
      </c>
      <c r="B122" s="1" t="s">
        <v>589</v>
      </c>
      <c r="C122" s="2" t="s">
        <v>15</v>
      </c>
      <c r="D122" s="3" t="s">
        <v>16</v>
      </c>
      <c r="E122" s="3" t="s">
        <v>17</v>
      </c>
      <c r="F122" s="3" t="s">
        <v>18</v>
      </c>
      <c r="G122" s="3" t="s">
        <v>19</v>
      </c>
      <c r="H122" s="4" t="s">
        <v>19</v>
      </c>
      <c r="I122" s="1" t="s">
        <v>590</v>
      </c>
      <c r="J122" s="1" t="s">
        <v>591</v>
      </c>
      <c r="K122" s="1" t="s">
        <v>592</v>
      </c>
      <c r="L122" s="3" t="str">
        <f t="shared" si="0"/>
        <v>Outstanding</v>
      </c>
      <c r="M122" s="11" t="s">
        <v>19</v>
      </c>
    </row>
    <row r="123" spans="1:13" ht="60" customHeight="1" x14ac:dyDescent="0.35">
      <c r="A123" s="9" t="s">
        <v>593</v>
      </c>
      <c r="B123" s="1" t="s">
        <v>594</v>
      </c>
      <c r="C123" s="2" t="s">
        <v>15</v>
      </c>
      <c r="D123" s="3" t="s">
        <v>16</v>
      </c>
      <c r="E123" s="3" t="s">
        <v>17</v>
      </c>
      <c r="F123" s="3" t="s">
        <v>18</v>
      </c>
      <c r="G123" s="3" t="s">
        <v>19</v>
      </c>
      <c r="H123" s="4" t="s">
        <v>19</v>
      </c>
      <c r="I123" s="1" t="s">
        <v>595</v>
      </c>
      <c r="J123" s="1" t="s">
        <v>596</v>
      </c>
      <c r="K123" s="1" t="s">
        <v>597</v>
      </c>
      <c r="L123" s="3" t="str">
        <f t="shared" si="0"/>
        <v>Outstanding</v>
      </c>
      <c r="M123" s="11" t="s">
        <v>19</v>
      </c>
    </row>
    <row r="124" spans="1:13" ht="60" customHeight="1" x14ac:dyDescent="0.35">
      <c r="A124" s="9" t="s">
        <v>598</v>
      </c>
      <c r="B124" s="1" t="s">
        <v>599</v>
      </c>
      <c r="C124" s="2" t="s">
        <v>15</v>
      </c>
      <c r="D124" s="3" t="s">
        <v>16</v>
      </c>
      <c r="E124" s="3" t="s">
        <v>17</v>
      </c>
      <c r="F124" s="3" t="s">
        <v>18</v>
      </c>
      <c r="G124" s="3" t="s">
        <v>19</v>
      </c>
      <c r="H124" s="4" t="s">
        <v>19</v>
      </c>
      <c r="I124" s="1" t="s">
        <v>600</v>
      </c>
      <c r="J124" s="1" t="s">
        <v>601</v>
      </c>
      <c r="K124" s="1" t="s">
        <v>602</v>
      </c>
      <c r="L124" s="3" t="str">
        <f t="shared" si="0"/>
        <v>Outstanding</v>
      </c>
      <c r="M124" s="11" t="s">
        <v>19</v>
      </c>
    </row>
    <row r="125" spans="1:13" ht="60" customHeight="1" x14ac:dyDescent="0.35">
      <c r="A125" s="9" t="s">
        <v>603</v>
      </c>
      <c r="B125" s="1" t="s">
        <v>604</v>
      </c>
      <c r="C125" s="2" t="s">
        <v>15</v>
      </c>
      <c r="D125" s="3" t="s">
        <v>16</v>
      </c>
      <c r="E125" s="3" t="s">
        <v>17</v>
      </c>
      <c r="F125" s="3" t="s">
        <v>18</v>
      </c>
      <c r="G125" s="3" t="s">
        <v>19</v>
      </c>
      <c r="H125" s="4" t="s">
        <v>19</v>
      </c>
      <c r="I125" s="1" t="s">
        <v>605</v>
      </c>
      <c r="J125" s="1" t="s">
        <v>596</v>
      </c>
      <c r="K125" s="1" t="s">
        <v>606</v>
      </c>
      <c r="L125" s="3" t="str">
        <f t="shared" si="0"/>
        <v>Outstanding</v>
      </c>
      <c r="M125" s="11" t="s">
        <v>19</v>
      </c>
    </row>
    <row r="126" spans="1:13" ht="60" customHeight="1" x14ac:dyDescent="0.35">
      <c r="A126" s="9" t="s">
        <v>607</v>
      </c>
      <c r="B126" s="1" t="s">
        <v>608</v>
      </c>
      <c r="C126" s="2" t="s">
        <v>15</v>
      </c>
      <c r="D126" s="3" t="s">
        <v>16</v>
      </c>
      <c r="E126" s="3" t="s">
        <v>17</v>
      </c>
      <c r="F126" s="3" t="s">
        <v>18</v>
      </c>
      <c r="G126" s="3" t="s">
        <v>19</v>
      </c>
      <c r="H126" s="4" t="s">
        <v>19</v>
      </c>
      <c r="I126" s="1" t="s">
        <v>609</v>
      </c>
      <c r="J126" s="1" t="s">
        <v>601</v>
      </c>
      <c r="K126" s="1" t="s">
        <v>610</v>
      </c>
      <c r="L126" s="3" t="str">
        <f t="shared" si="0"/>
        <v>Outstanding</v>
      </c>
      <c r="M126" s="11" t="s">
        <v>19</v>
      </c>
    </row>
    <row r="127" spans="1:13" ht="60" customHeight="1" x14ac:dyDescent="0.35">
      <c r="A127" s="9" t="s">
        <v>611</v>
      </c>
      <c r="B127" s="1" t="s">
        <v>612</v>
      </c>
      <c r="C127" s="2" t="s">
        <v>15</v>
      </c>
      <c r="D127" s="3" t="s">
        <v>16</v>
      </c>
      <c r="E127" s="3" t="s">
        <v>17</v>
      </c>
      <c r="F127" s="3" t="s">
        <v>18</v>
      </c>
      <c r="G127" s="3" t="s">
        <v>19</v>
      </c>
      <c r="H127" s="4" t="s">
        <v>19</v>
      </c>
      <c r="I127" s="1" t="s">
        <v>613</v>
      </c>
      <c r="J127" s="1" t="s">
        <v>596</v>
      </c>
      <c r="K127" s="1" t="s">
        <v>614</v>
      </c>
      <c r="L127" s="3" t="str">
        <f t="shared" si="0"/>
        <v>Outstanding</v>
      </c>
      <c r="M127" s="11" t="s">
        <v>19</v>
      </c>
    </row>
    <row r="128" spans="1:13" ht="60" customHeight="1" x14ac:dyDescent="0.35">
      <c r="A128" s="9" t="s">
        <v>615</v>
      </c>
      <c r="B128" s="1" t="s">
        <v>616</v>
      </c>
      <c r="C128" s="2" t="s">
        <v>15</v>
      </c>
      <c r="D128" s="3" t="s">
        <v>16</v>
      </c>
      <c r="E128" s="3" t="s">
        <v>17</v>
      </c>
      <c r="F128" s="3" t="s">
        <v>18</v>
      </c>
      <c r="G128" s="3" t="s">
        <v>19</v>
      </c>
      <c r="H128" s="4" t="s">
        <v>19</v>
      </c>
      <c r="I128" s="1" t="s">
        <v>617</v>
      </c>
      <c r="J128" s="1" t="s">
        <v>601</v>
      </c>
      <c r="K128" s="1" t="s">
        <v>618</v>
      </c>
      <c r="L128" s="3" t="str">
        <f t="shared" si="0"/>
        <v>Outstanding</v>
      </c>
      <c r="M128" s="11" t="s">
        <v>19</v>
      </c>
    </row>
    <row r="129" spans="1:13" ht="60" customHeight="1" x14ac:dyDescent="0.35">
      <c r="A129" s="9" t="s">
        <v>619</v>
      </c>
      <c r="B129" s="1" t="s">
        <v>620</v>
      </c>
      <c r="C129" s="2" t="s">
        <v>15</v>
      </c>
      <c r="D129" s="3" t="s">
        <v>16</v>
      </c>
      <c r="E129" s="3" t="s">
        <v>17</v>
      </c>
      <c r="F129" s="3" t="s">
        <v>18</v>
      </c>
      <c r="G129" s="3" t="s">
        <v>19</v>
      </c>
      <c r="H129" s="4" t="s">
        <v>19</v>
      </c>
      <c r="I129" s="1" t="s">
        <v>621</v>
      </c>
      <c r="J129" s="1" t="s">
        <v>596</v>
      </c>
      <c r="K129" s="1" t="s">
        <v>622</v>
      </c>
      <c r="L129" s="3" t="str">
        <f t="shared" si="0"/>
        <v>Outstanding</v>
      </c>
      <c r="M129" s="11" t="s">
        <v>19</v>
      </c>
    </row>
    <row r="130" spans="1:13" ht="60" customHeight="1" x14ac:dyDescent="0.35">
      <c r="A130" s="9" t="s">
        <v>623</v>
      </c>
      <c r="B130" s="1" t="s">
        <v>624</v>
      </c>
      <c r="C130" s="2" t="s">
        <v>15</v>
      </c>
      <c r="D130" s="3" t="s">
        <v>16</v>
      </c>
      <c r="E130" s="3" t="s">
        <v>17</v>
      </c>
      <c r="F130" s="3" t="s">
        <v>18</v>
      </c>
      <c r="G130" s="3" t="s">
        <v>19</v>
      </c>
      <c r="H130" s="4" t="s">
        <v>19</v>
      </c>
      <c r="I130" s="1" t="s">
        <v>625</v>
      </c>
      <c r="J130" s="1" t="s">
        <v>601</v>
      </c>
      <c r="K130" s="1" t="s">
        <v>626</v>
      </c>
      <c r="L130" s="3" t="str">
        <f t="shared" si="0"/>
        <v>Outstanding</v>
      </c>
      <c r="M130" s="11" t="s">
        <v>19</v>
      </c>
    </row>
    <row r="131" spans="1:13" ht="60" customHeight="1" x14ac:dyDescent="0.35">
      <c r="A131" s="9" t="s">
        <v>627</v>
      </c>
      <c r="B131" s="1" t="s">
        <v>628</v>
      </c>
      <c r="C131" s="2" t="s">
        <v>15</v>
      </c>
      <c r="D131" s="3" t="s">
        <v>16</v>
      </c>
      <c r="E131" s="3" t="s">
        <v>17</v>
      </c>
      <c r="F131" s="3" t="s">
        <v>18</v>
      </c>
      <c r="G131" s="3" t="s">
        <v>19</v>
      </c>
      <c r="H131" s="4" t="s">
        <v>19</v>
      </c>
      <c r="I131" s="1" t="s">
        <v>629</v>
      </c>
      <c r="J131" s="1" t="s">
        <v>596</v>
      </c>
      <c r="K131" s="1" t="s">
        <v>630</v>
      </c>
      <c r="L131" s="3" t="str">
        <f t="shared" si="0"/>
        <v>Outstanding</v>
      </c>
      <c r="M131" s="11" t="s">
        <v>19</v>
      </c>
    </row>
    <row r="132" spans="1:13" ht="60" customHeight="1" x14ac:dyDescent="0.35">
      <c r="A132" s="9" t="s">
        <v>631</v>
      </c>
      <c r="B132" s="1" t="s">
        <v>632</v>
      </c>
      <c r="C132" s="2" t="s">
        <v>15</v>
      </c>
      <c r="D132" s="3" t="s">
        <v>16</v>
      </c>
      <c r="E132" s="3" t="s">
        <v>17</v>
      </c>
      <c r="F132" s="3" t="s">
        <v>18</v>
      </c>
      <c r="G132" s="3" t="s">
        <v>19</v>
      </c>
      <c r="H132" s="4" t="s">
        <v>19</v>
      </c>
      <c r="I132" s="1" t="s">
        <v>633</v>
      </c>
      <c r="J132" s="1" t="s">
        <v>634</v>
      </c>
      <c r="K132" s="1" t="s">
        <v>635</v>
      </c>
      <c r="L132" s="3" t="str">
        <f t="shared" si="0"/>
        <v>Outstanding</v>
      </c>
      <c r="M132" s="11" t="s">
        <v>19</v>
      </c>
    </row>
    <row r="133" spans="1:13" ht="60" customHeight="1" x14ac:dyDescent="0.35">
      <c r="A133" s="9" t="s">
        <v>636</v>
      </c>
      <c r="B133" s="1" t="s">
        <v>637</v>
      </c>
      <c r="C133" s="2" t="s">
        <v>15</v>
      </c>
      <c r="D133" s="3" t="s">
        <v>16</v>
      </c>
      <c r="E133" s="3" t="s">
        <v>17</v>
      </c>
      <c r="F133" s="3" t="s">
        <v>18</v>
      </c>
      <c r="G133" s="3" t="s">
        <v>19</v>
      </c>
      <c r="H133" s="4" t="s">
        <v>19</v>
      </c>
      <c r="I133" s="1" t="s">
        <v>638</v>
      </c>
      <c r="J133" s="1" t="s">
        <v>596</v>
      </c>
      <c r="K133" s="1" t="s">
        <v>639</v>
      </c>
      <c r="L133" s="3" t="str">
        <f t="shared" si="0"/>
        <v>Outstanding</v>
      </c>
      <c r="M133" s="11" t="s">
        <v>19</v>
      </c>
    </row>
    <row r="134" spans="1:13" ht="60" customHeight="1" x14ac:dyDescent="0.35">
      <c r="A134" s="9" t="s">
        <v>640</v>
      </c>
      <c r="B134" s="1" t="s">
        <v>641</v>
      </c>
      <c r="C134" s="2" t="s">
        <v>15</v>
      </c>
      <c r="D134" s="3" t="s">
        <v>16</v>
      </c>
      <c r="E134" s="3" t="s">
        <v>17</v>
      </c>
      <c r="F134" s="3" t="s">
        <v>18</v>
      </c>
      <c r="G134" s="3" t="s">
        <v>19</v>
      </c>
      <c r="H134" s="4" t="s">
        <v>19</v>
      </c>
      <c r="I134" s="1" t="s">
        <v>642</v>
      </c>
      <c r="J134" s="1" t="s">
        <v>601</v>
      </c>
      <c r="K134" s="1" t="s">
        <v>643</v>
      </c>
      <c r="L134" s="3" t="str">
        <f t="shared" si="0"/>
        <v>Outstanding</v>
      </c>
      <c r="M134" s="11" t="s">
        <v>19</v>
      </c>
    </row>
    <row r="135" spans="1:13" ht="60" customHeight="1" x14ac:dyDescent="0.35">
      <c r="A135" s="9" t="s">
        <v>644</v>
      </c>
      <c r="B135" s="1" t="s">
        <v>645</v>
      </c>
      <c r="C135" s="2" t="s">
        <v>15</v>
      </c>
      <c r="D135" s="3" t="s">
        <v>16</v>
      </c>
      <c r="E135" s="3" t="s">
        <v>17</v>
      </c>
      <c r="F135" s="3" t="s">
        <v>18</v>
      </c>
      <c r="G135" s="3" t="s">
        <v>19</v>
      </c>
      <c r="H135" s="4" t="s">
        <v>19</v>
      </c>
      <c r="I135" s="1" t="s">
        <v>646</v>
      </c>
      <c r="J135" s="1" t="s">
        <v>596</v>
      </c>
      <c r="K135" s="1" t="s">
        <v>647</v>
      </c>
      <c r="L135" s="3" t="str">
        <f t="shared" si="0"/>
        <v>Outstanding</v>
      </c>
      <c r="M135" s="11" t="s">
        <v>19</v>
      </c>
    </row>
    <row r="136" spans="1:13" ht="60" customHeight="1" x14ac:dyDescent="0.35">
      <c r="A136" s="9" t="s">
        <v>648</v>
      </c>
      <c r="B136" s="1" t="s">
        <v>649</v>
      </c>
      <c r="C136" s="2" t="s">
        <v>15</v>
      </c>
      <c r="D136" s="3" t="s">
        <v>16</v>
      </c>
      <c r="E136" s="3" t="s">
        <v>17</v>
      </c>
      <c r="F136" s="3" t="s">
        <v>18</v>
      </c>
      <c r="G136" s="3" t="s">
        <v>19</v>
      </c>
      <c r="H136" s="4" t="s">
        <v>19</v>
      </c>
      <c r="I136" s="1" t="s">
        <v>650</v>
      </c>
      <c r="J136" s="1" t="s">
        <v>651</v>
      </c>
      <c r="K136" s="1" t="s">
        <v>652</v>
      </c>
      <c r="L136" s="3" t="str">
        <f t="shared" si="0"/>
        <v>Outstanding</v>
      </c>
      <c r="M136" s="11" t="s">
        <v>19</v>
      </c>
    </row>
    <row r="137" spans="1:13" ht="60" customHeight="1" x14ac:dyDescent="0.35">
      <c r="A137" s="9" t="s">
        <v>653</v>
      </c>
      <c r="B137" s="1" t="s">
        <v>654</v>
      </c>
      <c r="C137" s="2" t="s">
        <v>155</v>
      </c>
      <c r="D137" s="3" t="s">
        <v>16</v>
      </c>
      <c r="E137" s="3" t="s">
        <v>17</v>
      </c>
      <c r="F137" s="3" t="s">
        <v>18</v>
      </c>
      <c r="G137" s="3" t="s">
        <v>19</v>
      </c>
      <c r="H137" s="4" t="s">
        <v>19</v>
      </c>
      <c r="I137" s="1" t="s">
        <v>655</v>
      </c>
      <c r="J137" s="1" t="s">
        <v>656</v>
      </c>
      <c r="K137" s="1" t="s">
        <v>657</v>
      </c>
      <c r="L137" s="3" t="str">
        <f t="shared" si="0"/>
        <v>Outstanding</v>
      </c>
      <c r="M137" s="11" t="s">
        <v>19</v>
      </c>
    </row>
    <row r="138" spans="1:13" ht="60" customHeight="1" x14ac:dyDescent="0.35">
      <c r="A138" s="9" t="s">
        <v>658</v>
      </c>
      <c r="B138" s="1" t="s">
        <v>659</v>
      </c>
      <c r="C138" s="2" t="s">
        <v>15</v>
      </c>
      <c r="D138" s="3" t="s">
        <v>16</v>
      </c>
      <c r="E138" s="3" t="s">
        <v>17</v>
      </c>
      <c r="F138" s="3" t="s">
        <v>18</v>
      </c>
      <c r="G138" s="3" t="s">
        <v>19</v>
      </c>
      <c r="H138" s="4" t="s">
        <v>19</v>
      </c>
      <c r="I138" s="1" t="s">
        <v>660</v>
      </c>
      <c r="J138" s="1" t="s">
        <v>661</v>
      </c>
      <c r="K138" s="1" t="s">
        <v>662</v>
      </c>
      <c r="L138" s="3" t="str">
        <f t="shared" si="0"/>
        <v>Outstanding</v>
      </c>
      <c r="M138" s="11" t="s">
        <v>19</v>
      </c>
    </row>
    <row r="139" spans="1:13" ht="60" customHeight="1" x14ac:dyDescent="0.35">
      <c r="A139" s="9" t="s">
        <v>663</v>
      </c>
      <c r="B139" s="1" t="s">
        <v>664</v>
      </c>
      <c r="C139" s="2" t="s">
        <v>15</v>
      </c>
      <c r="D139" s="3" t="s">
        <v>16</v>
      </c>
      <c r="E139" s="3" t="s">
        <v>17</v>
      </c>
      <c r="F139" s="3" t="s">
        <v>18</v>
      </c>
      <c r="G139" s="3" t="s">
        <v>19</v>
      </c>
      <c r="H139" s="4" t="s">
        <v>19</v>
      </c>
      <c r="I139" s="1" t="s">
        <v>665</v>
      </c>
      <c r="J139" s="1" t="s">
        <v>661</v>
      </c>
      <c r="K139" s="1" t="s">
        <v>666</v>
      </c>
      <c r="L139" s="3" t="str">
        <f t="shared" si="0"/>
        <v>Outstanding</v>
      </c>
      <c r="M139" s="11" t="s">
        <v>19</v>
      </c>
    </row>
    <row r="140" spans="1:13" ht="60" customHeight="1" x14ac:dyDescent="0.35">
      <c r="A140" s="9" t="s">
        <v>667</v>
      </c>
      <c r="B140" s="1" t="s">
        <v>668</v>
      </c>
      <c r="C140" s="2" t="s">
        <v>15</v>
      </c>
      <c r="D140" s="3" t="s">
        <v>16</v>
      </c>
      <c r="E140" s="3" t="s">
        <v>17</v>
      </c>
      <c r="F140" s="3" t="s">
        <v>18</v>
      </c>
      <c r="G140" s="3" t="s">
        <v>19</v>
      </c>
      <c r="H140" s="4" t="s">
        <v>19</v>
      </c>
      <c r="I140" s="1" t="s">
        <v>669</v>
      </c>
      <c r="J140" s="1" t="s">
        <v>670</v>
      </c>
      <c r="K140" s="1" t="s">
        <v>671</v>
      </c>
      <c r="L140" s="3" t="str">
        <f t="shared" si="0"/>
        <v>Outstanding</v>
      </c>
      <c r="M140" s="11" t="s">
        <v>19</v>
      </c>
    </row>
    <row r="141" spans="1:13" ht="60" customHeight="1" x14ac:dyDescent="0.35">
      <c r="A141" s="9" t="s">
        <v>672</v>
      </c>
      <c r="B141" s="1" t="s">
        <v>673</v>
      </c>
      <c r="C141" s="2" t="s">
        <v>15</v>
      </c>
      <c r="D141" s="3" t="s">
        <v>16</v>
      </c>
      <c r="E141" s="3" t="s">
        <v>17</v>
      </c>
      <c r="F141" s="3" t="s">
        <v>18</v>
      </c>
      <c r="G141" s="3" t="s">
        <v>19</v>
      </c>
      <c r="H141" s="4" t="s">
        <v>19</v>
      </c>
      <c r="I141" s="1" t="s">
        <v>674</v>
      </c>
      <c r="J141" s="1" t="s">
        <v>675</v>
      </c>
      <c r="K141" s="1" t="s">
        <v>676</v>
      </c>
      <c r="L141" s="3" t="str">
        <f t="shared" si="0"/>
        <v>Outstanding</v>
      </c>
      <c r="M141" s="11" t="s">
        <v>19</v>
      </c>
    </row>
    <row r="142" spans="1:13" ht="60" customHeight="1" x14ac:dyDescent="0.35">
      <c r="A142" s="9" t="s">
        <v>677</v>
      </c>
      <c r="B142" s="1" t="s">
        <v>678</v>
      </c>
      <c r="C142" s="2" t="s">
        <v>15</v>
      </c>
      <c r="D142" s="3" t="s">
        <v>16</v>
      </c>
      <c r="E142" s="3" t="s">
        <v>17</v>
      </c>
      <c r="F142" s="3" t="s">
        <v>18</v>
      </c>
      <c r="G142" s="3" t="s">
        <v>19</v>
      </c>
      <c r="H142" s="4" t="s">
        <v>19</v>
      </c>
      <c r="I142" s="1" t="s">
        <v>679</v>
      </c>
      <c r="J142" s="1" t="s">
        <v>680</v>
      </c>
      <c r="K142" s="1" t="s">
        <v>681</v>
      </c>
      <c r="L142" s="3" t="str">
        <f t="shared" si="0"/>
        <v>Outstanding</v>
      </c>
      <c r="M142" s="11" t="s">
        <v>19</v>
      </c>
    </row>
    <row r="143" spans="1:13" ht="60" customHeight="1" x14ac:dyDescent="0.35">
      <c r="A143" s="9" t="s">
        <v>682</v>
      </c>
      <c r="B143" s="1" t="s">
        <v>683</v>
      </c>
      <c r="C143" s="2" t="s">
        <v>15</v>
      </c>
      <c r="D143" s="3" t="s">
        <v>16</v>
      </c>
      <c r="E143" s="3" t="s">
        <v>17</v>
      </c>
      <c r="F143" s="3" t="s">
        <v>18</v>
      </c>
      <c r="G143" s="3" t="s">
        <v>19</v>
      </c>
      <c r="H143" s="4" t="s">
        <v>19</v>
      </c>
      <c r="I143" s="1" t="s">
        <v>684</v>
      </c>
      <c r="J143" s="1" t="s">
        <v>685</v>
      </c>
      <c r="K143" s="1" t="s">
        <v>686</v>
      </c>
      <c r="L143" s="3" t="str">
        <f t="shared" si="0"/>
        <v>Outstanding</v>
      </c>
      <c r="M143" s="11" t="s">
        <v>19</v>
      </c>
    </row>
    <row r="144" spans="1:13" ht="60" customHeight="1" x14ac:dyDescent="0.35">
      <c r="A144" s="9" t="s">
        <v>687</v>
      </c>
      <c r="B144" s="1" t="s">
        <v>688</v>
      </c>
      <c r="C144" s="2" t="s">
        <v>15</v>
      </c>
      <c r="D144" s="3" t="s">
        <v>16</v>
      </c>
      <c r="E144" s="3" t="s">
        <v>17</v>
      </c>
      <c r="F144" s="3" t="s">
        <v>18</v>
      </c>
      <c r="G144" s="3" t="s">
        <v>19</v>
      </c>
      <c r="H144" s="4" t="s">
        <v>19</v>
      </c>
      <c r="I144" s="1" t="s">
        <v>689</v>
      </c>
      <c r="J144" s="1" t="s">
        <v>690</v>
      </c>
      <c r="K144" s="1" t="s">
        <v>691</v>
      </c>
      <c r="L144" s="3" t="str">
        <f t="shared" si="0"/>
        <v>Outstanding</v>
      </c>
      <c r="M144" s="11" t="s">
        <v>19</v>
      </c>
    </row>
    <row r="145" spans="1:13" ht="60" customHeight="1" x14ac:dyDescent="0.35">
      <c r="A145" s="9" t="s">
        <v>692</v>
      </c>
      <c r="B145" s="1" t="s">
        <v>693</v>
      </c>
      <c r="C145" s="2" t="s">
        <v>15</v>
      </c>
      <c r="D145" s="3" t="s">
        <v>16</v>
      </c>
      <c r="E145" s="3" t="s">
        <v>17</v>
      </c>
      <c r="F145" s="3" t="s">
        <v>18</v>
      </c>
      <c r="G145" s="3" t="s">
        <v>19</v>
      </c>
      <c r="H145" s="4" t="s">
        <v>19</v>
      </c>
      <c r="I145" s="1" t="s">
        <v>694</v>
      </c>
      <c r="J145" s="1" t="s">
        <v>695</v>
      </c>
      <c r="K145" s="1" t="s">
        <v>696</v>
      </c>
      <c r="L145" s="3" t="str">
        <f t="shared" si="0"/>
        <v>Outstanding</v>
      </c>
      <c r="M145" s="11" t="s">
        <v>19</v>
      </c>
    </row>
    <row r="146" spans="1:13" ht="60" customHeight="1" x14ac:dyDescent="0.35">
      <c r="A146" s="9" t="s">
        <v>697</v>
      </c>
      <c r="B146" s="1" t="s">
        <v>698</v>
      </c>
      <c r="C146" s="2" t="s">
        <v>15</v>
      </c>
      <c r="D146" s="3" t="s">
        <v>16</v>
      </c>
      <c r="E146" s="3" t="s">
        <v>17</v>
      </c>
      <c r="F146" s="3" t="s">
        <v>18</v>
      </c>
      <c r="G146" s="3" t="s">
        <v>19</v>
      </c>
      <c r="H146" s="4" t="s">
        <v>19</v>
      </c>
      <c r="I146" s="1" t="s">
        <v>699</v>
      </c>
      <c r="J146" s="1" t="s">
        <v>700</v>
      </c>
      <c r="K146" s="1" t="s">
        <v>701</v>
      </c>
      <c r="L146" s="3" t="str">
        <f t="shared" si="0"/>
        <v>Outstanding</v>
      </c>
      <c r="M146" s="11" t="s">
        <v>19</v>
      </c>
    </row>
    <row r="147" spans="1:13" ht="60" customHeight="1" x14ac:dyDescent="0.35">
      <c r="A147" s="9" t="s">
        <v>702</v>
      </c>
      <c r="B147" s="1" t="s">
        <v>703</v>
      </c>
      <c r="C147" s="2" t="s">
        <v>15</v>
      </c>
      <c r="D147" s="3" t="s">
        <v>16</v>
      </c>
      <c r="E147" s="3" t="s">
        <v>17</v>
      </c>
      <c r="F147" s="3" t="s">
        <v>18</v>
      </c>
      <c r="G147" s="3" t="s">
        <v>19</v>
      </c>
      <c r="H147" s="4" t="s">
        <v>19</v>
      </c>
      <c r="I147" s="1" t="s">
        <v>704</v>
      </c>
      <c r="J147" s="1" t="s">
        <v>705</v>
      </c>
      <c r="K147" s="1" t="s">
        <v>706</v>
      </c>
      <c r="L147" s="3" t="str">
        <f t="shared" si="0"/>
        <v>Outstanding</v>
      </c>
      <c r="M147" s="11" t="s">
        <v>19</v>
      </c>
    </row>
    <row r="148" spans="1:13" ht="60" customHeight="1" x14ac:dyDescent="0.35">
      <c r="A148" s="9" t="s">
        <v>707</v>
      </c>
      <c r="B148" s="1" t="s">
        <v>708</v>
      </c>
      <c r="C148" s="2" t="s">
        <v>15</v>
      </c>
      <c r="D148" s="3" t="s">
        <v>16</v>
      </c>
      <c r="E148" s="3" t="s">
        <v>17</v>
      </c>
      <c r="F148" s="3" t="s">
        <v>18</v>
      </c>
      <c r="G148" s="3" t="s">
        <v>19</v>
      </c>
      <c r="H148" s="4" t="s">
        <v>19</v>
      </c>
      <c r="I148" s="1" t="s">
        <v>709</v>
      </c>
      <c r="J148" s="1" t="s">
        <v>710</v>
      </c>
      <c r="K148" s="1" t="s">
        <v>711</v>
      </c>
      <c r="L148" s="3" t="str">
        <f t="shared" si="0"/>
        <v>Outstanding</v>
      </c>
      <c r="M148" s="11" t="s">
        <v>19</v>
      </c>
    </row>
    <row r="149" spans="1:13" ht="60" customHeight="1" x14ac:dyDescent="0.35">
      <c r="A149" s="9" t="s">
        <v>712</v>
      </c>
      <c r="B149" s="1" t="s">
        <v>713</v>
      </c>
      <c r="C149" s="2" t="s">
        <v>15</v>
      </c>
      <c r="D149" s="3" t="s">
        <v>16</v>
      </c>
      <c r="E149" s="3" t="s">
        <v>17</v>
      </c>
      <c r="F149" s="3" t="s">
        <v>18</v>
      </c>
      <c r="G149" s="3" t="s">
        <v>19</v>
      </c>
      <c r="H149" s="4" t="s">
        <v>19</v>
      </c>
      <c r="I149" s="1" t="s">
        <v>714</v>
      </c>
      <c r="J149" s="1" t="s">
        <v>710</v>
      </c>
      <c r="K149" s="1" t="s">
        <v>715</v>
      </c>
      <c r="L149" s="3" t="str">
        <f t="shared" si="0"/>
        <v>Outstanding</v>
      </c>
      <c r="M149" s="11" t="s">
        <v>19</v>
      </c>
    </row>
    <row r="150" spans="1:13" ht="60" customHeight="1" x14ac:dyDescent="0.35">
      <c r="A150" s="9" t="s">
        <v>716</v>
      </c>
      <c r="B150" s="1" t="s">
        <v>717</v>
      </c>
      <c r="C150" s="2" t="s">
        <v>15</v>
      </c>
      <c r="D150" s="3" t="s">
        <v>16</v>
      </c>
      <c r="E150" s="3" t="s">
        <v>17</v>
      </c>
      <c r="F150" s="3" t="s">
        <v>18</v>
      </c>
      <c r="G150" s="3" t="s">
        <v>19</v>
      </c>
      <c r="H150" s="4" t="s">
        <v>19</v>
      </c>
      <c r="I150" s="1" t="s">
        <v>718</v>
      </c>
      <c r="J150" s="1" t="s">
        <v>710</v>
      </c>
      <c r="K150" s="1" t="s">
        <v>719</v>
      </c>
      <c r="L150" s="3" t="str">
        <f t="shared" si="0"/>
        <v>Outstanding</v>
      </c>
      <c r="M150" s="11" t="s">
        <v>19</v>
      </c>
    </row>
    <row r="151" spans="1:13" ht="60" customHeight="1" x14ac:dyDescent="0.35">
      <c r="A151" s="9" t="s">
        <v>720</v>
      </c>
      <c r="B151" s="1" t="s">
        <v>721</v>
      </c>
      <c r="C151" s="2" t="s">
        <v>15</v>
      </c>
      <c r="D151" s="3" t="s">
        <v>16</v>
      </c>
      <c r="E151" s="3" t="s">
        <v>17</v>
      </c>
      <c r="F151" s="3" t="s">
        <v>18</v>
      </c>
      <c r="G151" s="3" t="s">
        <v>19</v>
      </c>
      <c r="H151" s="4" t="s">
        <v>19</v>
      </c>
      <c r="I151" s="1" t="s">
        <v>722</v>
      </c>
      <c r="J151" s="1" t="s">
        <v>723</v>
      </c>
      <c r="K151" s="1" t="s">
        <v>724</v>
      </c>
      <c r="L151" s="3" t="str">
        <f t="shared" si="0"/>
        <v>Outstanding</v>
      </c>
      <c r="M151" s="11" t="s">
        <v>19</v>
      </c>
    </row>
    <row r="152" spans="1:13" ht="60" customHeight="1" x14ac:dyDescent="0.35">
      <c r="A152" s="9" t="s">
        <v>725</v>
      </c>
      <c r="B152" s="1" t="s">
        <v>726</v>
      </c>
      <c r="C152" s="2" t="s">
        <v>15</v>
      </c>
      <c r="D152" s="3" t="s">
        <v>16</v>
      </c>
      <c r="E152" s="3" t="s">
        <v>17</v>
      </c>
      <c r="F152" s="3" t="s">
        <v>18</v>
      </c>
      <c r="G152" s="3" t="s">
        <v>19</v>
      </c>
      <c r="H152" s="4" t="s">
        <v>19</v>
      </c>
      <c r="I152" s="1" t="s">
        <v>727</v>
      </c>
      <c r="J152" s="1" t="s">
        <v>728</v>
      </c>
      <c r="K152" s="1" t="s">
        <v>729</v>
      </c>
      <c r="L152" s="3" t="str">
        <f t="shared" si="0"/>
        <v>Outstanding</v>
      </c>
      <c r="M152" s="11" t="s">
        <v>19</v>
      </c>
    </row>
    <row r="153" spans="1:13" ht="60" customHeight="1" x14ac:dyDescent="0.35">
      <c r="A153" s="9" t="s">
        <v>730</v>
      </c>
      <c r="B153" s="1" t="s">
        <v>731</v>
      </c>
      <c r="C153" s="2" t="s">
        <v>155</v>
      </c>
      <c r="D153" s="3" t="s">
        <v>16</v>
      </c>
      <c r="E153" s="3" t="s">
        <v>17</v>
      </c>
      <c r="F153" s="3" t="s">
        <v>18</v>
      </c>
      <c r="G153" s="3" t="s">
        <v>19</v>
      </c>
      <c r="H153" s="4" t="s">
        <v>19</v>
      </c>
      <c r="I153" s="1" t="s">
        <v>732</v>
      </c>
      <c r="J153" s="1" t="s">
        <v>733</v>
      </c>
      <c r="K153" s="1" t="s">
        <v>734</v>
      </c>
      <c r="L153" s="3" t="str">
        <f t="shared" si="0"/>
        <v>Outstanding</v>
      </c>
      <c r="M153" s="11" t="s">
        <v>19</v>
      </c>
    </row>
    <row r="154" spans="1:13" ht="60" customHeight="1" x14ac:dyDescent="0.35">
      <c r="A154" s="9" t="s">
        <v>735</v>
      </c>
      <c r="B154" s="1" t="s">
        <v>736</v>
      </c>
      <c r="C154" s="2" t="s">
        <v>155</v>
      </c>
      <c r="D154" s="3" t="s">
        <v>16</v>
      </c>
      <c r="E154" s="3" t="s">
        <v>17</v>
      </c>
      <c r="F154" s="3" t="s">
        <v>18</v>
      </c>
      <c r="G154" s="3" t="s">
        <v>19</v>
      </c>
      <c r="H154" s="4" t="s">
        <v>19</v>
      </c>
      <c r="I154" s="1" t="s">
        <v>737</v>
      </c>
      <c r="J154" s="1" t="s">
        <v>738</v>
      </c>
      <c r="K154" s="1" t="s">
        <v>739</v>
      </c>
      <c r="L154" s="3" t="str">
        <f t="shared" si="0"/>
        <v>Outstanding</v>
      </c>
      <c r="M154" s="11" t="s">
        <v>19</v>
      </c>
    </row>
    <row r="155" spans="1:13" ht="60" customHeight="1" x14ac:dyDescent="0.35">
      <c r="A155" s="9" t="s">
        <v>740</v>
      </c>
      <c r="B155" s="1" t="s">
        <v>741</v>
      </c>
      <c r="C155" s="2" t="s">
        <v>155</v>
      </c>
      <c r="D155" s="3" t="s">
        <v>16</v>
      </c>
      <c r="E155" s="3" t="s">
        <v>17</v>
      </c>
      <c r="F155" s="3" t="s">
        <v>18</v>
      </c>
      <c r="G155" s="3" t="s">
        <v>19</v>
      </c>
      <c r="H155" s="4" t="s">
        <v>19</v>
      </c>
      <c r="I155" s="1" t="s">
        <v>742</v>
      </c>
      <c r="J155" s="1" t="s">
        <v>743</v>
      </c>
      <c r="K155" s="1" t="s">
        <v>744</v>
      </c>
      <c r="L155" s="3" t="str">
        <f t="shared" si="0"/>
        <v>Outstanding</v>
      </c>
      <c r="M155" s="11" t="s">
        <v>19</v>
      </c>
    </row>
    <row r="156" spans="1:13" ht="60" customHeight="1" x14ac:dyDescent="0.35">
      <c r="A156" s="9" t="s">
        <v>745</v>
      </c>
      <c r="B156" s="1" t="s">
        <v>746</v>
      </c>
      <c r="C156" s="2" t="s">
        <v>15</v>
      </c>
      <c r="D156" s="3" t="s">
        <v>16</v>
      </c>
      <c r="E156" s="3" t="s">
        <v>17</v>
      </c>
      <c r="F156" s="3" t="s">
        <v>18</v>
      </c>
      <c r="G156" s="3" t="s">
        <v>19</v>
      </c>
      <c r="H156" s="4" t="s">
        <v>19</v>
      </c>
      <c r="I156" s="1" t="s">
        <v>747</v>
      </c>
      <c r="J156" s="1" t="s">
        <v>748</v>
      </c>
      <c r="K156" s="1" t="s">
        <v>749</v>
      </c>
      <c r="L156" s="3" t="str">
        <f t="shared" si="0"/>
        <v>Outstanding</v>
      </c>
      <c r="M156" s="11" t="s">
        <v>19</v>
      </c>
    </row>
    <row r="157" spans="1:13" ht="60" customHeight="1" x14ac:dyDescent="0.35">
      <c r="A157" s="9" t="s">
        <v>750</v>
      </c>
      <c r="B157" s="1" t="s">
        <v>751</v>
      </c>
      <c r="C157" s="2" t="s">
        <v>15</v>
      </c>
      <c r="D157" s="3" t="s">
        <v>16</v>
      </c>
      <c r="E157" s="3" t="s">
        <v>17</v>
      </c>
      <c r="F157" s="3" t="s">
        <v>18</v>
      </c>
      <c r="G157" s="3" t="s">
        <v>19</v>
      </c>
      <c r="H157" s="4" t="s">
        <v>19</v>
      </c>
      <c r="I157" s="1" t="s">
        <v>752</v>
      </c>
      <c r="J157" s="1" t="s">
        <v>753</v>
      </c>
      <c r="K157" s="1" t="s">
        <v>754</v>
      </c>
      <c r="L157" s="3" t="str">
        <f t="shared" si="0"/>
        <v>Outstanding</v>
      </c>
      <c r="M157" s="11" t="s">
        <v>19</v>
      </c>
    </row>
    <row r="158" spans="1:13" ht="60" customHeight="1" x14ac:dyDescent="0.35">
      <c r="A158" s="9" t="s">
        <v>755</v>
      </c>
      <c r="B158" s="1" t="s">
        <v>756</v>
      </c>
      <c r="C158" s="2" t="s">
        <v>15</v>
      </c>
      <c r="D158" s="3" t="s">
        <v>16</v>
      </c>
      <c r="E158" s="3" t="s">
        <v>17</v>
      </c>
      <c r="F158" s="3" t="s">
        <v>18</v>
      </c>
      <c r="G158" s="3" t="s">
        <v>19</v>
      </c>
      <c r="H158" s="4" t="s">
        <v>19</v>
      </c>
      <c r="I158" s="1" t="s">
        <v>757</v>
      </c>
      <c r="J158" s="1" t="s">
        <v>758</v>
      </c>
      <c r="K158" s="1" t="s">
        <v>759</v>
      </c>
      <c r="L158" s="3" t="str">
        <f t="shared" si="0"/>
        <v>Outstanding</v>
      </c>
      <c r="M158" s="11" t="s">
        <v>19</v>
      </c>
    </row>
    <row r="159" spans="1:13" ht="60" customHeight="1" x14ac:dyDescent="0.35">
      <c r="A159" s="9" t="s">
        <v>760</v>
      </c>
      <c r="B159" s="1" t="s">
        <v>761</v>
      </c>
      <c r="C159" s="2" t="s">
        <v>155</v>
      </c>
      <c r="D159" s="3" t="s">
        <v>16</v>
      </c>
      <c r="E159" s="3" t="s">
        <v>17</v>
      </c>
      <c r="F159" s="3" t="s">
        <v>18</v>
      </c>
      <c r="G159" s="3" t="s">
        <v>19</v>
      </c>
      <c r="H159" s="4" t="s">
        <v>19</v>
      </c>
      <c r="I159" s="1" t="s">
        <v>762</v>
      </c>
      <c r="J159" s="1" t="s">
        <v>763</v>
      </c>
      <c r="K159" s="1" t="s">
        <v>764</v>
      </c>
      <c r="L159" s="3" t="str">
        <f t="shared" si="0"/>
        <v>Outstanding</v>
      </c>
      <c r="M159" s="11" t="s">
        <v>19</v>
      </c>
    </row>
    <row r="160" spans="1:13" ht="60" customHeight="1" x14ac:dyDescent="0.35">
      <c r="A160" s="9" t="s">
        <v>765</v>
      </c>
      <c r="B160" s="1" t="s">
        <v>766</v>
      </c>
      <c r="C160" s="2" t="s">
        <v>15</v>
      </c>
      <c r="D160" s="3" t="s">
        <v>16</v>
      </c>
      <c r="E160" s="3" t="s">
        <v>17</v>
      </c>
      <c r="F160" s="3" t="s">
        <v>18</v>
      </c>
      <c r="G160" s="3" t="s">
        <v>19</v>
      </c>
      <c r="H160" s="4" t="s">
        <v>19</v>
      </c>
      <c r="I160" s="1" t="s">
        <v>767</v>
      </c>
      <c r="J160" s="1" t="s">
        <v>768</v>
      </c>
      <c r="K160" s="1" t="s">
        <v>769</v>
      </c>
      <c r="L160" s="3" t="str">
        <f t="shared" si="0"/>
        <v>Outstanding</v>
      </c>
      <c r="M160" s="11" t="s">
        <v>19</v>
      </c>
    </row>
    <row r="161" spans="1:13" ht="60" customHeight="1" x14ac:dyDescent="0.35">
      <c r="A161" s="9" t="s">
        <v>770</v>
      </c>
      <c r="B161" s="1" t="s">
        <v>771</v>
      </c>
      <c r="C161" s="2" t="s">
        <v>15</v>
      </c>
      <c r="D161" s="3" t="s">
        <v>16</v>
      </c>
      <c r="E161" s="3" t="s">
        <v>17</v>
      </c>
      <c r="F161" s="3" t="s">
        <v>18</v>
      </c>
      <c r="G161" s="3" t="s">
        <v>19</v>
      </c>
      <c r="H161" s="4" t="s">
        <v>19</v>
      </c>
      <c r="I161" s="1" t="s">
        <v>772</v>
      </c>
      <c r="J161" s="1" t="s">
        <v>768</v>
      </c>
      <c r="K161" s="1" t="s">
        <v>773</v>
      </c>
      <c r="L161" s="3" t="str">
        <f t="shared" si="0"/>
        <v>Outstanding</v>
      </c>
      <c r="M161" s="11" t="s">
        <v>19</v>
      </c>
    </row>
    <row r="162" spans="1:13" ht="60" customHeight="1" x14ac:dyDescent="0.35">
      <c r="A162" s="9" t="s">
        <v>774</v>
      </c>
      <c r="B162" s="1" t="s">
        <v>775</v>
      </c>
      <c r="C162" s="2" t="s">
        <v>15</v>
      </c>
      <c r="D162" s="3" t="s">
        <v>16</v>
      </c>
      <c r="E162" s="3" t="s">
        <v>17</v>
      </c>
      <c r="F162" s="3" t="s">
        <v>18</v>
      </c>
      <c r="G162" s="3" t="s">
        <v>19</v>
      </c>
      <c r="H162" s="4" t="s">
        <v>19</v>
      </c>
      <c r="I162" s="1" t="s">
        <v>776</v>
      </c>
      <c r="J162" s="1" t="s">
        <v>777</v>
      </c>
      <c r="K162" s="1" t="s">
        <v>778</v>
      </c>
      <c r="L162" s="3" t="str">
        <f t="shared" si="0"/>
        <v>Outstanding</v>
      </c>
      <c r="M162" s="11" t="s">
        <v>19</v>
      </c>
    </row>
    <row r="163" spans="1:13" ht="60" customHeight="1" x14ac:dyDescent="0.35">
      <c r="A163" s="9" t="s">
        <v>779</v>
      </c>
      <c r="B163" s="1" t="s">
        <v>780</v>
      </c>
      <c r="C163" s="2" t="s">
        <v>15</v>
      </c>
      <c r="D163" s="3" t="s">
        <v>16</v>
      </c>
      <c r="E163" s="3" t="s">
        <v>17</v>
      </c>
      <c r="F163" s="3" t="s">
        <v>18</v>
      </c>
      <c r="G163" s="3" t="s">
        <v>19</v>
      </c>
      <c r="H163" s="4" t="s">
        <v>19</v>
      </c>
      <c r="I163" s="1" t="s">
        <v>781</v>
      </c>
      <c r="J163" s="1" t="s">
        <v>777</v>
      </c>
      <c r="K163" s="1" t="s">
        <v>782</v>
      </c>
      <c r="L163" s="3" t="str">
        <f t="shared" si="0"/>
        <v>Outstanding</v>
      </c>
      <c r="M163" s="11" t="s">
        <v>19</v>
      </c>
    </row>
    <row r="164" spans="1:13" ht="60" customHeight="1" x14ac:dyDescent="0.35">
      <c r="A164" s="9" t="s">
        <v>783</v>
      </c>
      <c r="B164" s="1" t="s">
        <v>784</v>
      </c>
      <c r="C164" s="2" t="s">
        <v>15</v>
      </c>
      <c r="D164" s="3" t="s">
        <v>16</v>
      </c>
      <c r="E164" s="3" t="s">
        <v>17</v>
      </c>
      <c r="F164" s="3" t="s">
        <v>18</v>
      </c>
      <c r="G164" s="3" t="s">
        <v>19</v>
      </c>
      <c r="H164" s="4" t="s">
        <v>19</v>
      </c>
      <c r="I164" s="1" t="s">
        <v>785</v>
      </c>
      <c r="J164" s="1" t="s">
        <v>786</v>
      </c>
      <c r="K164" s="1" t="s">
        <v>787</v>
      </c>
      <c r="L164" s="3" t="str">
        <f t="shared" si="0"/>
        <v>Outstanding</v>
      </c>
      <c r="M164" s="11" t="s">
        <v>19</v>
      </c>
    </row>
    <row r="165" spans="1:13" ht="60" customHeight="1" x14ac:dyDescent="0.35">
      <c r="A165" s="9" t="s">
        <v>788</v>
      </c>
      <c r="B165" s="1" t="s">
        <v>789</v>
      </c>
      <c r="C165" s="2" t="s">
        <v>15</v>
      </c>
      <c r="D165" s="3" t="s">
        <v>16</v>
      </c>
      <c r="E165" s="3" t="s">
        <v>17</v>
      </c>
      <c r="F165" s="3" t="s">
        <v>18</v>
      </c>
      <c r="G165" s="3" t="s">
        <v>19</v>
      </c>
      <c r="H165" s="4" t="s">
        <v>19</v>
      </c>
      <c r="I165" s="1" t="s">
        <v>790</v>
      </c>
      <c r="J165" s="1" t="s">
        <v>791</v>
      </c>
      <c r="K165" s="1" t="s">
        <v>792</v>
      </c>
      <c r="L165" s="3" t="str">
        <f t="shared" si="0"/>
        <v>Outstanding</v>
      </c>
      <c r="M165" s="11" t="s">
        <v>19</v>
      </c>
    </row>
    <row r="166" spans="1:13" ht="60" customHeight="1" x14ac:dyDescent="0.35">
      <c r="A166" s="9" t="s">
        <v>793</v>
      </c>
      <c r="B166" s="1" t="s">
        <v>794</v>
      </c>
      <c r="C166" s="2" t="s">
        <v>15</v>
      </c>
      <c r="D166" s="3" t="s">
        <v>16</v>
      </c>
      <c r="E166" s="3" t="s">
        <v>17</v>
      </c>
      <c r="F166" s="3" t="s">
        <v>18</v>
      </c>
      <c r="G166" s="3" t="s">
        <v>19</v>
      </c>
      <c r="H166" s="4" t="s">
        <v>19</v>
      </c>
      <c r="I166" s="1" t="s">
        <v>795</v>
      </c>
      <c r="J166" s="1" t="s">
        <v>796</v>
      </c>
      <c r="K166" s="1" t="s">
        <v>797</v>
      </c>
      <c r="L166" s="3" t="str">
        <f t="shared" si="0"/>
        <v>Outstanding</v>
      </c>
      <c r="M166" s="11" t="s">
        <v>19</v>
      </c>
    </row>
    <row r="167" spans="1:13" ht="60" customHeight="1" x14ac:dyDescent="0.35">
      <c r="A167" s="9" t="s">
        <v>798</v>
      </c>
      <c r="B167" s="1" t="s">
        <v>799</v>
      </c>
      <c r="C167" s="2" t="s">
        <v>15</v>
      </c>
      <c r="D167" s="3" t="s">
        <v>16</v>
      </c>
      <c r="E167" s="3" t="s">
        <v>17</v>
      </c>
      <c r="F167" s="3" t="s">
        <v>18</v>
      </c>
      <c r="G167" s="3" t="s">
        <v>19</v>
      </c>
      <c r="H167" s="4" t="s">
        <v>19</v>
      </c>
      <c r="I167" s="1" t="s">
        <v>800</v>
      </c>
      <c r="J167" s="1" t="s">
        <v>801</v>
      </c>
      <c r="K167" s="1" t="s">
        <v>802</v>
      </c>
      <c r="L167" s="3" t="str">
        <f t="shared" si="0"/>
        <v>Outstanding</v>
      </c>
      <c r="M167" s="11" t="s">
        <v>19</v>
      </c>
    </row>
    <row r="168" spans="1:13" ht="60" customHeight="1" x14ac:dyDescent="0.35">
      <c r="A168" s="9" t="s">
        <v>803</v>
      </c>
      <c r="B168" s="1" t="s">
        <v>804</v>
      </c>
      <c r="C168" s="2" t="s">
        <v>15</v>
      </c>
      <c r="D168" s="3" t="s">
        <v>16</v>
      </c>
      <c r="E168" s="3" t="s">
        <v>17</v>
      </c>
      <c r="F168" s="3" t="s">
        <v>18</v>
      </c>
      <c r="G168" s="3" t="s">
        <v>19</v>
      </c>
      <c r="H168" s="4" t="s">
        <v>19</v>
      </c>
      <c r="I168" s="1" t="s">
        <v>805</v>
      </c>
      <c r="J168" s="1" t="s">
        <v>801</v>
      </c>
      <c r="K168" s="1" t="s">
        <v>806</v>
      </c>
      <c r="L168" s="3" t="str">
        <f t="shared" si="0"/>
        <v>Outstanding</v>
      </c>
      <c r="M168" s="11" t="s">
        <v>19</v>
      </c>
    </row>
    <row r="169" spans="1:13" ht="60" customHeight="1" x14ac:dyDescent="0.35">
      <c r="A169" s="9" t="s">
        <v>807</v>
      </c>
      <c r="B169" s="1" t="s">
        <v>808</v>
      </c>
      <c r="C169" s="2" t="s">
        <v>15</v>
      </c>
      <c r="D169" s="3" t="s">
        <v>16</v>
      </c>
      <c r="E169" s="3" t="s">
        <v>17</v>
      </c>
      <c r="F169" s="3" t="s">
        <v>18</v>
      </c>
      <c r="G169" s="3" t="s">
        <v>19</v>
      </c>
      <c r="H169" s="4" t="s">
        <v>19</v>
      </c>
      <c r="I169" s="1" t="s">
        <v>809</v>
      </c>
      <c r="J169" s="1" t="s">
        <v>810</v>
      </c>
      <c r="K169" s="1" t="s">
        <v>811</v>
      </c>
      <c r="L169" s="3" t="str">
        <f t="shared" si="0"/>
        <v>Outstanding</v>
      </c>
      <c r="M169" s="11" t="s">
        <v>19</v>
      </c>
    </row>
    <row r="170" spans="1:13" ht="60" customHeight="1" x14ac:dyDescent="0.35">
      <c r="A170" s="9" t="s">
        <v>812</v>
      </c>
      <c r="B170" s="1" t="s">
        <v>813</v>
      </c>
      <c r="C170" s="2" t="s">
        <v>15</v>
      </c>
      <c r="D170" s="3" t="s">
        <v>16</v>
      </c>
      <c r="E170" s="3" t="s">
        <v>17</v>
      </c>
      <c r="F170" s="3" t="s">
        <v>18</v>
      </c>
      <c r="G170" s="3" t="s">
        <v>19</v>
      </c>
      <c r="H170" s="4" t="s">
        <v>19</v>
      </c>
      <c r="I170" s="1" t="s">
        <v>814</v>
      </c>
      <c r="J170" s="1" t="s">
        <v>810</v>
      </c>
      <c r="K170" s="1" t="s">
        <v>815</v>
      </c>
      <c r="L170" s="3" t="str">
        <f t="shared" si="0"/>
        <v>Outstanding</v>
      </c>
      <c r="M170" s="11" t="s">
        <v>19</v>
      </c>
    </row>
    <row r="171" spans="1:13" ht="60" customHeight="1" x14ac:dyDescent="0.35">
      <c r="A171" s="9" t="s">
        <v>816</v>
      </c>
      <c r="B171" s="1" t="s">
        <v>817</v>
      </c>
      <c r="C171" s="2" t="s">
        <v>15</v>
      </c>
      <c r="D171" s="3" t="s">
        <v>16</v>
      </c>
      <c r="E171" s="3" t="s">
        <v>17</v>
      </c>
      <c r="F171" s="3" t="s">
        <v>18</v>
      </c>
      <c r="G171" s="3" t="s">
        <v>19</v>
      </c>
      <c r="H171" s="4" t="s">
        <v>19</v>
      </c>
      <c r="I171" s="1" t="s">
        <v>818</v>
      </c>
      <c r="J171" s="1" t="s">
        <v>819</v>
      </c>
      <c r="K171" s="1" t="s">
        <v>820</v>
      </c>
      <c r="L171" s="3" t="str">
        <f t="shared" si="0"/>
        <v>Outstanding</v>
      </c>
      <c r="M171" s="11" t="s">
        <v>19</v>
      </c>
    </row>
    <row r="172" spans="1:13" ht="60" customHeight="1" x14ac:dyDescent="0.35">
      <c r="A172" s="9" t="s">
        <v>821</v>
      </c>
      <c r="B172" s="1" t="s">
        <v>822</v>
      </c>
      <c r="C172" s="2" t="s">
        <v>155</v>
      </c>
      <c r="D172" s="3" t="s">
        <v>16</v>
      </c>
      <c r="E172" s="3" t="s">
        <v>17</v>
      </c>
      <c r="F172" s="3" t="s">
        <v>18</v>
      </c>
      <c r="G172" s="3" t="s">
        <v>19</v>
      </c>
      <c r="H172" s="4" t="s">
        <v>19</v>
      </c>
      <c r="I172" s="1" t="s">
        <v>823</v>
      </c>
      <c r="J172" s="1" t="s">
        <v>824</v>
      </c>
      <c r="K172" s="1" t="s">
        <v>825</v>
      </c>
      <c r="L172" s="3" t="str">
        <f t="shared" si="0"/>
        <v>Outstanding</v>
      </c>
      <c r="M172" s="11" t="s">
        <v>19</v>
      </c>
    </row>
    <row r="173" spans="1:13" ht="60" customHeight="1" x14ac:dyDescent="0.35">
      <c r="A173" s="9" t="s">
        <v>826</v>
      </c>
      <c r="B173" s="1" t="s">
        <v>827</v>
      </c>
      <c r="C173" s="2" t="s">
        <v>15</v>
      </c>
      <c r="D173" s="3" t="s">
        <v>16</v>
      </c>
      <c r="E173" s="3" t="s">
        <v>17</v>
      </c>
      <c r="F173" s="3" t="s">
        <v>18</v>
      </c>
      <c r="G173" s="3" t="s">
        <v>19</v>
      </c>
      <c r="H173" s="4" t="s">
        <v>19</v>
      </c>
      <c r="I173" s="1" t="s">
        <v>828</v>
      </c>
      <c r="J173" s="1" t="s">
        <v>829</v>
      </c>
      <c r="K173" s="1" t="s">
        <v>830</v>
      </c>
      <c r="L173" s="3" t="str">
        <f t="shared" si="0"/>
        <v>Outstanding</v>
      </c>
      <c r="M173" s="11" t="s">
        <v>19</v>
      </c>
    </row>
    <row r="174" spans="1:13" ht="60" customHeight="1" x14ac:dyDescent="0.35">
      <c r="A174" s="9" t="s">
        <v>831</v>
      </c>
      <c r="B174" s="1" t="s">
        <v>832</v>
      </c>
      <c r="C174" s="2" t="s">
        <v>15</v>
      </c>
      <c r="D174" s="3" t="s">
        <v>16</v>
      </c>
      <c r="E174" s="3" t="s">
        <v>17</v>
      </c>
      <c r="F174" s="3" t="s">
        <v>18</v>
      </c>
      <c r="G174" s="3" t="s">
        <v>19</v>
      </c>
      <c r="H174" s="4" t="s">
        <v>19</v>
      </c>
      <c r="I174" s="1" t="s">
        <v>833</v>
      </c>
      <c r="J174" s="1" t="s">
        <v>834</v>
      </c>
      <c r="K174" s="1" t="s">
        <v>835</v>
      </c>
      <c r="L174" s="3" t="str">
        <f t="shared" si="0"/>
        <v>Outstanding</v>
      </c>
      <c r="M174" s="11" t="s">
        <v>19</v>
      </c>
    </row>
    <row r="175" spans="1:13" ht="60" customHeight="1" x14ac:dyDescent="0.35">
      <c r="A175" s="9" t="s">
        <v>836</v>
      </c>
      <c r="B175" s="1" t="s">
        <v>837</v>
      </c>
      <c r="C175" s="2" t="s">
        <v>15</v>
      </c>
      <c r="D175" s="3" t="s">
        <v>16</v>
      </c>
      <c r="E175" s="3" t="s">
        <v>17</v>
      </c>
      <c r="F175" s="3" t="s">
        <v>18</v>
      </c>
      <c r="G175" s="3" t="s">
        <v>19</v>
      </c>
      <c r="H175" s="4" t="s">
        <v>19</v>
      </c>
      <c r="I175" s="1" t="s">
        <v>838</v>
      </c>
      <c r="J175" s="1" t="s">
        <v>839</v>
      </c>
      <c r="K175" s="1" t="s">
        <v>840</v>
      </c>
      <c r="L175" s="3" t="str">
        <f t="shared" si="0"/>
        <v>Outstanding</v>
      </c>
      <c r="M175" s="11" t="s">
        <v>19</v>
      </c>
    </row>
    <row r="176" spans="1:13" ht="60" customHeight="1" x14ac:dyDescent="0.35">
      <c r="A176" s="9" t="s">
        <v>841</v>
      </c>
      <c r="B176" s="1" t="s">
        <v>842</v>
      </c>
      <c r="C176" s="2" t="s">
        <v>15</v>
      </c>
      <c r="D176" s="3" t="s">
        <v>16</v>
      </c>
      <c r="E176" s="3" t="s">
        <v>17</v>
      </c>
      <c r="F176" s="3" t="s">
        <v>18</v>
      </c>
      <c r="G176" s="3" t="s">
        <v>19</v>
      </c>
      <c r="H176" s="4" t="s">
        <v>19</v>
      </c>
      <c r="I176" s="1" t="s">
        <v>843</v>
      </c>
      <c r="J176" s="1" t="s">
        <v>844</v>
      </c>
      <c r="K176" s="1" t="s">
        <v>845</v>
      </c>
      <c r="L176" s="3" t="str">
        <f t="shared" si="0"/>
        <v>Outstanding</v>
      </c>
      <c r="M176" s="11" t="s">
        <v>19</v>
      </c>
    </row>
    <row r="177" spans="1:13" ht="60" customHeight="1" x14ac:dyDescent="0.35">
      <c r="A177" s="9" t="s">
        <v>846</v>
      </c>
      <c r="B177" s="1" t="s">
        <v>847</v>
      </c>
      <c r="C177" s="2" t="s">
        <v>29</v>
      </c>
      <c r="D177" s="3" t="s">
        <v>16</v>
      </c>
      <c r="E177" s="3" t="s">
        <v>17</v>
      </c>
      <c r="F177" s="3" t="s">
        <v>18</v>
      </c>
      <c r="G177" s="3" t="s">
        <v>19</v>
      </c>
      <c r="H177" s="4" t="s">
        <v>19</v>
      </c>
      <c r="I177" s="1" t="s">
        <v>848</v>
      </c>
      <c r="J177" s="1" t="s">
        <v>849</v>
      </c>
      <c r="K177" s="1" t="s">
        <v>850</v>
      </c>
      <c r="L177" s="3" t="str">
        <f t="shared" si="0"/>
        <v>Outstanding</v>
      </c>
      <c r="M177" s="11" t="s">
        <v>19</v>
      </c>
    </row>
    <row r="178" spans="1:13" ht="60" customHeight="1" x14ac:dyDescent="0.35">
      <c r="A178" s="9" t="s">
        <v>851</v>
      </c>
      <c r="B178" s="1" t="s">
        <v>852</v>
      </c>
      <c r="C178" s="2" t="s">
        <v>29</v>
      </c>
      <c r="D178" s="3" t="s">
        <v>16</v>
      </c>
      <c r="E178" s="3" t="s">
        <v>17</v>
      </c>
      <c r="F178" s="3" t="s">
        <v>18</v>
      </c>
      <c r="G178" s="3" t="s">
        <v>19</v>
      </c>
      <c r="H178" s="4" t="s">
        <v>19</v>
      </c>
      <c r="I178" s="1" t="s">
        <v>853</v>
      </c>
      <c r="J178" s="1" t="s">
        <v>849</v>
      </c>
      <c r="K178" s="1" t="s">
        <v>854</v>
      </c>
      <c r="L178" s="3" t="str">
        <f t="shared" si="0"/>
        <v>Outstanding</v>
      </c>
      <c r="M178" s="11" t="s">
        <v>19</v>
      </c>
    </row>
    <row r="179" spans="1:13" ht="60" customHeight="1" x14ac:dyDescent="0.35">
      <c r="A179" s="9" t="s">
        <v>855</v>
      </c>
      <c r="B179" s="1" t="s">
        <v>856</v>
      </c>
      <c r="C179" s="2" t="s">
        <v>29</v>
      </c>
      <c r="D179" s="3" t="s">
        <v>16</v>
      </c>
      <c r="E179" s="3" t="s">
        <v>17</v>
      </c>
      <c r="F179" s="3" t="s">
        <v>18</v>
      </c>
      <c r="G179" s="3" t="s">
        <v>19</v>
      </c>
      <c r="H179" s="4" t="s">
        <v>19</v>
      </c>
      <c r="I179" s="1" t="s">
        <v>857</v>
      </c>
      <c r="J179" s="1" t="s">
        <v>849</v>
      </c>
      <c r="K179" s="1" t="s">
        <v>858</v>
      </c>
      <c r="L179" s="3" t="str">
        <f t="shared" si="0"/>
        <v>Outstanding</v>
      </c>
      <c r="M179" s="11" t="s">
        <v>19</v>
      </c>
    </row>
    <row r="180" spans="1:13" ht="60" customHeight="1" x14ac:dyDescent="0.35">
      <c r="A180" s="9" t="s">
        <v>859</v>
      </c>
      <c r="B180" s="1" t="s">
        <v>860</v>
      </c>
      <c r="C180" s="2" t="s">
        <v>15</v>
      </c>
      <c r="D180" s="3" t="s">
        <v>16</v>
      </c>
      <c r="E180" s="3" t="s">
        <v>17</v>
      </c>
      <c r="F180" s="3" t="s">
        <v>18</v>
      </c>
      <c r="G180" s="3" t="s">
        <v>19</v>
      </c>
      <c r="H180" s="4" t="s">
        <v>19</v>
      </c>
      <c r="I180" s="1" t="s">
        <v>861</v>
      </c>
      <c r="J180" s="1" t="s">
        <v>862</v>
      </c>
      <c r="K180" s="1" t="s">
        <v>863</v>
      </c>
      <c r="L180" s="3" t="str">
        <f t="shared" si="0"/>
        <v>Outstanding</v>
      </c>
      <c r="M180" s="11" t="s">
        <v>19</v>
      </c>
    </row>
    <row r="181" spans="1:13" ht="60" customHeight="1" x14ac:dyDescent="0.35">
      <c r="A181" s="9" t="s">
        <v>864</v>
      </c>
      <c r="B181" s="1" t="s">
        <v>865</v>
      </c>
      <c r="C181" s="2" t="s">
        <v>15</v>
      </c>
      <c r="D181" s="3" t="s">
        <v>16</v>
      </c>
      <c r="E181" s="3" t="s">
        <v>17</v>
      </c>
      <c r="F181" s="3" t="s">
        <v>18</v>
      </c>
      <c r="G181" s="3" t="s">
        <v>19</v>
      </c>
      <c r="H181" s="4" t="s">
        <v>19</v>
      </c>
      <c r="I181" s="1" t="s">
        <v>866</v>
      </c>
      <c r="J181" s="1" t="s">
        <v>867</v>
      </c>
      <c r="K181" s="1" t="s">
        <v>868</v>
      </c>
      <c r="L181" s="3" t="str">
        <f t="shared" si="0"/>
        <v>Outstanding</v>
      </c>
      <c r="M181" s="11" t="s">
        <v>19</v>
      </c>
    </row>
    <row r="182" spans="1:13" ht="60" customHeight="1" x14ac:dyDescent="0.35">
      <c r="A182" s="9" t="s">
        <v>869</v>
      </c>
      <c r="B182" s="1" t="s">
        <v>870</v>
      </c>
      <c r="C182" s="2" t="s">
        <v>15</v>
      </c>
      <c r="D182" s="3" t="s">
        <v>16</v>
      </c>
      <c r="E182" s="3" t="s">
        <v>17</v>
      </c>
      <c r="F182" s="3" t="s">
        <v>18</v>
      </c>
      <c r="G182" s="3" t="s">
        <v>19</v>
      </c>
      <c r="H182" s="4" t="s">
        <v>19</v>
      </c>
      <c r="I182" s="1" t="s">
        <v>871</v>
      </c>
      <c r="J182" s="1" t="s">
        <v>872</v>
      </c>
      <c r="K182" s="1" t="s">
        <v>873</v>
      </c>
      <c r="L182" s="3" t="str">
        <f t="shared" si="0"/>
        <v>Outstanding</v>
      </c>
      <c r="M182" s="11" t="s">
        <v>19</v>
      </c>
    </row>
    <row r="183" spans="1:13" ht="60" customHeight="1" x14ac:dyDescent="0.35">
      <c r="A183" s="9" t="s">
        <v>874</v>
      </c>
      <c r="B183" s="1" t="s">
        <v>875</v>
      </c>
      <c r="C183" s="2" t="s">
        <v>15</v>
      </c>
      <c r="D183" s="3" t="s">
        <v>16</v>
      </c>
      <c r="E183" s="3" t="s">
        <v>17</v>
      </c>
      <c r="F183" s="3" t="s">
        <v>18</v>
      </c>
      <c r="G183" s="3" t="s">
        <v>19</v>
      </c>
      <c r="H183" s="4" t="s">
        <v>19</v>
      </c>
      <c r="I183" s="1" t="s">
        <v>876</v>
      </c>
      <c r="J183" s="1" t="s">
        <v>872</v>
      </c>
      <c r="K183" s="1" t="s">
        <v>877</v>
      </c>
      <c r="L183" s="3" t="str">
        <f t="shared" si="0"/>
        <v>Outstanding</v>
      </c>
      <c r="M183" s="11" t="s">
        <v>19</v>
      </c>
    </row>
    <row r="184" spans="1:13" ht="60" customHeight="1" x14ac:dyDescent="0.35">
      <c r="A184" s="9" t="s">
        <v>878</v>
      </c>
      <c r="B184" s="1" t="s">
        <v>879</v>
      </c>
      <c r="C184" s="2" t="s">
        <v>15</v>
      </c>
      <c r="D184" s="3" t="s">
        <v>16</v>
      </c>
      <c r="E184" s="3" t="s">
        <v>17</v>
      </c>
      <c r="F184" s="3" t="s">
        <v>18</v>
      </c>
      <c r="G184" s="3" t="s">
        <v>19</v>
      </c>
      <c r="H184" s="4" t="s">
        <v>19</v>
      </c>
      <c r="I184" s="1" t="s">
        <v>880</v>
      </c>
      <c r="J184" s="1" t="s">
        <v>881</v>
      </c>
      <c r="K184" s="1" t="s">
        <v>882</v>
      </c>
      <c r="L184" s="3" t="str">
        <f t="shared" si="0"/>
        <v>Outstanding</v>
      </c>
      <c r="M184" s="11" t="s">
        <v>19</v>
      </c>
    </row>
    <row r="185" spans="1:13" ht="60" customHeight="1" x14ac:dyDescent="0.35">
      <c r="A185" s="9" t="s">
        <v>883</v>
      </c>
      <c r="B185" s="1" t="s">
        <v>884</v>
      </c>
      <c r="C185" s="2" t="s">
        <v>15</v>
      </c>
      <c r="D185" s="3" t="s">
        <v>16</v>
      </c>
      <c r="E185" s="3" t="s">
        <v>17</v>
      </c>
      <c r="F185" s="3" t="s">
        <v>18</v>
      </c>
      <c r="G185" s="3" t="s">
        <v>19</v>
      </c>
      <c r="H185" s="4" t="s">
        <v>19</v>
      </c>
      <c r="I185" s="1" t="s">
        <v>885</v>
      </c>
      <c r="J185" s="1" t="s">
        <v>886</v>
      </c>
      <c r="K185" s="1" t="s">
        <v>887</v>
      </c>
      <c r="L185" s="3" t="str">
        <f t="shared" si="0"/>
        <v>Outstanding</v>
      </c>
      <c r="M185" s="11" t="s">
        <v>19</v>
      </c>
    </row>
    <row r="186" spans="1:13" ht="60" customHeight="1" x14ac:dyDescent="0.35">
      <c r="A186" s="9" t="s">
        <v>888</v>
      </c>
      <c r="B186" s="1" t="s">
        <v>889</v>
      </c>
      <c r="C186" s="2" t="s">
        <v>15</v>
      </c>
      <c r="D186" s="3" t="s">
        <v>16</v>
      </c>
      <c r="E186" s="3" t="s">
        <v>17</v>
      </c>
      <c r="F186" s="3" t="s">
        <v>18</v>
      </c>
      <c r="G186" s="3" t="s">
        <v>19</v>
      </c>
      <c r="H186" s="4" t="s">
        <v>19</v>
      </c>
      <c r="I186" s="1" t="s">
        <v>890</v>
      </c>
      <c r="J186" s="1" t="s">
        <v>891</v>
      </c>
      <c r="K186" s="1" t="s">
        <v>892</v>
      </c>
      <c r="L186" s="3" t="str">
        <f t="shared" si="0"/>
        <v>Outstanding</v>
      </c>
      <c r="M186" s="11" t="s">
        <v>19</v>
      </c>
    </row>
    <row r="187" spans="1:13" ht="60" customHeight="1" x14ac:dyDescent="0.35">
      <c r="A187" s="9" t="s">
        <v>893</v>
      </c>
      <c r="B187" s="1" t="s">
        <v>894</v>
      </c>
      <c r="C187" s="2" t="s">
        <v>15</v>
      </c>
      <c r="D187" s="3" t="s">
        <v>16</v>
      </c>
      <c r="E187" s="3" t="s">
        <v>17</v>
      </c>
      <c r="F187" s="3" t="s">
        <v>18</v>
      </c>
      <c r="G187" s="3" t="s">
        <v>19</v>
      </c>
      <c r="H187" s="4" t="s">
        <v>19</v>
      </c>
      <c r="I187" s="1" t="s">
        <v>895</v>
      </c>
      <c r="J187" s="1" t="s">
        <v>891</v>
      </c>
      <c r="K187" s="1" t="s">
        <v>896</v>
      </c>
      <c r="L187" s="3" t="str">
        <f t="shared" si="0"/>
        <v>Outstanding</v>
      </c>
      <c r="M187" s="11" t="s">
        <v>19</v>
      </c>
    </row>
    <row r="188" spans="1:13" ht="60" customHeight="1" x14ac:dyDescent="0.35">
      <c r="A188" s="9" t="s">
        <v>897</v>
      </c>
      <c r="B188" s="1" t="s">
        <v>898</v>
      </c>
      <c r="C188" s="2" t="s">
        <v>15</v>
      </c>
      <c r="D188" s="3" t="s">
        <v>16</v>
      </c>
      <c r="E188" s="3" t="s">
        <v>17</v>
      </c>
      <c r="F188" s="3" t="s">
        <v>18</v>
      </c>
      <c r="G188" s="3" t="s">
        <v>19</v>
      </c>
      <c r="H188" s="4" t="s">
        <v>19</v>
      </c>
      <c r="I188" s="1" t="s">
        <v>899</v>
      </c>
      <c r="J188" s="1" t="s">
        <v>891</v>
      </c>
      <c r="K188" s="1" t="s">
        <v>900</v>
      </c>
      <c r="L188" s="3" t="str">
        <f t="shared" si="0"/>
        <v>Outstanding</v>
      </c>
      <c r="M188" s="11" t="s">
        <v>19</v>
      </c>
    </row>
    <row r="189" spans="1:13" ht="60" customHeight="1" x14ac:dyDescent="0.35">
      <c r="A189" s="9" t="s">
        <v>901</v>
      </c>
      <c r="B189" s="1" t="s">
        <v>902</v>
      </c>
      <c r="C189" s="2" t="s">
        <v>15</v>
      </c>
      <c r="D189" s="3" t="s">
        <v>16</v>
      </c>
      <c r="E189" s="3" t="s">
        <v>17</v>
      </c>
      <c r="F189" s="3" t="s">
        <v>18</v>
      </c>
      <c r="G189" s="3" t="s">
        <v>19</v>
      </c>
      <c r="H189" s="4" t="s">
        <v>19</v>
      </c>
      <c r="I189" s="1" t="s">
        <v>903</v>
      </c>
      <c r="J189" s="1" t="s">
        <v>904</v>
      </c>
      <c r="K189" s="1" t="s">
        <v>905</v>
      </c>
      <c r="L189" s="3" t="str">
        <f t="shared" si="0"/>
        <v>Outstanding</v>
      </c>
      <c r="M189" s="11" t="s">
        <v>19</v>
      </c>
    </row>
    <row r="190" spans="1:13" ht="60" customHeight="1" x14ac:dyDescent="0.35">
      <c r="A190" s="9" t="s">
        <v>906</v>
      </c>
      <c r="B190" s="1" t="s">
        <v>907</v>
      </c>
      <c r="C190" s="2" t="s">
        <v>15</v>
      </c>
      <c r="D190" s="3" t="s">
        <v>16</v>
      </c>
      <c r="E190" s="3" t="s">
        <v>17</v>
      </c>
      <c r="F190" s="3" t="s">
        <v>18</v>
      </c>
      <c r="G190" s="3" t="s">
        <v>19</v>
      </c>
      <c r="H190" s="4" t="s">
        <v>19</v>
      </c>
      <c r="I190" s="1" t="s">
        <v>908</v>
      </c>
      <c r="J190" s="1" t="s">
        <v>909</v>
      </c>
      <c r="K190" s="1" t="s">
        <v>910</v>
      </c>
      <c r="L190" s="3" t="str">
        <f t="shared" si="0"/>
        <v>Outstanding</v>
      </c>
      <c r="M190" s="11" t="s">
        <v>19</v>
      </c>
    </row>
    <row r="191" spans="1:13" ht="60" customHeight="1" x14ac:dyDescent="0.35">
      <c r="A191" s="9" t="s">
        <v>911</v>
      </c>
      <c r="B191" s="1" t="s">
        <v>912</v>
      </c>
      <c r="C191" s="2" t="s">
        <v>15</v>
      </c>
      <c r="D191" s="3" t="s">
        <v>16</v>
      </c>
      <c r="E191" s="3" t="s">
        <v>17</v>
      </c>
      <c r="F191" s="3" t="s">
        <v>18</v>
      </c>
      <c r="G191" s="3" t="s">
        <v>19</v>
      </c>
      <c r="H191" s="4" t="s">
        <v>19</v>
      </c>
      <c r="I191" s="1" t="s">
        <v>913</v>
      </c>
      <c r="J191" s="1" t="s">
        <v>914</v>
      </c>
      <c r="K191" s="1" t="s">
        <v>915</v>
      </c>
      <c r="L191" s="3" t="str">
        <f t="shared" si="0"/>
        <v>Outstanding</v>
      </c>
      <c r="M191" s="11" t="s">
        <v>19</v>
      </c>
    </row>
    <row r="192" spans="1:13" ht="60" customHeight="1" x14ac:dyDescent="0.35">
      <c r="A192" s="9" t="s">
        <v>916</v>
      </c>
      <c r="B192" s="1" t="s">
        <v>917</v>
      </c>
      <c r="C192" s="2" t="s">
        <v>15</v>
      </c>
      <c r="D192" s="3" t="s">
        <v>16</v>
      </c>
      <c r="E192" s="3" t="s">
        <v>17</v>
      </c>
      <c r="F192" s="3" t="s">
        <v>18</v>
      </c>
      <c r="G192" s="3" t="s">
        <v>19</v>
      </c>
      <c r="H192" s="4" t="s">
        <v>19</v>
      </c>
      <c r="I192" s="1" t="s">
        <v>918</v>
      </c>
      <c r="J192" s="1" t="s">
        <v>919</v>
      </c>
      <c r="K192" s="1" t="s">
        <v>920</v>
      </c>
      <c r="L192" s="3" t="str">
        <f t="shared" si="0"/>
        <v>Outstanding</v>
      </c>
      <c r="M192" s="11" t="s">
        <v>19</v>
      </c>
    </row>
    <row r="193" spans="1:13" ht="60" customHeight="1" x14ac:dyDescent="0.35">
      <c r="A193" s="9" t="s">
        <v>921</v>
      </c>
      <c r="B193" s="1" t="s">
        <v>922</v>
      </c>
      <c r="C193" s="2" t="s">
        <v>15</v>
      </c>
      <c r="D193" s="3" t="s">
        <v>16</v>
      </c>
      <c r="E193" s="3" t="s">
        <v>17</v>
      </c>
      <c r="F193" s="3" t="s">
        <v>18</v>
      </c>
      <c r="G193" s="3" t="s">
        <v>19</v>
      </c>
      <c r="H193" s="4" t="s">
        <v>19</v>
      </c>
      <c r="I193" s="1" t="s">
        <v>923</v>
      </c>
      <c r="J193" s="1" t="s">
        <v>924</v>
      </c>
      <c r="K193" s="1" t="s">
        <v>925</v>
      </c>
      <c r="L193" s="3" t="str">
        <f t="shared" si="0"/>
        <v>Outstanding</v>
      </c>
      <c r="M193" s="11" t="s">
        <v>19</v>
      </c>
    </row>
    <row r="194" spans="1:13" ht="60" customHeight="1" x14ac:dyDescent="0.35">
      <c r="A194" s="9" t="s">
        <v>926</v>
      </c>
      <c r="B194" s="1" t="s">
        <v>927</v>
      </c>
      <c r="C194" s="2" t="s">
        <v>15</v>
      </c>
      <c r="D194" s="3" t="s">
        <v>16</v>
      </c>
      <c r="E194" s="3" t="s">
        <v>17</v>
      </c>
      <c r="F194" s="3" t="s">
        <v>18</v>
      </c>
      <c r="G194" s="3" t="s">
        <v>19</v>
      </c>
      <c r="H194" s="4" t="s">
        <v>19</v>
      </c>
      <c r="I194" s="1" t="s">
        <v>928</v>
      </c>
      <c r="J194" s="1" t="s">
        <v>924</v>
      </c>
      <c r="K194" s="1" t="s">
        <v>929</v>
      </c>
      <c r="L194" s="3" t="str">
        <f t="shared" si="0"/>
        <v>Outstanding</v>
      </c>
      <c r="M194" s="11" t="s">
        <v>19</v>
      </c>
    </row>
    <row r="195" spans="1:13" ht="60" customHeight="1" x14ac:dyDescent="0.35">
      <c r="A195" s="9" t="s">
        <v>930</v>
      </c>
      <c r="B195" s="1" t="s">
        <v>931</v>
      </c>
      <c r="C195" s="2" t="s">
        <v>15</v>
      </c>
      <c r="D195" s="3" t="s">
        <v>16</v>
      </c>
      <c r="E195" s="3" t="s">
        <v>17</v>
      </c>
      <c r="F195" s="3" t="s">
        <v>18</v>
      </c>
      <c r="G195" s="3" t="s">
        <v>19</v>
      </c>
      <c r="H195" s="4" t="s">
        <v>19</v>
      </c>
      <c r="I195" s="1" t="s">
        <v>932</v>
      </c>
      <c r="J195" s="1" t="s">
        <v>924</v>
      </c>
      <c r="K195" s="1" t="s">
        <v>933</v>
      </c>
      <c r="L195" s="3" t="str">
        <f t="shared" si="0"/>
        <v>Outstanding</v>
      </c>
      <c r="M195" s="11" t="s">
        <v>19</v>
      </c>
    </row>
    <row r="196" spans="1:13" ht="60" customHeight="1" x14ac:dyDescent="0.35">
      <c r="A196" s="9" t="s">
        <v>934</v>
      </c>
      <c r="B196" s="1" t="s">
        <v>935</v>
      </c>
      <c r="C196" s="2" t="s">
        <v>15</v>
      </c>
      <c r="D196" s="3" t="s">
        <v>16</v>
      </c>
      <c r="E196" s="3" t="s">
        <v>17</v>
      </c>
      <c r="F196" s="3" t="s">
        <v>18</v>
      </c>
      <c r="G196" s="3" t="s">
        <v>19</v>
      </c>
      <c r="H196" s="4" t="s">
        <v>19</v>
      </c>
      <c r="I196" s="1" t="s">
        <v>936</v>
      </c>
      <c r="J196" s="1" t="s">
        <v>924</v>
      </c>
      <c r="K196" s="1" t="s">
        <v>937</v>
      </c>
      <c r="L196" s="3" t="str">
        <f t="shared" si="0"/>
        <v>Outstanding</v>
      </c>
      <c r="M196" s="11" t="s">
        <v>19</v>
      </c>
    </row>
    <row r="197" spans="1:13" ht="60" customHeight="1" x14ac:dyDescent="0.35">
      <c r="A197" s="9" t="s">
        <v>938</v>
      </c>
      <c r="B197" s="1" t="s">
        <v>939</v>
      </c>
      <c r="C197" s="2" t="s">
        <v>15</v>
      </c>
      <c r="D197" s="3" t="s">
        <v>16</v>
      </c>
      <c r="E197" s="3" t="s">
        <v>17</v>
      </c>
      <c r="F197" s="3" t="s">
        <v>18</v>
      </c>
      <c r="G197" s="3" t="s">
        <v>19</v>
      </c>
      <c r="H197" s="4" t="s">
        <v>19</v>
      </c>
      <c r="I197" s="1" t="s">
        <v>940</v>
      </c>
      <c r="J197" s="1" t="s">
        <v>924</v>
      </c>
      <c r="K197" s="1" t="s">
        <v>941</v>
      </c>
      <c r="L197" s="3" t="str">
        <f t="shared" si="0"/>
        <v>Outstanding</v>
      </c>
      <c r="M197" s="11" t="s">
        <v>19</v>
      </c>
    </row>
    <row r="198" spans="1:13" ht="60" customHeight="1" x14ac:dyDescent="0.35">
      <c r="A198" s="9" t="s">
        <v>942</v>
      </c>
      <c r="B198" s="1" t="s">
        <v>943</v>
      </c>
      <c r="C198" s="2" t="s">
        <v>15</v>
      </c>
      <c r="D198" s="3" t="s">
        <v>16</v>
      </c>
      <c r="E198" s="3" t="s">
        <v>17</v>
      </c>
      <c r="F198" s="3" t="s">
        <v>18</v>
      </c>
      <c r="G198" s="3" t="s">
        <v>19</v>
      </c>
      <c r="H198" s="4" t="s">
        <v>19</v>
      </c>
      <c r="I198" s="1" t="s">
        <v>944</v>
      </c>
      <c r="J198" s="1" t="s">
        <v>945</v>
      </c>
      <c r="K198" s="1" t="s">
        <v>946</v>
      </c>
      <c r="L198" s="3" t="str">
        <f t="shared" si="0"/>
        <v>Outstanding</v>
      </c>
      <c r="M198" s="11" t="s">
        <v>19</v>
      </c>
    </row>
    <row r="199" spans="1:13" ht="60" customHeight="1" x14ac:dyDescent="0.35">
      <c r="A199" s="9" t="s">
        <v>947</v>
      </c>
      <c r="B199" s="1" t="s">
        <v>948</v>
      </c>
      <c r="C199" s="2" t="s">
        <v>15</v>
      </c>
      <c r="D199" s="3" t="s">
        <v>16</v>
      </c>
      <c r="E199" s="3" t="s">
        <v>17</v>
      </c>
      <c r="F199" s="3" t="s">
        <v>18</v>
      </c>
      <c r="G199" s="3" t="s">
        <v>19</v>
      </c>
      <c r="H199" s="4" t="s">
        <v>19</v>
      </c>
      <c r="I199" s="1" t="s">
        <v>949</v>
      </c>
      <c r="J199" s="1" t="s">
        <v>950</v>
      </c>
      <c r="K199" s="1" t="s">
        <v>951</v>
      </c>
      <c r="L199" s="3" t="str">
        <f t="shared" si="0"/>
        <v>Outstanding</v>
      </c>
      <c r="M199" s="11" t="s">
        <v>19</v>
      </c>
    </row>
    <row r="200" spans="1:13" ht="60" customHeight="1" x14ac:dyDescent="0.35">
      <c r="A200" s="9" t="s">
        <v>952</v>
      </c>
      <c r="B200" s="1" t="s">
        <v>953</v>
      </c>
      <c r="C200" s="2" t="s">
        <v>15</v>
      </c>
      <c r="D200" s="3" t="s">
        <v>16</v>
      </c>
      <c r="E200" s="3" t="s">
        <v>17</v>
      </c>
      <c r="F200" s="3" t="s">
        <v>18</v>
      </c>
      <c r="G200" s="3" t="s">
        <v>19</v>
      </c>
      <c r="H200" s="4" t="s">
        <v>19</v>
      </c>
      <c r="I200" s="1" t="s">
        <v>954</v>
      </c>
      <c r="J200" s="1" t="s">
        <v>950</v>
      </c>
      <c r="K200" s="1" t="s">
        <v>955</v>
      </c>
      <c r="L200" s="3" t="str">
        <f t="shared" si="0"/>
        <v>Outstanding</v>
      </c>
      <c r="M200" s="11" t="s">
        <v>19</v>
      </c>
    </row>
    <row r="201" spans="1:13" ht="60" customHeight="1" x14ac:dyDescent="0.35">
      <c r="A201" s="9" t="s">
        <v>956</v>
      </c>
      <c r="B201" s="1" t="s">
        <v>957</v>
      </c>
      <c r="C201" s="2" t="s">
        <v>15</v>
      </c>
      <c r="D201" s="3" t="s">
        <v>16</v>
      </c>
      <c r="E201" s="3" t="s">
        <v>17</v>
      </c>
      <c r="F201" s="3" t="s">
        <v>18</v>
      </c>
      <c r="G201" s="3" t="s">
        <v>19</v>
      </c>
      <c r="H201" s="4" t="s">
        <v>19</v>
      </c>
      <c r="I201" s="1" t="s">
        <v>958</v>
      </c>
      <c r="J201" s="1" t="s">
        <v>959</v>
      </c>
      <c r="K201" s="1" t="s">
        <v>960</v>
      </c>
      <c r="L201" s="3" t="str">
        <f t="shared" si="0"/>
        <v>Outstanding</v>
      </c>
      <c r="M201" s="11" t="s">
        <v>19</v>
      </c>
    </row>
    <row r="202" spans="1:13" ht="60" customHeight="1" x14ac:dyDescent="0.35">
      <c r="A202" s="9" t="s">
        <v>961</v>
      </c>
      <c r="B202" s="1" t="s">
        <v>962</v>
      </c>
      <c r="C202" s="2" t="s">
        <v>15</v>
      </c>
      <c r="D202" s="3" t="s">
        <v>16</v>
      </c>
      <c r="E202" s="3" t="s">
        <v>17</v>
      </c>
      <c r="F202" s="3" t="s">
        <v>18</v>
      </c>
      <c r="G202" s="3" t="s">
        <v>19</v>
      </c>
      <c r="H202" s="4" t="s">
        <v>19</v>
      </c>
      <c r="I202" s="1" t="s">
        <v>963</v>
      </c>
      <c r="J202" s="1" t="s">
        <v>959</v>
      </c>
      <c r="K202" s="1" t="s">
        <v>964</v>
      </c>
      <c r="L202" s="3" t="str">
        <f t="shared" si="0"/>
        <v>Outstanding</v>
      </c>
      <c r="M202" s="11" t="s">
        <v>19</v>
      </c>
    </row>
    <row r="203" spans="1:13" ht="60" customHeight="1" x14ac:dyDescent="0.35">
      <c r="A203" s="9" t="s">
        <v>965</v>
      </c>
      <c r="B203" s="1" t="s">
        <v>966</v>
      </c>
      <c r="C203" s="2" t="s">
        <v>15</v>
      </c>
      <c r="D203" s="3" t="s">
        <v>16</v>
      </c>
      <c r="E203" s="3" t="s">
        <v>17</v>
      </c>
      <c r="F203" s="3" t="s">
        <v>18</v>
      </c>
      <c r="G203" s="3" t="s">
        <v>19</v>
      </c>
      <c r="H203" s="4" t="s">
        <v>19</v>
      </c>
      <c r="I203" s="1" t="s">
        <v>967</v>
      </c>
      <c r="J203" s="1" t="s">
        <v>968</v>
      </c>
      <c r="K203" s="1" t="s">
        <v>969</v>
      </c>
      <c r="L203" s="3" t="str">
        <f t="shared" si="0"/>
        <v>Outstanding</v>
      </c>
      <c r="M203" s="11" t="s">
        <v>19</v>
      </c>
    </row>
    <row r="204" spans="1:13" ht="60" customHeight="1" x14ac:dyDescent="0.35">
      <c r="A204" s="9" t="s">
        <v>970</v>
      </c>
      <c r="B204" s="1" t="s">
        <v>971</v>
      </c>
      <c r="C204" s="2" t="s">
        <v>15</v>
      </c>
      <c r="D204" s="3" t="s">
        <v>16</v>
      </c>
      <c r="E204" s="3" t="s">
        <v>17</v>
      </c>
      <c r="F204" s="3" t="s">
        <v>18</v>
      </c>
      <c r="G204" s="3" t="s">
        <v>19</v>
      </c>
      <c r="H204" s="4" t="s">
        <v>19</v>
      </c>
      <c r="I204" s="1" t="s">
        <v>972</v>
      </c>
      <c r="J204" s="1" t="s">
        <v>973</v>
      </c>
      <c r="K204" s="1" t="s">
        <v>974</v>
      </c>
      <c r="L204" s="3" t="str">
        <f t="shared" si="0"/>
        <v>Outstanding</v>
      </c>
      <c r="M204" s="11" t="s">
        <v>19</v>
      </c>
    </row>
    <row r="205" spans="1:13" ht="60" customHeight="1" x14ac:dyDescent="0.35">
      <c r="A205" s="9" t="s">
        <v>975</v>
      </c>
      <c r="B205" s="1" t="s">
        <v>976</v>
      </c>
      <c r="C205" s="2" t="s">
        <v>15</v>
      </c>
      <c r="D205" s="3" t="s">
        <v>16</v>
      </c>
      <c r="E205" s="3" t="s">
        <v>17</v>
      </c>
      <c r="F205" s="3" t="s">
        <v>18</v>
      </c>
      <c r="G205" s="3" t="s">
        <v>19</v>
      </c>
      <c r="H205" s="4" t="s">
        <v>19</v>
      </c>
      <c r="I205" s="1" t="s">
        <v>977</v>
      </c>
      <c r="J205" s="1" t="s">
        <v>968</v>
      </c>
      <c r="K205" s="1" t="s">
        <v>978</v>
      </c>
      <c r="L205" s="3" t="str">
        <f t="shared" si="0"/>
        <v>Outstanding</v>
      </c>
      <c r="M205" s="11" t="s">
        <v>19</v>
      </c>
    </row>
    <row r="206" spans="1:13" ht="60" customHeight="1" x14ac:dyDescent="0.35">
      <c r="A206" s="9" t="s">
        <v>979</v>
      </c>
      <c r="B206" s="1" t="s">
        <v>980</v>
      </c>
      <c r="C206" s="2" t="s">
        <v>15</v>
      </c>
      <c r="D206" s="3" t="s">
        <v>16</v>
      </c>
      <c r="E206" s="3" t="s">
        <v>17</v>
      </c>
      <c r="F206" s="3" t="s">
        <v>18</v>
      </c>
      <c r="G206" s="3" t="s">
        <v>19</v>
      </c>
      <c r="H206" s="4" t="s">
        <v>19</v>
      </c>
      <c r="I206" s="1" t="s">
        <v>981</v>
      </c>
      <c r="J206" s="1" t="s">
        <v>968</v>
      </c>
      <c r="K206" s="1" t="s">
        <v>982</v>
      </c>
      <c r="L206" s="3" t="str">
        <f t="shared" si="0"/>
        <v>Outstanding</v>
      </c>
      <c r="M206" s="11" t="s">
        <v>19</v>
      </c>
    </row>
    <row r="207" spans="1:13" ht="60" customHeight="1" x14ac:dyDescent="0.35">
      <c r="A207" s="9" t="s">
        <v>983</v>
      </c>
      <c r="B207" s="1" t="s">
        <v>984</v>
      </c>
      <c r="C207" s="2" t="s">
        <v>15</v>
      </c>
      <c r="D207" s="3" t="s">
        <v>16</v>
      </c>
      <c r="E207" s="3" t="s">
        <v>17</v>
      </c>
      <c r="F207" s="3" t="s">
        <v>18</v>
      </c>
      <c r="G207" s="3" t="s">
        <v>19</v>
      </c>
      <c r="H207" s="4" t="s">
        <v>19</v>
      </c>
      <c r="I207" s="1" t="s">
        <v>985</v>
      </c>
      <c r="J207" s="1" t="s">
        <v>968</v>
      </c>
      <c r="K207" s="1" t="s">
        <v>986</v>
      </c>
      <c r="L207" s="3" t="str">
        <f t="shared" si="0"/>
        <v>Outstanding</v>
      </c>
      <c r="M207" s="11" t="s">
        <v>19</v>
      </c>
    </row>
    <row r="208" spans="1:13" ht="60" customHeight="1" x14ac:dyDescent="0.35">
      <c r="A208" s="9" t="s">
        <v>987</v>
      </c>
      <c r="B208" s="1" t="s">
        <v>988</v>
      </c>
      <c r="C208" s="2" t="s">
        <v>15</v>
      </c>
      <c r="D208" s="3" t="s">
        <v>16</v>
      </c>
      <c r="E208" s="3" t="s">
        <v>17</v>
      </c>
      <c r="F208" s="3" t="s">
        <v>18</v>
      </c>
      <c r="G208" s="3" t="s">
        <v>19</v>
      </c>
      <c r="H208" s="4" t="s">
        <v>19</v>
      </c>
      <c r="I208" s="1" t="s">
        <v>989</v>
      </c>
      <c r="J208" s="1" t="s">
        <v>990</v>
      </c>
      <c r="K208" s="1" t="s">
        <v>991</v>
      </c>
      <c r="L208" s="3" t="str">
        <f t="shared" si="0"/>
        <v>Outstanding</v>
      </c>
      <c r="M208" s="11" t="s">
        <v>19</v>
      </c>
    </row>
    <row r="209" spans="1:13" ht="60" customHeight="1" x14ac:dyDescent="0.35">
      <c r="A209" s="9" t="s">
        <v>992</v>
      </c>
      <c r="B209" s="1" t="s">
        <v>993</v>
      </c>
      <c r="C209" s="2" t="s">
        <v>15</v>
      </c>
      <c r="D209" s="3" t="s">
        <v>16</v>
      </c>
      <c r="E209" s="3" t="s">
        <v>17</v>
      </c>
      <c r="F209" s="3" t="s">
        <v>18</v>
      </c>
      <c r="G209" s="3" t="s">
        <v>19</v>
      </c>
      <c r="H209" s="4" t="s">
        <v>19</v>
      </c>
      <c r="I209" s="1" t="s">
        <v>994</v>
      </c>
      <c r="J209" s="1" t="s">
        <v>995</v>
      </c>
      <c r="K209" s="1" t="s">
        <v>996</v>
      </c>
      <c r="L209" s="3" t="str">
        <f t="shared" si="0"/>
        <v>Outstanding</v>
      </c>
      <c r="M209" s="11" t="s">
        <v>19</v>
      </c>
    </row>
    <row r="210" spans="1:13" ht="60" customHeight="1" x14ac:dyDescent="0.35">
      <c r="A210" s="9" t="s">
        <v>997</v>
      </c>
      <c r="B210" s="1" t="s">
        <v>998</v>
      </c>
      <c r="C210" s="2" t="s">
        <v>15</v>
      </c>
      <c r="D210" s="3" t="s">
        <v>16</v>
      </c>
      <c r="E210" s="3" t="s">
        <v>17</v>
      </c>
      <c r="F210" s="3" t="s">
        <v>18</v>
      </c>
      <c r="G210" s="3" t="s">
        <v>19</v>
      </c>
      <c r="H210" s="4" t="s">
        <v>19</v>
      </c>
      <c r="I210" s="1" t="s">
        <v>999</v>
      </c>
      <c r="J210" s="1" t="s">
        <v>1000</v>
      </c>
      <c r="K210" s="1" t="s">
        <v>1001</v>
      </c>
      <c r="L210" s="3" t="str">
        <f t="shared" si="0"/>
        <v>Outstanding</v>
      </c>
      <c r="M210" s="11" t="s">
        <v>19</v>
      </c>
    </row>
    <row r="211" spans="1:13" ht="60" customHeight="1" x14ac:dyDescent="0.35">
      <c r="A211" s="9" t="s">
        <v>1002</v>
      </c>
      <c r="B211" s="1" t="s">
        <v>1003</v>
      </c>
      <c r="C211" s="2" t="s">
        <v>15</v>
      </c>
      <c r="D211" s="3" t="s">
        <v>16</v>
      </c>
      <c r="E211" s="3" t="s">
        <v>17</v>
      </c>
      <c r="F211" s="3" t="s">
        <v>18</v>
      </c>
      <c r="G211" s="3" t="s">
        <v>19</v>
      </c>
      <c r="H211" s="4" t="s">
        <v>19</v>
      </c>
      <c r="I211" s="1" t="s">
        <v>1004</v>
      </c>
      <c r="J211" s="1" t="s">
        <v>1005</v>
      </c>
      <c r="K211" s="1" t="s">
        <v>1006</v>
      </c>
      <c r="L211" s="3" t="str">
        <f t="shared" si="0"/>
        <v>Outstanding</v>
      </c>
      <c r="M211" s="11" t="s">
        <v>19</v>
      </c>
    </row>
    <row r="212" spans="1:13" ht="60" customHeight="1" x14ac:dyDescent="0.35">
      <c r="A212" s="9" t="s">
        <v>1007</v>
      </c>
      <c r="B212" s="1" t="s">
        <v>1008</v>
      </c>
      <c r="C212" s="2" t="s">
        <v>15</v>
      </c>
      <c r="D212" s="3" t="s">
        <v>16</v>
      </c>
      <c r="E212" s="3" t="s">
        <v>17</v>
      </c>
      <c r="F212" s="3" t="s">
        <v>18</v>
      </c>
      <c r="G212" s="3" t="s">
        <v>19</v>
      </c>
      <c r="H212" s="4" t="s">
        <v>19</v>
      </c>
      <c r="I212" s="1" t="s">
        <v>1009</v>
      </c>
      <c r="J212" s="1" t="s">
        <v>1010</v>
      </c>
      <c r="K212" s="1" t="s">
        <v>1011</v>
      </c>
      <c r="L212" s="3" t="str">
        <f t="shared" si="0"/>
        <v>Outstanding</v>
      </c>
      <c r="M212" s="11" t="s">
        <v>19</v>
      </c>
    </row>
    <row r="213" spans="1:13" ht="60" customHeight="1" x14ac:dyDescent="0.35">
      <c r="A213" s="9" t="s">
        <v>1012</v>
      </c>
      <c r="B213" s="1" t="s">
        <v>1013</v>
      </c>
      <c r="C213" s="2" t="s">
        <v>15</v>
      </c>
      <c r="D213" s="3" t="s">
        <v>16</v>
      </c>
      <c r="E213" s="3" t="s">
        <v>17</v>
      </c>
      <c r="F213" s="3" t="s">
        <v>18</v>
      </c>
      <c r="G213" s="3" t="s">
        <v>19</v>
      </c>
      <c r="H213" s="4" t="s">
        <v>19</v>
      </c>
      <c r="I213" s="1" t="s">
        <v>1014</v>
      </c>
      <c r="J213" s="1" t="s">
        <v>1015</v>
      </c>
      <c r="K213" s="1" t="s">
        <v>1016</v>
      </c>
      <c r="L213" s="3" t="str">
        <f t="shared" si="0"/>
        <v>Outstanding</v>
      </c>
      <c r="M213" s="11" t="s">
        <v>19</v>
      </c>
    </row>
    <row r="214" spans="1:13" ht="60" customHeight="1" x14ac:dyDescent="0.35">
      <c r="A214" s="9" t="s">
        <v>1017</v>
      </c>
      <c r="B214" s="1" t="s">
        <v>1018</v>
      </c>
      <c r="C214" s="2" t="s">
        <v>15</v>
      </c>
      <c r="D214" s="3" t="s">
        <v>16</v>
      </c>
      <c r="E214" s="3" t="s">
        <v>17</v>
      </c>
      <c r="F214" s="3" t="s">
        <v>18</v>
      </c>
      <c r="G214" s="3" t="s">
        <v>19</v>
      </c>
      <c r="H214" s="4" t="s">
        <v>19</v>
      </c>
      <c r="I214" s="1" t="s">
        <v>1019</v>
      </c>
      <c r="J214" s="1" t="s">
        <v>1020</v>
      </c>
      <c r="K214" s="1" t="s">
        <v>1021</v>
      </c>
      <c r="L214" s="3" t="str">
        <f t="shared" si="0"/>
        <v>Outstanding</v>
      </c>
      <c r="M214" s="11" t="s">
        <v>19</v>
      </c>
    </row>
    <row r="215" spans="1:13" ht="60" customHeight="1" x14ac:dyDescent="0.35">
      <c r="A215" s="9" t="s">
        <v>1022</v>
      </c>
      <c r="B215" s="1" t="s">
        <v>1023</v>
      </c>
      <c r="C215" s="2" t="s">
        <v>15</v>
      </c>
      <c r="D215" s="3" t="s">
        <v>16</v>
      </c>
      <c r="E215" s="3" t="s">
        <v>17</v>
      </c>
      <c r="F215" s="3" t="s">
        <v>18</v>
      </c>
      <c r="G215" s="3" t="s">
        <v>19</v>
      </c>
      <c r="H215" s="4" t="s">
        <v>19</v>
      </c>
      <c r="I215" s="1" t="s">
        <v>1024</v>
      </c>
      <c r="J215" s="1" t="s">
        <v>1020</v>
      </c>
      <c r="K215" s="1" t="s">
        <v>1025</v>
      </c>
      <c r="L215" s="3" t="str">
        <f t="shared" si="0"/>
        <v>Outstanding</v>
      </c>
      <c r="M215" s="11" t="s">
        <v>19</v>
      </c>
    </row>
    <row r="216" spans="1:13" ht="60" customHeight="1" x14ac:dyDescent="0.35">
      <c r="A216" s="9" t="s">
        <v>1026</v>
      </c>
      <c r="B216" s="1" t="s">
        <v>1027</v>
      </c>
      <c r="C216" s="2" t="s">
        <v>15</v>
      </c>
      <c r="D216" s="3" t="s">
        <v>16</v>
      </c>
      <c r="E216" s="3" t="s">
        <v>17</v>
      </c>
      <c r="F216" s="3" t="s">
        <v>18</v>
      </c>
      <c r="G216" s="3" t="s">
        <v>19</v>
      </c>
      <c r="H216" s="4" t="s">
        <v>19</v>
      </c>
      <c r="I216" s="1" t="s">
        <v>1028</v>
      </c>
      <c r="J216" s="1" t="s">
        <v>1020</v>
      </c>
      <c r="K216" s="1" t="s">
        <v>1029</v>
      </c>
      <c r="L216" s="3" t="str">
        <f t="shared" si="0"/>
        <v>Outstanding</v>
      </c>
      <c r="M216" s="11" t="s">
        <v>19</v>
      </c>
    </row>
    <row r="217" spans="1:13" ht="60" customHeight="1" x14ac:dyDescent="0.35">
      <c r="A217" s="9" t="s">
        <v>1030</v>
      </c>
      <c r="B217" s="1" t="s">
        <v>1031</v>
      </c>
      <c r="C217" s="2" t="s">
        <v>15</v>
      </c>
      <c r="D217" s="3" t="s">
        <v>16</v>
      </c>
      <c r="E217" s="3" t="s">
        <v>17</v>
      </c>
      <c r="F217" s="3" t="s">
        <v>18</v>
      </c>
      <c r="G217" s="3" t="s">
        <v>19</v>
      </c>
      <c r="H217" s="4" t="s">
        <v>19</v>
      </c>
      <c r="I217" s="1" t="s">
        <v>1032</v>
      </c>
      <c r="J217" s="1" t="s">
        <v>1033</v>
      </c>
      <c r="K217" s="1" t="s">
        <v>1034</v>
      </c>
      <c r="L217" s="3" t="str">
        <f t="shared" si="0"/>
        <v>Outstanding</v>
      </c>
      <c r="M217" s="11" t="s">
        <v>19</v>
      </c>
    </row>
    <row r="218" spans="1:13" ht="60" customHeight="1" x14ac:dyDescent="0.35">
      <c r="A218" s="9" t="s">
        <v>1035</v>
      </c>
      <c r="B218" s="1" t="s">
        <v>1036</v>
      </c>
      <c r="C218" s="2" t="s">
        <v>15</v>
      </c>
      <c r="D218" s="3" t="s">
        <v>16</v>
      </c>
      <c r="E218" s="3" t="s">
        <v>17</v>
      </c>
      <c r="F218" s="3" t="s">
        <v>18</v>
      </c>
      <c r="G218" s="3" t="s">
        <v>19</v>
      </c>
      <c r="H218" s="4" t="s">
        <v>19</v>
      </c>
      <c r="I218" s="1" t="s">
        <v>1037</v>
      </c>
      <c r="J218" s="1" t="s">
        <v>1038</v>
      </c>
      <c r="K218" s="1" t="s">
        <v>1039</v>
      </c>
      <c r="L218" s="3" t="str">
        <f t="shared" si="0"/>
        <v>Outstanding</v>
      </c>
      <c r="M218" s="11" t="s">
        <v>19</v>
      </c>
    </row>
    <row r="219" spans="1:13" ht="60" customHeight="1" x14ac:dyDescent="0.35">
      <c r="A219" s="9" t="s">
        <v>1040</v>
      </c>
      <c r="B219" s="1" t="s">
        <v>1041</v>
      </c>
      <c r="C219" s="2" t="s">
        <v>15</v>
      </c>
      <c r="D219" s="3" t="s">
        <v>16</v>
      </c>
      <c r="E219" s="3" t="s">
        <v>17</v>
      </c>
      <c r="F219" s="3" t="s">
        <v>18</v>
      </c>
      <c r="G219" s="3" t="s">
        <v>19</v>
      </c>
      <c r="H219" s="4" t="s">
        <v>19</v>
      </c>
      <c r="I219" s="1" t="s">
        <v>1042</v>
      </c>
      <c r="J219" s="1" t="s">
        <v>1043</v>
      </c>
      <c r="K219" s="1" t="s">
        <v>1044</v>
      </c>
      <c r="L219" s="3" t="str">
        <f t="shared" si="0"/>
        <v>Outstanding</v>
      </c>
      <c r="M219" s="11" t="s">
        <v>19</v>
      </c>
    </row>
    <row r="220" spans="1:13" ht="60" customHeight="1" x14ac:dyDescent="0.35">
      <c r="A220" s="9" t="s">
        <v>1045</v>
      </c>
      <c r="B220" s="1" t="s">
        <v>1046</v>
      </c>
      <c r="C220" s="2" t="s">
        <v>15</v>
      </c>
      <c r="D220" s="3" t="s">
        <v>16</v>
      </c>
      <c r="E220" s="3" t="s">
        <v>17</v>
      </c>
      <c r="F220" s="3" t="s">
        <v>18</v>
      </c>
      <c r="G220" s="3" t="s">
        <v>19</v>
      </c>
      <c r="H220" s="4" t="s">
        <v>19</v>
      </c>
      <c r="I220" s="1" t="s">
        <v>1047</v>
      </c>
      <c r="J220" s="1" t="s">
        <v>1048</v>
      </c>
      <c r="K220" s="1" t="s">
        <v>1049</v>
      </c>
      <c r="L220" s="3" t="str">
        <f t="shared" si="0"/>
        <v>Outstanding</v>
      </c>
      <c r="M220" s="11" t="s">
        <v>19</v>
      </c>
    </row>
    <row r="221" spans="1:13" ht="60" customHeight="1" x14ac:dyDescent="0.35">
      <c r="A221" s="9" t="s">
        <v>1050</v>
      </c>
      <c r="B221" s="1" t="s">
        <v>1051</v>
      </c>
      <c r="C221" s="2" t="s">
        <v>15</v>
      </c>
      <c r="D221" s="3" t="s">
        <v>16</v>
      </c>
      <c r="E221" s="3" t="s">
        <v>17</v>
      </c>
      <c r="F221" s="3" t="s">
        <v>18</v>
      </c>
      <c r="G221" s="3" t="s">
        <v>19</v>
      </c>
      <c r="H221" s="4" t="s">
        <v>19</v>
      </c>
      <c r="I221" s="1" t="s">
        <v>1052</v>
      </c>
      <c r="J221" s="1" t="s">
        <v>1053</v>
      </c>
      <c r="K221" s="1" t="s">
        <v>1054</v>
      </c>
      <c r="L221" s="3" t="str">
        <f t="shared" si="0"/>
        <v>Outstanding</v>
      </c>
      <c r="M221" s="11" t="s">
        <v>19</v>
      </c>
    </row>
    <row r="222" spans="1:13" ht="60" customHeight="1" x14ac:dyDescent="0.35">
      <c r="A222" s="9" t="s">
        <v>1055</v>
      </c>
      <c r="B222" s="1" t="s">
        <v>1056</v>
      </c>
      <c r="C222" s="2" t="s">
        <v>15</v>
      </c>
      <c r="D222" s="3" t="s">
        <v>16</v>
      </c>
      <c r="E222" s="3" t="s">
        <v>17</v>
      </c>
      <c r="F222" s="3" t="s">
        <v>18</v>
      </c>
      <c r="G222" s="3" t="s">
        <v>19</v>
      </c>
      <c r="H222" s="4" t="s">
        <v>19</v>
      </c>
      <c r="I222" s="1" t="s">
        <v>1057</v>
      </c>
      <c r="J222" s="1" t="s">
        <v>1058</v>
      </c>
      <c r="K222" s="1" t="s">
        <v>1059</v>
      </c>
      <c r="L222" s="3" t="str">
        <f t="shared" si="0"/>
        <v>Outstanding</v>
      </c>
      <c r="M222" s="11" t="s">
        <v>19</v>
      </c>
    </row>
    <row r="223" spans="1:13" ht="60" customHeight="1" x14ac:dyDescent="0.35">
      <c r="A223" s="9" t="s">
        <v>1060</v>
      </c>
      <c r="B223" s="1" t="s">
        <v>1061</v>
      </c>
      <c r="C223" s="2" t="s">
        <v>15</v>
      </c>
      <c r="D223" s="3" t="s">
        <v>16</v>
      </c>
      <c r="E223" s="3" t="s">
        <v>17</v>
      </c>
      <c r="F223" s="3" t="s">
        <v>18</v>
      </c>
      <c r="G223" s="3" t="s">
        <v>19</v>
      </c>
      <c r="H223" s="4" t="s">
        <v>19</v>
      </c>
      <c r="I223" s="1" t="s">
        <v>1062</v>
      </c>
      <c r="J223" s="1" t="s">
        <v>1063</v>
      </c>
      <c r="K223" s="1" t="s">
        <v>1064</v>
      </c>
      <c r="L223" s="3" t="str">
        <f t="shared" si="0"/>
        <v>Outstanding</v>
      </c>
      <c r="M223" s="11" t="s">
        <v>19</v>
      </c>
    </row>
    <row r="224" spans="1:13" ht="60" customHeight="1" x14ac:dyDescent="0.35">
      <c r="A224" s="9" t="s">
        <v>1065</v>
      </c>
      <c r="B224" s="1" t="s">
        <v>1066</v>
      </c>
      <c r="C224" s="2" t="s">
        <v>15</v>
      </c>
      <c r="D224" s="3" t="s">
        <v>16</v>
      </c>
      <c r="E224" s="3" t="s">
        <v>17</v>
      </c>
      <c r="F224" s="3" t="s">
        <v>18</v>
      </c>
      <c r="G224" s="3" t="s">
        <v>19</v>
      </c>
      <c r="H224" s="4" t="s">
        <v>19</v>
      </c>
      <c r="I224" s="1" t="s">
        <v>1067</v>
      </c>
      <c r="J224" s="1" t="s">
        <v>1068</v>
      </c>
      <c r="K224" s="1" t="s">
        <v>1069</v>
      </c>
      <c r="L224" s="3" t="str">
        <f t="shared" si="0"/>
        <v>Outstanding</v>
      </c>
      <c r="M224" s="11" t="s">
        <v>19</v>
      </c>
    </row>
    <row r="225" spans="1:13" ht="60" customHeight="1" x14ac:dyDescent="0.35">
      <c r="A225" s="9" t="s">
        <v>1070</v>
      </c>
      <c r="B225" s="1" t="s">
        <v>1071</v>
      </c>
      <c r="C225" s="2" t="s">
        <v>15</v>
      </c>
      <c r="D225" s="3" t="s">
        <v>16</v>
      </c>
      <c r="E225" s="3" t="s">
        <v>17</v>
      </c>
      <c r="F225" s="3" t="s">
        <v>18</v>
      </c>
      <c r="G225" s="3" t="s">
        <v>19</v>
      </c>
      <c r="H225" s="4" t="s">
        <v>19</v>
      </c>
      <c r="I225" s="1" t="s">
        <v>1072</v>
      </c>
      <c r="J225" s="1" t="s">
        <v>1073</v>
      </c>
      <c r="K225" s="1" t="s">
        <v>1074</v>
      </c>
      <c r="L225" s="3" t="str">
        <f t="shared" si="0"/>
        <v>Outstanding</v>
      </c>
      <c r="M225" s="11" t="s">
        <v>19</v>
      </c>
    </row>
    <row r="226" spans="1:13" ht="60" customHeight="1" x14ac:dyDescent="0.35">
      <c r="A226" s="9" t="s">
        <v>1075</v>
      </c>
      <c r="B226" s="1" t="s">
        <v>1076</v>
      </c>
      <c r="C226" s="2" t="s">
        <v>15</v>
      </c>
      <c r="D226" s="3" t="s">
        <v>16</v>
      </c>
      <c r="E226" s="3" t="s">
        <v>17</v>
      </c>
      <c r="F226" s="3" t="s">
        <v>18</v>
      </c>
      <c r="G226" s="3" t="s">
        <v>19</v>
      </c>
      <c r="H226" s="4" t="s">
        <v>19</v>
      </c>
      <c r="I226" s="1" t="s">
        <v>1077</v>
      </c>
      <c r="J226" s="1" t="s">
        <v>1078</v>
      </c>
      <c r="K226" s="1" t="s">
        <v>1079</v>
      </c>
      <c r="L226" s="3" t="str">
        <f t="shared" si="0"/>
        <v>Outstanding</v>
      </c>
      <c r="M226" s="11" t="s">
        <v>19</v>
      </c>
    </row>
    <row r="227" spans="1:13" ht="60" customHeight="1" x14ac:dyDescent="0.35">
      <c r="A227" s="9" t="s">
        <v>1080</v>
      </c>
      <c r="B227" s="1" t="s">
        <v>1081</v>
      </c>
      <c r="C227" s="2" t="s">
        <v>15</v>
      </c>
      <c r="D227" s="3" t="s">
        <v>16</v>
      </c>
      <c r="E227" s="3" t="s">
        <v>17</v>
      </c>
      <c r="F227" s="3" t="s">
        <v>18</v>
      </c>
      <c r="G227" s="3" t="s">
        <v>19</v>
      </c>
      <c r="H227" s="4" t="s">
        <v>19</v>
      </c>
      <c r="I227" s="1" t="s">
        <v>1082</v>
      </c>
      <c r="J227" s="1" t="s">
        <v>1083</v>
      </c>
      <c r="K227" s="1" t="s">
        <v>1084</v>
      </c>
      <c r="L227" s="3" t="str">
        <f t="shared" si="0"/>
        <v>Outstanding</v>
      </c>
      <c r="M227" s="11" t="s">
        <v>19</v>
      </c>
    </row>
    <row r="228" spans="1:13" ht="60" customHeight="1" x14ac:dyDescent="0.35">
      <c r="A228" s="9" t="s">
        <v>1085</v>
      </c>
      <c r="B228" s="1" t="s">
        <v>1086</v>
      </c>
      <c r="C228" s="2" t="s">
        <v>15</v>
      </c>
      <c r="D228" s="3" t="s">
        <v>16</v>
      </c>
      <c r="E228" s="3" t="s">
        <v>17</v>
      </c>
      <c r="F228" s="3" t="s">
        <v>18</v>
      </c>
      <c r="G228" s="3" t="s">
        <v>19</v>
      </c>
      <c r="H228" s="4" t="s">
        <v>19</v>
      </c>
      <c r="I228" s="1" t="s">
        <v>1087</v>
      </c>
      <c r="J228" s="1" t="s">
        <v>1088</v>
      </c>
      <c r="K228" s="1" t="s">
        <v>1089</v>
      </c>
      <c r="L228" s="3" t="str">
        <f t="shared" si="0"/>
        <v>Outstanding</v>
      </c>
      <c r="M228" s="11" t="s">
        <v>19</v>
      </c>
    </row>
    <row r="229" spans="1:13" ht="60" customHeight="1" x14ac:dyDescent="0.35">
      <c r="A229" s="9" t="s">
        <v>1090</v>
      </c>
      <c r="B229" s="1" t="s">
        <v>1091</v>
      </c>
      <c r="C229" s="2" t="s">
        <v>15</v>
      </c>
      <c r="D229" s="3" t="s">
        <v>16</v>
      </c>
      <c r="E229" s="3" t="s">
        <v>17</v>
      </c>
      <c r="F229" s="3" t="s">
        <v>18</v>
      </c>
      <c r="G229" s="3" t="s">
        <v>19</v>
      </c>
      <c r="H229" s="4" t="s">
        <v>19</v>
      </c>
      <c r="I229" s="1" t="s">
        <v>1092</v>
      </c>
      <c r="J229" s="1" t="s">
        <v>1093</v>
      </c>
      <c r="K229" s="1" t="s">
        <v>1094</v>
      </c>
      <c r="L229" s="3" t="str">
        <f t="shared" si="0"/>
        <v>Outstanding</v>
      </c>
      <c r="M229" s="11" t="s">
        <v>19</v>
      </c>
    </row>
    <row r="230" spans="1:13" ht="60" customHeight="1" x14ac:dyDescent="0.35">
      <c r="A230" s="9" t="s">
        <v>1095</v>
      </c>
      <c r="B230" s="1" t="s">
        <v>1096</v>
      </c>
      <c r="C230" s="2" t="s">
        <v>15</v>
      </c>
      <c r="D230" s="3" t="s">
        <v>16</v>
      </c>
      <c r="E230" s="3" t="s">
        <v>17</v>
      </c>
      <c r="F230" s="3" t="s">
        <v>18</v>
      </c>
      <c r="G230" s="3" t="s">
        <v>19</v>
      </c>
      <c r="H230" s="4" t="s">
        <v>19</v>
      </c>
      <c r="I230" s="1" t="s">
        <v>1097</v>
      </c>
      <c r="J230" s="1" t="s">
        <v>1098</v>
      </c>
      <c r="K230" s="1" t="s">
        <v>1099</v>
      </c>
      <c r="L230" s="3" t="str">
        <f t="shared" si="0"/>
        <v>Outstanding</v>
      </c>
      <c r="M230" s="11" t="s">
        <v>19</v>
      </c>
    </row>
    <row r="231" spans="1:13" ht="60" customHeight="1" x14ac:dyDescent="0.35">
      <c r="A231" s="9" t="s">
        <v>1100</v>
      </c>
      <c r="B231" s="1" t="s">
        <v>1101</v>
      </c>
      <c r="C231" s="2" t="s">
        <v>15</v>
      </c>
      <c r="D231" s="3" t="s">
        <v>16</v>
      </c>
      <c r="E231" s="3" t="s">
        <v>17</v>
      </c>
      <c r="F231" s="3" t="s">
        <v>18</v>
      </c>
      <c r="G231" s="3" t="s">
        <v>19</v>
      </c>
      <c r="H231" s="4" t="s">
        <v>19</v>
      </c>
      <c r="I231" s="1" t="s">
        <v>1102</v>
      </c>
      <c r="J231" s="1" t="s">
        <v>1103</v>
      </c>
      <c r="K231" s="1" t="s">
        <v>1104</v>
      </c>
      <c r="L231" s="3" t="str">
        <f t="shared" si="0"/>
        <v>Outstanding</v>
      </c>
      <c r="M231" s="11" t="s">
        <v>19</v>
      </c>
    </row>
    <row r="232" spans="1:13" ht="60" customHeight="1" x14ac:dyDescent="0.35">
      <c r="A232" s="9" t="s">
        <v>1105</v>
      </c>
      <c r="B232" s="1" t="s">
        <v>1106</v>
      </c>
      <c r="C232" s="2" t="s">
        <v>15</v>
      </c>
      <c r="D232" s="3" t="s">
        <v>16</v>
      </c>
      <c r="E232" s="3" t="s">
        <v>17</v>
      </c>
      <c r="F232" s="3" t="s">
        <v>18</v>
      </c>
      <c r="G232" s="3" t="s">
        <v>19</v>
      </c>
      <c r="H232" s="4" t="s">
        <v>19</v>
      </c>
      <c r="I232" s="1" t="s">
        <v>1107</v>
      </c>
      <c r="J232" s="1" t="s">
        <v>1108</v>
      </c>
      <c r="K232" s="1" t="s">
        <v>1109</v>
      </c>
      <c r="L232" s="3" t="str">
        <f t="shared" si="0"/>
        <v>Outstanding</v>
      </c>
      <c r="M232" s="11" t="s">
        <v>19</v>
      </c>
    </row>
    <row r="233" spans="1:13" ht="60" customHeight="1" x14ac:dyDescent="0.35">
      <c r="A233" s="9" t="s">
        <v>1110</v>
      </c>
      <c r="B233" s="1" t="s">
        <v>1111</v>
      </c>
      <c r="C233" s="2" t="s">
        <v>15</v>
      </c>
      <c r="D233" s="3" t="s">
        <v>16</v>
      </c>
      <c r="E233" s="3" t="s">
        <v>17</v>
      </c>
      <c r="F233" s="3" t="s">
        <v>18</v>
      </c>
      <c r="G233" s="3" t="s">
        <v>19</v>
      </c>
      <c r="H233" s="4" t="s">
        <v>19</v>
      </c>
      <c r="I233" s="1" t="s">
        <v>1112</v>
      </c>
      <c r="J233" s="1" t="s">
        <v>1113</v>
      </c>
      <c r="K233" s="1" t="s">
        <v>1114</v>
      </c>
      <c r="L233" s="3" t="str">
        <f t="shared" si="0"/>
        <v>Outstanding</v>
      </c>
      <c r="M233" s="11" t="s">
        <v>19</v>
      </c>
    </row>
    <row r="234" spans="1:13" ht="60" customHeight="1" x14ac:dyDescent="0.35">
      <c r="A234" s="9" t="s">
        <v>1115</v>
      </c>
      <c r="B234" s="1" t="s">
        <v>1116</v>
      </c>
      <c r="C234" s="2" t="s">
        <v>15</v>
      </c>
      <c r="D234" s="3" t="s">
        <v>16</v>
      </c>
      <c r="E234" s="3" t="s">
        <v>17</v>
      </c>
      <c r="F234" s="3" t="s">
        <v>18</v>
      </c>
      <c r="G234" s="3" t="s">
        <v>19</v>
      </c>
      <c r="H234" s="4" t="s">
        <v>19</v>
      </c>
      <c r="I234" s="1" t="s">
        <v>1117</v>
      </c>
      <c r="J234" s="1" t="s">
        <v>1118</v>
      </c>
      <c r="K234" s="1" t="s">
        <v>1119</v>
      </c>
      <c r="L234" s="3" t="str">
        <f t="shared" si="0"/>
        <v>Outstanding</v>
      </c>
      <c r="M234" s="11" t="s">
        <v>19</v>
      </c>
    </row>
    <row r="235" spans="1:13" ht="60" customHeight="1" x14ac:dyDescent="0.35">
      <c r="A235" s="9" t="s">
        <v>1120</v>
      </c>
      <c r="B235" s="1" t="s">
        <v>1121</v>
      </c>
      <c r="C235" s="2" t="s">
        <v>15</v>
      </c>
      <c r="D235" s="3" t="s">
        <v>16</v>
      </c>
      <c r="E235" s="3" t="s">
        <v>17</v>
      </c>
      <c r="F235" s="3" t="s">
        <v>18</v>
      </c>
      <c r="G235" s="3" t="s">
        <v>19</v>
      </c>
      <c r="H235" s="4" t="s">
        <v>19</v>
      </c>
      <c r="I235" s="1" t="s">
        <v>1122</v>
      </c>
      <c r="J235" s="1" t="s">
        <v>1123</v>
      </c>
      <c r="K235" s="1" t="s">
        <v>1124</v>
      </c>
      <c r="L235" s="3" t="str">
        <f t="shared" si="0"/>
        <v>Outstanding</v>
      </c>
      <c r="M235" s="11" t="s">
        <v>19</v>
      </c>
    </row>
    <row r="236" spans="1:13" ht="60" customHeight="1" x14ac:dyDescent="0.35">
      <c r="A236" s="9" t="s">
        <v>1125</v>
      </c>
      <c r="B236" s="1" t="s">
        <v>1126</v>
      </c>
      <c r="C236" s="2" t="s">
        <v>15</v>
      </c>
      <c r="D236" s="3" t="s">
        <v>16</v>
      </c>
      <c r="E236" s="3" t="s">
        <v>17</v>
      </c>
      <c r="F236" s="3" t="s">
        <v>18</v>
      </c>
      <c r="G236" s="3" t="s">
        <v>19</v>
      </c>
      <c r="H236" s="4" t="s">
        <v>19</v>
      </c>
      <c r="I236" s="1" t="s">
        <v>1127</v>
      </c>
      <c r="J236" s="1" t="s">
        <v>1128</v>
      </c>
      <c r="K236" s="1" t="s">
        <v>1129</v>
      </c>
      <c r="L236" s="3" t="str">
        <f t="shared" si="0"/>
        <v>Outstanding</v>
      </c>
      <c r="M236" s="11" t="s">
        <v>19</v>
      </c>
    </row>
    <row r="237" spans="1:13" ht="60" customHeight="1" x14ac:dyDescent="0.35">
      <c r="A237" s="9" t="s">
        <v>1130</v>
      </c>
      <c r="B237" s="1" t="s">
        <v>1131</v>
      </c>
      <c r="C237" s="2" t="s">
        <v>15</v>
      </c>
      <c r="D237" s="3" t="s">
        <v>16</v>
      </c>
      <c r="E237" s="3" t="s">
        <v>17</v>
      </c>
      <c r="F237" s="3" t="s">
        <v>18</v>
      </c>
      <c r="G237" s="3" t="s">
        <v>19</v>
      </c>
      <c r="H237" s="4" t="s">
        <v>19</v>
      </c>
      <c r="I237" s="1" t="s">
        <v>1132</v>
      </c>
      <c r="J237" s="1" t="s">
        <v>1133</v>
      </c>
      <c r="K237" s="1" t="s">
        <v>1134</v>
      </c>
      <c r="L237" s="3" t="str">
        <f t="shared" si="0"/>
        <v>Outstanding</v>
      </c>
      <c r="M237" s="11" t="s">
        <v>19</v>
      </c>
    </row>
    <row r="238" spans="1:13" ht="60" customHeight="1" x14ac:dyDescent="0.35">
      <c r="A238" s="9" t="s">
        <v>1135</v>
      </c>
      <c r="B238" s="1" t="s">
        <v>1136</v>
      </c>
      <c r="C238" s="2" t="s">
        <v>15</v>
      </c>
      <c r="D238" s="3" t="s">
        <v>16</v>
      </c>
      <c r="E238" s="3" t="s">
        <v>17</v>
      </c>
      <c r="F238" s="3" t="s">
        <v>18</v>
      </c>
      <c r="G238" s="3" t="s">
        <v>19</v>
      </c>
      <c r="H238" s="4" t="s">
        <v>19</v>
      </c>
      <c r="I238" s="1" t="s">
        <v>1137</v>
      </c>
      <c r="J238" s="1" t="s">
        <v>1138</v>
      </c>
      <c r="K238" s="1" t="s">
        <v>1139</v>
      </c>
      <c r="L238" s="3" t="str">
        <f t="shared" si="0"/>
        <v>Outstanding</v>
      </c>
      <c r="M238" s="11" t="s">
        <v>19</v>
      </c>
    </row>
    <row r="239" spans="1:13" ht="60" customHeight="1" x14ac:dyDescent="0.35">
      <c r="A239" s="9" t="s">
        <v>1140</v>
      </c>
      <c r="B239" s="1" t="s">
        <v>1141</v>
      </c>
      <c r="C239" s="2" t="s">
        <v>15</v>
      </c>
      <c r="D239" s="3" t="s">
        <v>16</v>
      </c>
      <c r="E239" s="3" t="s">
        <v>17</v>
      </c>
      <c r="F239" s="3" t="s">
        <v>18</v>
      </c>
      <c r="G239" s="3" t="s">
        <v>19</v>
      </c>
      <c r="H239" s="4" t="s">
        <v>19</v>
      </c>
      <c r="I239" s="1" t="s">
        <v>1142</v>
      </c>
      <c r="J239" s="1" t="s">
        <v>1143</v>
      </c>
      <c r="K239" s="1" t="s">
        <v>1144</v>
      </c>
      <c r="L239" s="3" t="str">
        <f t="shared" si="0"/>
        <v>Outstanding</v>
      </c>
      <c r="M239" s="11" t="s">
        <v>19</v>
      </c>
    </row>
    <row r="240" spans="1:13" ht="60" customHeight="1" x14ac:dyDescent="0.35">
      <c r="A240" s="9" t="s">
        <v>1145</v>
      </c>
      <c r="B240" s="1" t="s">
        <v>1146</v>
      </c>
      <c r="C240" s="2" t="s">
        <v>15</v>
      </c>
      <c r="D240" s="3" t="s">
        <v>16</v>
      </c>
      <c r="E240" s="3" t="s">
        <v>17</v>
      </c>
      <c r="F240" s="3" t="s">
        <v>18</v>
      </c>
      <c r="G240" s="3" t="s">
        <v>19</v>
      </c>
      <c r="H240" s="4" t="s">
        <v>19</v>
      </c>
      <c r="I240" s="1" t="s">
        <v>1147</v>
      </c>
      <c r="J240" s="1" t="s">
        <v>1148</v>
      </c>
      <c r="K240" s="1" t="s">
        <v>1149</v>
      </c>
      <c r="L240" s="3" t="str">
        <f t="shared" si="0"/>
        <v>Outstanding</v>
      </c>
      <c r="M240" s="11" t="s">
        <v>19</v>
      </c>
    </row>
    <row r="241" spans="1:13" ht="60" customHeight="1" x14ac:dyDescent="0.35">
      <c r="A241" s="9" t="s">
        <v>1150</v>
      </c>
      <c r="B241" s="1" t="s">
        <v>1151</v>
      </c>
      <c r="C241" s="2" t="s">
        <v>15</v>
      </c>
      <c r="D241" s="3" t="s">
        <v>16</v>
      </c>
      <c r="E241" s="3" t="s">
        <v>17</v>
      </c>
      <c r="F241" s="3" t="s">
        <v>18</v>
      </c>
      <c r="G241" s="3" t="s">
        <v>19</v>
      </c>
      <c r="H241" s="4" t="s">
        <v>19</v>
      </c>
      <c r="I241" s="1" t="s">
        <v>1152</v>
      </c>
      <c r="J241" s="1" t="s">
        <v>1153</v>
      </c>
      <c r="K241" s="1" t="s">
        <v>1154</v>
      </c>
      <c r="L241" s="3" t="str">
        <f t="shared" si="0"/>
        <v>Outstanding</v>
      </c>
      <c r="M241" s="11" t="s">
        <v>19</v>
      </c>
    </row>
    <row r="242" spans="1:13" ht="60" customHeight="1" x14ac:dyDescent="0.35">
      <c r="A242" s="9" t="s">
        <v>1155</v>
      </c>
      <c r="B242" s="1" t="s">
        <v>1156</v>
      </c>
      <c r="C242" s="2" t="s">
        <v>15</v>
      </c>
      <c r="D242" s="3" t="s">
        <v>16</v>
      </c>
      <c r="E242" s="3" t="s">
        <v>17</v>
      </c>
      <c r="F242" s="3" t="s">
        <v>18</v>
      </c>
      <c r="G242" s="3" t="s">
        <v>19</v>
      </c>
      <c r="H242" s="4" t="s">
        <v>19</v>
      </c>
      <c r="I242" s="1" t="s">
        <v>1157</v>
      </c>
      <c r="J242" s="1" t="s">
        <v>1158</v>
      </c>
      <c r="K242" s="1" t="s">
        <v>1159</v>
      </c>
      <c r="L242" s="3" t="str">
        <f t="shared" si="0"/>
        <v>Outstanding</v>
      </c>
      <c r="M242" s="11" t="s">
        <v>19</v>
      </c>
    </row>
    <row r="243" spans="1:13" ht="60" customHeight="1" x14ac:dyDescent="0.35">
      <c r="A243" s="9" t="s">
        <v>1160</v>
      </c>
      <c r="B243" s="1" t="s">
        <v>1161</v>
      </c>
      <c r="C243" s="2" t="s">
        <v>15</v>
      </c>
      <c r="D243" s="3" t="s">
        <v>16</v>
      </c>
      <c r="E243" s="3" t="s">
        <v>17</v>
      </c>
      <c r="F243" s="3" t="s">
        <v>18</v>
      </c>
      <c r="G243" s="3" t="s">
        <v>19</v>
      </c>
      <c r="H243" s="4" t="s">
        <v>19</v>
      </c>
      <c r="I243" s="1" t="s">
        <v>1162</v>
      </c>
      <c r="J243" s="1" t="s">
        <v>1163</v>
      </c>
      <c r="K243" s="1" t="s">
        <v>1164</v>
      </c>
      <c r="L243" s="3" t="str">
        <f t="shared" si="0"/>
        <v>Outstanding</v>
      </c>
      <c r="M243" s="11" t="s">
        <v>19</v>
      </c>
    </row>
    <row r="244" spans="1:13" ht="60" customHeight="1" x14ac:dyDescent="0.35">
      <c r="A244" s="9" t="s">
        <v>1165</v>
      </c>
      <c r="B244" s="1" t="s">
        <v>1166</v>
      </c>
      <c r="C244" s="2" t="s">
        <v>15</v>
      </c>
      <c r="D244" s="3" t="s">
        <v>16</v>
      </c>
      <c r="E244" s="3" t="s">
        <v>17</v>
      </c>
      <c r="F244" s="3" t="s">
        <v>18</v>
      </c>
      <c r="G244" s="3" t="s">
        <v>19</v>
      </c>
      <c r="H244" s="4" t="s">
        <v>19</v>
      </c>
      <c r="I244" s="1" t="s">
        <v>1167</v>
      </c>
      <c r="J244" s="1" t="s">
        <v>1163</v>
      </c>
      <c r="K244" s="1" t="s">
        <v>1168</v>
      </c>
      <c r="L244" s="3" t="str">
        <f t="shared" si="0"/>
        <v>Outstanding</v>
      </c>
      <c r="M244" s="11" t="s">
        <v>19</v>
      </c>
    </row>
    <row r="245" spans="1:13" ht="60" customHeight="1" x14ac:dyDescent="0.35">
      <c r="A245" s="9" t="s">
        <v>1169</v>
      </c>
      <c r="B245" s="1" t="s">
        <v>1170</v>
      </c>
      <c r="C245" s="2" t="s">
        <v>155</v>
      </c>
      <c r="D245" s="3" t="s">
        <v>16</v>
      </c>
      <c r="E245" s="3" t="s">
        <v>17</v>
      </c>
      <c r="F245" s="3" t="s">
        <v>18</v>
      </c>
      <c r="G245" s="3" t="s">
        <v>19</v>
      </c>
      <c r="H245" s="4" t="s">
        <v>19</v>
      </c>
      <c r="I245" s="1" t="s">
        <v>1171</v>
      </c>
      <c r="J245" s="1" t="s">
        <v>1172</v>
      </c>
      <c r="K245" s="1" t="s">
        <v>1173</v>
      </c>
      <c r="L245" s="3" t="str">
        <f t="shared" si="0"/>
        <v>Outstanding</v>
      </c>
      <c r="M245" s="11" t="s">
        <v>19</v>
      </c>
    </row>
    <row r="246" spans="1:13" ht="60" customHeight="1" x14ac:dyDescent="0.35">
      <c r="A246" s="9" t="s">
        <v>1174</v>
      </c>
      <c r="B246" s="1" t="s">
        <v>1175</v>
      </c>
      <c r="C246" s="2" t="s">
        <v>15</v>
      </c>
      <c r="D246" s="3" t="s">
        <v>16</v>
      </c>
      <c r="E246" s="3" t="s">
        <v>17</v>
      </c>
      <c r="F246" s="3" t="s">
        <v>18</v>
      </c>
      <c r="G246" s="3" t="s">
        <v>19</v>
      </c>
      <c r="H246" s="4" t="s">
        <v>19</v>
      </c>
      <c r="I246" s="1" t="s">
        <v>1176</v>
      </c>
      <c r="J246" s="1" t="s">
        <v>1177</v>
      </c>
      <c r="K246" s="1" t="s">
        <v>1178</v>
      </c>
      <c r="L246" s="3" t="str">
        <f t="shared" si="0"/>
        <v>Outstanding</v>
      </c>
      <c r="M246" s="11" t="s">
        <v>19</v>
      </c>
    </row>
    <row r="247" spans="1:13" ht="60" customHeight="1" x14ac:dyDescent="0.35">
      <c r="A247" s="9" t="s">
        <v>1179</v>
      </c>
      <c r="B247" s="1" t="s">
        <v>1180</v>
      </c>
      <c r="C247" s="2" t="s">
        <v>15</v>
      </c>
      <c r="D247" s="3" t="s">
        <v>16</v>
      </c>
      <c r="E247" s="3" t="s">
        <v>17</v>
      </c>
      <c r="F247" s="3" t="s">
        <v>18</v>
      </c>
      <c r="G247" s="3" t="s">
        <v>19</v>
      </c>
      <c r="H247" s="4" t="s">
        <v>19</v>
      </c>
      <c r="I247" s="1" t="s">
        <v>1181</v>
      </c>
      <c r="J247" s="1" t="s">
        <v>1182</v>
      </c>
      <c r="K247" s="1" t="s">
        <v>1183</v>
      </c>
      <c r="L247" s="3" t="str">
        <f t="shared" si="0"/>
        <v>Outstanding</v>
      </c>
      <c r="M247" s="11" t="s">
        <v>19</v>
      </c>
    </row>
    <row r="248" spans="1:13" ht="60" customHeight="1" x14ac:dyDescent="0.35">
      <c r="A248" s="9" t="s">
        <v>1184</v>
      </c>
      <c r="B248" s="1" t="s">
        <v>1185</v>
      </c>
      <c r="C248" s="2" t="s">
        <v>15</v>
      </c>
      <c r="D248" s="3" t="s">
        <v>16</v>
      </c>
      <c r="E248" s="3" t="s">
        <v>17</v>
      </c>
      <c r="F248" s="3" t="s">
        <v>18</v>
      </c>
      <c r="G248" s="3" t="s">
        <v>19</v>
      </c>
      <c r="H248" s="4" t="s">
        <v>19</v>
      </c>
      <c r="I248" s="1" t="s">
        <v>1186</v>
      </c>
      <c r="J248" s="1" t="s">
        <v>1187</v>
      </c>
      <c r="K248" s="1" t="s">
        <v>1188</v>
      </c>
      <c r="L248" s="3" t="str">
        <f t="shared" si="0"/>
        <v>Outstanding</v>
      </c>
      <c r="M248" s="11" t="s">
        <v>19</v>
      </c>
    </row>
    <row r="249" spans="1:13" ht="60" customHeight="1" x14ac:dyDescent="0.35">
      <c r="A249" s="9" t="s">
        <v>1189</v>
      </c>
      <c r="B249" s="1" t="s">
        <v>1190</v>
      </c>
      <c r="C249" s="2" t="s">
        <v>15</v>
      </c>
      <c r="D249" s="3" t="s">
        <v>16</v>
      </c>
      <c r="E249" s="3" t="s">
        <v>17</v>
      </c>
      <c r="F249" s="3" t="s">
        <v>18</v>
      </c>
      <c r="G249" s="3" t="s">
        <v>19</v>
      </c>
      <c r="H249" s="4" t="s">
        <v>19</v>
      </c>
      <c r="I249" s="1" t="s">
        <v>1191</v>
      </c>
      <c r="J249" s="1" t="s">
        <v>1192</v>
      </c>
      <c r="K249" s="1" t="s">
        <v>1193</v>
      </c>
      <c r="L249" s="3" t="str">
        <f t="shared" si="0"/>
        <v>Outstanding</v>
      </c>
      <c r="M249" s="11" t="s">
        <v>19</v>
      </c>
    </row>
    <row r="250" spans="1:13" ht="60" customHeight="1" x14ac:dyDescent="0.35">
      <c r="A250" s="9" t="s">
        <v>1194</v>
      </c>
      <c r="B250" s="1" t="s">
        <v>1195</v>
      </c>
      <c r="C250" s="2" t="s">
        <v>15</v>
      </c>
      <c r="D250" s="3" t="s">
        <v>16</v>
      </c>
      <c r="E250" s="3" t="s">
        <v>17</v>
      </c>
      <c r="F250" s="3" t="s">
        <v>18</v>
      </c>
      <c r="G250" s="3" t="s">
        <v>19</v>
      </c>
      <c r="H250" s="4" t="s">
        <v>19</v>
      </c>
      <c r="I250" s="1" t="s">
        <v>1196</v>
      </c>
      <c r="J250" s="1" t="s">
        <v>1197</v>
      </c>
      <c r="K250" s="1" t="s">
        <v>1198</v>
      </c>
      <c r="L250" s="3" t="str">
        <f t="shared" si="0"/>
        <v>Outstanding</v>
      </c>
      <c r="M250" s="11" t="s">
        <v>19</v>
      </c>
    </row>
    <row r="251" spans="1:13" ht="60" customHeight="1" x14ac:dyDescent="0.35">
      <c r="A251" s="9" t="s">
        <v>1199</v>
      </c>
      <c r="B251" s="1" t="s">
        <v>1200</v>
      </c>
      <c r="C251" s="2" t="s">
        <v>15</v>
      </c>
      <c r="D251" s="3" t="s">
        <v>16</v>
      </c>
      <c r="E251" s="3" t="s">
        <v>17</v>
      </c>
      <c r="F251" s="3" t="s">
        <v>18</v>
      </c>
      <c r="G251" s="3" t="s">
        <v>19</v>
      </c>
      <c r="H251" s="4" t="s">
        <v>19</v>
      </c>
      <c r="I251" s="1" t="s">
        <v>1201</v>
      </c>
      <c r="J251" s="1" t="s">
        <v>1202</v>
      </c>
      <c r="K251" s="1" t="s">
        <v>1203</v>
      </c>
      <c r="L251" s="3" t="str">
        <f t="shared" si="0"/>
        <v>Outstanding</v>
      </c>
      <c r="M251" s="11" t="s">
        <v>19</v>
      </c>
    </row>
    <row r="252" spans="1:13" ht="60" customHeight="1" x14ac:dyDescent="0.35">
      <c r="A252" s="9" t="s">
        <v>1204</v>
      </c>
      <c r="B252" s="1" t="s">
        <v>1205</v>
      </c>
      <c r="C252" s="2" t="s">
        <v>15</v>
      </c>
      <c r="D252" s="3" t="s">
        <v>16</v>
      </c>
      <c r="E252" s="3" t="s">
        <v>17</v>
      </c>
      <c r="F252" s="3" t="s">
        <v>18</v>
      </c>
      <c r="G252" s="3" t="s">
        <v>19</v>
      </c>
      <c r="H252" s="4" t="s">
        <v>19</v>
      </c>
      <c r="I252" s="1" t="s">
        <v>1206</v>
      </c>
      <c r="J252" s="1" t="s">
        <v>1207</v>
      </c>
      <c r="K252" s="1" t="s">
        <v>1208</v>
      </c>
      <c r="L252" s="3" t="str">
        <f t="shared" si="0"/>
        <v>Outstanding</v>
      </c>
      <c r="M252" s="11" t="s">
        <v>19</v>
      </c>
    </row>
    <row r="253" spans="1:13" ht="60" customHeight="1" x14ac:dyDescent="0.35">
      <c r="A253" s="9" t="s">
        <v>1209</v>
      </c>
      <c r="B253" s="1" t="s">
        <v>1210</v>
      </c>
      <c r="C253" s="2" t="s">
        <v>15</v>
      </c>
      <c r="D253" s="3" t="s">
        <v>16</v>
      </c>
      <c r="E253" s="3" t="s">
        <v>17</v>
      </c>
      <c r="F253" s="3" t="s">
        <v>18</v>
      </c>
      <c r="G253" s="3" t="s">
        <v>19</v>
      </c>
      <c r="H253" s="4" t="s">
        <v>19</v>
      </c>
      <c r="I253" s="1" t="s">
        <v>1211</v>
      </c>
      <c r="J253" s="1" t="s">
        <v>1212</v>
      </c>
      <c r="K253" s="1" t="s">
        <v>1213</v>
      </c>
      <c r="L253" s="3" t="str">
        <f t="shared" si="0"/>
        <v>Outstanding</v>
      </c>
      <c r="M253" s="11" t="s">
        <v>19</v>
      </c>
    </row>
    <row r="254" spans="1:13" ht="60" customHeight="1" x14ac:dyDescent="0.35">
      <c r="A254" s="9" t="s">
        <v>1214</v>
      </c>
      <c r="B254" s="1" t="s">
        <v>1215</v>
      </c>
      <c r="C254" s="2" t="s">
        <v>15</v>
      </c>
      <c r="D254" s="3" t="s">
        <v>16</v>
      </c>
      <c r="E254" s="3" t="s">
        <v>17</v>
      </c>
      <c r="F254" s="3" t="s">
        <v>18</v>
      </c>
      <c r="G254" s="3" t="s">
        <v>19</v>
      </c>
      <c r="H254" s="4" t="s">
        <v>19</v>
      </c>
      <c r="I254" s="1" t="s">
        <v>1216</v>
      </c>
      <c r="J254" s="1" t="s">
        <v>1217</v>
      </c>
      <c r="K254" s="1" t="s">
        <v>1218</v>
      </c>
      <c r="L254" s="3" t="str">
        <f t="shared" si="0"/>
        <v>Outstanding</v>
      </c>
      <c r="M254" s="11" t="s">
        <v>19</v>
      </c>
    </row>
    <row r="255" spans="1:13" ht="60" customHeight="1" x14ac:dyDescent="0.35">
      <c r="A255" s="9" t="s">
        <v>1219</v>
      </c>
      <c r="B255" s="1" t="s">
        <v>1220</v>
      </c>
      <c r="C255" s="2" t="s">
        <v>15</v>
      </c>
      <c r="D255" s="3" t="s">
        <v>16</v>
      </c>
      <c r="E255" s="3" t="s">
        <v>17</v>
      </c>
      <c r="F255" s="3" t="s">
        <v>18</v>
      </c>
      <c r="G255" s="3" t="s">
        <v>19</v>
      </c>
      <c r="H255" s="4" t="s">
        <v>19</v>
      </c>
      <c r="I255" s="1" t="s">
        <v>1221</v>
      </c>
      <c r="J255" s="1" t="s">
        <v>1222</v>
      </c>
      <c r="K255" s="1" t="s">
        <v>1223</v>
      </c>
      <c r="L255" s="3" t="str">
        <f t="shared" si="0"/>
        <v>Outstanding</v>
      </c>
      <c r="M255" s="11" t="s">
        <v>19</v>
      </c>
    </row>
    <row r="256" spans="1:13" ht="60" customHeight="1" x14ac:dyDescent="0.35">
      <c r="A256" s="9" t="s">
        <v>1224</v>
      </c>
      <c r="B256" s="1" t="s">
        <v>1225</v>
      </c>
      <c r="C256" s="2" t="s">
        <v>15</v>
      </c>
      <c r="D256" s="3" t="s">
        <v>16</v>
      </c>
      <c r="E256" s="3" t="s">
        <v>17</v>
      </c>
      <c r="F256" s="3" t="s">
        <v>18</v>
      </c>
      <c r="G256" s="3" t="s">
        <v>19</v>
      </c>
      <c r="H256" s="4" t="s">
        <v>19</v>
      </c>
      <c r="I256" s="1" t="s">
        <v>1226</v>
      </c>
      <c r="J256" s="1" t="s">
        <v>1227</v>
      </c>
      <c r="K256" s="1" t="s">
        <v>1228</v>
      </c>
      <c r="L256" s="3" t="str">
        <f t="shared" si="0"/>
        <v>Outstanding</v>
      </c>
      <c r="M256" s="11" t="s">
        <v>19</v>
      </c>
    </row>
    <row r="257" spans="1:13" ht="60" customHeight="1" x14ac:dyDescent="0.35">
      <c r="A257" s="9" t="s">
        <v>1229</v>
      </c>
      <c r="B257" s="1" t="s">
        <v>1230</v>
      </c>
      <c r="C257" s="2" t="s">
        <v>15</v>
      </c>
      <c r="D257" s="3" t="s">
        <v>16</v>
      </c>
      <c r="E257" s="3" t="s">
        <v>17</v>
      </c>
      <c r="F257" s="3" t="s">
        <v>18</v>
      </c>
      <c r="G257" s="3" t="s">
        <v>19</v>
      </c>
      <c r="H257" s="4" t="s">
        <v>19</v>
      </c>
      <c r="I257" s="1" t="s">
        <v>1231</v>
      </c>
      <c r="J257" s="1" t="s">
        <v>1232</v>
      </c>
      <c r="K257" s="1" t="s">
        <v>1233</v>
      </c>
      <c r="L257" s="3" t="str">
        <f t="shared" ref="L257:L376" si="1">IF(OR(G257="Implemented",G257="Compensated"),"Resolved",IF(OR(G257="Risk Accepted",G257="N/A"),"Excluded",IF(G257="Testing","Testing","Outstanding")))</f>
        <v>Outstanding</v>
      </c>
      <c r="M257" s="11" t="s">
        <v>19</v>
      </c>
    </row>
    <row r="258" spans="1:13" ht="60" customHeight="1" x14ac:dyDescent="0.35">
      <c r="A258" s="9" t="s">
        <v>1234</v>
      </c>
      <c r="B258" s="1" t="s">
        <v>1235</v>
      </c>
      <c r="C258" s="2" t="s">
        <v>15</v>
      </c>
      <c r="D258" s="3" t="s">
        <v>16</v>
      </c>
      <c r="E258" s="3" t="s">
        <v>17</v>
      </c>
      <c r="F258" s="3" t="s">
        <v>18</v>
      </c>
      <c r="G258" s="3" t="s">
        <v>19</v>
      </c>
      <c r="H258" s="4" t="s">
        <v>19</v>
      </c>
      <c r="I258" s="1" t="s">
        <v>1236</v>
      </c>
      <c r="J258" s="1" t="s">
        <v>1237</v>
      </c>
      <c r="K258" s="1" t="s">
        <v>1238</v>
      </c>
      <c r="L258" s="3" t="str">
        <f t="shared" si="1"/>
        <v>Outstanding</v>
      </c>
      <c r="M258" s="11" t="s">
        <v>19</v>
      </c>
    </row>
    <row r="259" spans="1:13" ht="60" customHeight="1" x14ac:dyDescent="0.35">
      <c r="A259" s="9" t="s">
        <v>1239</v>
      </c>
      <c r="B259" s="1" t="s">
        <v>1240</v>
      </c>
      <c r="C259" s="2" t="s">
        <v>15</v>
      </c>
      <c r="D259" s="3" t="s">
        <v>16</v>
      </c>
      <c r="E259" s="3" t="s">
        <v>17</v>
      </c>
      <c r="F259" s="3" t="s">
        <v>18</v>
      </c>
      <c r="G259" s="3" t="s">
        <v>19</v>
      </c>
      <c r="H259" s="4" t="s">
        <v>19</v>
      </c>
      <c r="I259" s="1" t="s">
        <v>1241</v>
      </c>
      <c r="J259" s="1" t="s">
        <v>1242</v>
      </c>
      <c r="K259" s="1" t="s">
        <v>1243</v>
      </c>
      <c r="L259" s="3" t="str">
        <f t="shared" si="1"/>
        <v>Outstanding</v>
      </c>
      <c r="M259" s="11" t="s">
        <v>19</v>
      </c>
    </row>
    <row r="260" spans="1:13" ht="60" customHeight="1" x14ac:dyDescent="0.35">
      <c r="A260" s="9" t="s">
        <v>1244</v>
      </c>
      <c r="B260" s="1" t="s">
        <v>1245</v>
      </c>
      <c r="C260" s="2" t="s">
        <v>15</v>
      </c>
      <c r="D260" s="3" t="s">
        <v>16</v>
      </c>
      <c r="E260" s="3" t="s">
        <v>17</v>
      </c>
      <c r="F260" s="3" t="s">
        <v>18</v>
      </c>
      <c r="G260" s="3" t="s">
        <v>19</v>
      </c>
      <c r="H260" s="4" t="s">
        <v>19</v>
      </c>
      <c r="I260" s="1" t="s">
        <v>1246</v>
      </c>
      <c r="J260" s="1" t="s">
        <v>1247</v>
      </c>
      <c r="K260" s="1" t="s">
        <v>1248</v>
      </c>
      <c r="L260" s="3" t="str">
        <f t="shared" si="1"/>
        <v>Outstanding</v>
      </c>
      <c r="M260" s="11" t="s">
        <v>19</v>
      </c>
    </row>
    <row r="261" spans="1:13" ht="60" customHeight="1" x14ac:dyDescent="0.35">
      <c r="A261" s="9" t="s">
        <v>1249</v>
      </c>
      <c r="B261" s="1" t="s">
        <v>1250</v>
      </c>
      <c r="C261" s="2" t="s">
        <v>15</v>
      </c>
      <c r="D261" s="3" t="s">
        <v>16</v>
      </c>
      <c r="E261" s="3" t="s">
        <v>17</v>
      </c>
      <c r="F261" s="3" t="s">
        <v>18</v>
      </c>
      <c r="G261" s="3" t="s">
        <v>19</v>
      </c>
      <c r="H261" s="4" t="s">
        <v>19</v>
      </c>
      <c r="I261" s="1" t="s">
        <v>1251</v>
      </c>
      <c r="J261" s="1" t="s">
        <v>1252</v>
      </c>
      <c r="K261" s="1" t="s">
        <v>1253</v>
      </c>
      <c r="L261" s="3" t="str">
        <f t="shared" si="1"/>
        <v>Outstanding</v>
      </c>
      <c r="M261" s="11" t="s">
        <v>19</v>
      </c>
    </row>
    <row r="262" spans="1:13" ht="60" customHeight="1" x14ac:dyDescent="0.35">
      <c r="A262" s="9" t="s">
        <v>1254</v>
      </c>
      <c r="B262" s="1" t="s">
        <v>1255</v>
      </c>
      <c r="C262" s="2" t="s">
        <v>155</v>
      </c>
      <c r="D262" s="3" t="s">
        <v>16</v>
      </c>
      <c r="E262" s="3" t="s">
        <v>17</v>
      </c>
      <c r="F262" s="3" t="s">
        <v>18</v>
      </c>
      <c r="G262" s="3" t="s">
        <v>19</v>
      </c>
      <c r="H262" s="4" t="s">
        <v>19</v>
      </c>
      <c r="I262" s="1" t="s">
        <v>1256</v>
      </c>
      <c r="J262" s="1" t="s">
        <v>1257</v>
      </c>
      <c r="K262" s="1" t="s">
        <v>1258</v>
      </c>
      <c r="L262" s="3" t="str">
        <f t="shared" si="1"/>
        <v>Outstanding</v>
      </c>
      <c r="M262" s="11" t="s">
        <v>19</v>
      </c>
    </row>
    <row r="263" spans="1:13" ht="60" customHeight="1" x14ac:dyDescent="0.35">
      <c r="A263" s="9" t="s">
        <v>1259</v>
      </c>
      <c r="B263" s="1" t="s">
        <v>1260</v>
      </c>
      <c r="C263" s="2" t="s">
        <v>155</v>
      </c>
      <c r="D263" s="3" t="s">
        <v>16</v>
      </c>
      <c r="E263" s="3" t="s">
        <v>17</v>
      </c>
      <c r="F263" s="3" t="s">
        <v>18</v>
      </c>
      <c r="G263" s="3" t="s">
        <v>19</v>
      </c>
      <c r="H263" s="4" t="s">
        <v>19</v>
      </c>
      <c r="I263" s="1" t="s">
        <v>1261</v>
      </c>
      <c r="J263" s="1" t="s">
        <v>1257</v>
      </c>
      <c r="K263" s="1" t="s">
        <v>1262</v>
      </c>
      <c r="L263" s="3" t="str">
        <f t="shared" si="1"/>
        <v>Outstanding</v>
      </c>
      <c r="M263" s="11" t="s">
        <v>19</v>
      </c>
    </row>
    <row r="264" spans="1:13" ht="60" customHeight="1" x14ac:dyDescent="0.35">
      <c r="A264" s="9" t="s">
        <v>1263</v>
      </c>
      <c r="B264" s="1" t="s">
        <v>1264</v>
      </c>
      <c r="C264" s="2" t="s">
        <v>29</v>
      </c>
      <c r="D264" s="3" t="s">
        <v>16</v>
      </c>
      <c r="E264" s="3" t="s">
        <v>17</v>
      </c>
      <c r="F264" s="3" t="s">
        <v>18</v>
      </c>
      <c r="G264" s="3" t="s">
        <v>19</v>
      </c>
      <c r="H264" s="4" t="s">
        <v>19</v>
      </c>
      <c r="I264" s="1" t="s">
        <v>1265</v>
      </c>
      <c r="J264" s="1" t="s">
        <v>1266</v>
      </c>
      <c r="K264" s="1" t="s">
        <v>1267</v>
      </c>
      <c r="L264" s="3" t="str">
        <f t="shared" si="1"/>
        <v>Outstanding</v>
      </c>
      <c r="M264" s="11" t="s">
        <v>19</v>
      </c>
    </row>
    <row r="265" spans="1:13" ht="60" customHeight="1" x14ac:dyDescent="0.35">
      <c r="A265" s="9" t="s">
        <v>1268</v>
      </c>
      <c r="B265" s="1" t="s">
        <v>1269</v>
      </c>
      <c r="C265" s="2" t="s">
        <v>15</v>
      </c>
      <c r="D265" s="3" t="s">
        <v>16</v>
      </c>
      <c r="E265" s="3" t="s">
        <v>17</v>
      </c>
      <c r="F265" s="3" t="s">
        <v>18</v>
      </c>
      <c r="G265" s="3" t="s">
        <v>19</v>
      </c>
      <c r="H265" s="4" t="s">
        <v>19</v>
      </c>
      <c r="I265" s="1" t="s">
        <v>1270</v>
      </c>
      <c r="J265" s="1" t="s">
        <v>1271</v>
      </c>
      <c r="K265" s="1" t="s">
        <v>1272</v>
      </c>
      <c r="L265" s="3" t="str">
        <f t="shared" si="1"/>
        <v>Outstanding</v>
      </c>
      <c r="M265" s="11" t="s">
        <v>19</v>
      </c>
    </row>
    <row r="266" spans="1:13" ht="60" customHeight="1" x14ac:dyDescent="0.35">
      <c r="A266" s="9" t="s">
        <v>1273</v>
      </c>
      <c r="B266" s="1" t="s">
        <v>1274</v>
      </c>
      <c r="C266" s="2" t="s">
        <v>15</v>
      </c>
      <c r="D266" s="3" t="s">
        <v>16</v>
      </c>
      <c r="E266" s="3" t="s">
        <v>17</v>
      </c>
      <c r="F266" s="3" t="s">
        <v>18</v>
      </c>
      <c r="G266" s="3" t="s">
        <v>19</v>
      </c>
      <c r="H266" s="4" t="s">
        <v>19</v>
      </c>
      <c r="I266" s="1" t="s">
        <v>1275</v>
      </c>
      <c r="J266" s="1" t="s">
        <v>1271</v>
      </c>
      <c r="K266" s="1" t="s">
        <v>1276</v>
      </c>
      <c r="L266" s="3" t="str">
        <f t="shared" si="1"/>
        <v>Outstanding</v>
      </c>
      <c r="M266" s="11" t="s">
        <v>19</v>
      </c>
    </row>
    <row r="267" spans="1:13" ht="60" customHeight="1" x14ac:dyDescent="0.35">
      <c r="A267" s="9" t="s">
        <v>1277</v>
      </c>
      <c r="B267" s="1" t="s">
        <v>1278</v>
      </c>
      <c r="C267" s="2" t="s">
        <v>155</v>
      </c>
      <c r="D267" s="3" t="s">
        <v>16</v>
      </c>
      <c r="E267" s="3" t="s">
        <v>17</v>
      </c>
      <c r="F267" s="3" t="s">
        <v>18</v>
      </c>
      <c r="G267" s="3" t="s">
        <v>19</v>
      </c>
      <c r="H267" s="4" t="s">
        <v>19</v>
      </c>
      <c r="I267" s="1" t="s">
        <v>1279</v>
      </c>
      <c r="J267" s="1" t="s">
        <v>1280</v>
      </c>
      <c r="K267" s="1" t="s">
        <v>1281</v>
      </c>
      <c r="L267" s="3" t="str">
        <f t="shared" si="1"/>
        <v>Outstanding</v>
      </c>
      <c r="M267" s="11" t="s">
        <v>19</v>
      </c>
    </row>
    <row r="268" spans="1:13" ht="60" customHeight="1" x14ac:dyDescent="0.35">
      <c r="A268" s="9" t="s">
        <v>1282</v>
      </c>
      <c r="B268" s="1" t="s">
        <v>1283</v>
      </c>
      <c r="C268" s="2" t="s">
        <v>29</v>
      </c>
      <c r="D268" s="3" t="s">
        <v>16</v>
      </c>
      <c r="E268" s="3" t="s">
        <v>17</v>
      </c>
      <c r="F268" s="3" t="s">
        <v>18</v>
      </c>
      <c r="G268" s="3" t="s">
        <v>19</v>
      </c>
      <c r="H268" s="4" t="s">
        <v>19</v>
      </c>
      <c r="I268" s="1" t="s">
        <v>1284</v>
      </c>
      <c r="J268" s="1" t="s">
        <v>1285</v>
      </c>
      <c r="K268" s="1" t="s">
        <v>1286</v>
      </c>
      <c r="L268" s="3" t="str">
        <f t="shared" si="1"/>
        <v>Outstanding</v>
      </c>
      <c r="M268" s="11" t="s">
        <v>19</v>
      </c>
    </row>
    <row r="269" spans="1:13" ht="60" customHeight="1" x14ac:dyDescent="0.35">
      <c r="A269" s="9" t="s">
        <v>1287</v>
      </c>
      <c r="B269" s="1" t="s">
        <v>1288</v>
      </c>
      <c r="C269" s="2" t="s">
        <v>15</v>
      </c>
      <c r="D269" s="3" t="s">
        <v>16</v>
      </c>
      <c r="E269" s="3" t="s">
        <v>17</v>
      </c>
      <c r="F269" s="3" t="s">
        <v>18</v>
      </c>
      <c r="G269" s="3" t="s">
        <v>19</v>
      </c>
      <c r="H269" s="4" t="s">
        <v>19</v>
      </c>
      <c r="I269" s="1" t="s">
        <v>1289</v>
      </c>
      <c r="J269" s="1" t="s">
        <v>1290</v>
      </c>
      <c r="K269" s="1" t="s">
        <v>1291</v>
      </c>
      <c r="L269" s="3" t="str">
        <f t="shared" si="1"/>
        <v>Outstanding</v>
      </c>
      <c r="M269" s="11" t="s">
        <v>19</v>
      </c>
    </row>
    <row r="270" spans="1:13" ht="60" customHeight="1" x14ac:dyDescent="0.35">
      <c r="A270" s="9" t="s">
        <v>1292</v>
      </c>
      <c r="B270" s="1" t="s">
        <v>1293</v>
      </c>
      <c r="C270" s="2" t="s">
        <v>15</v>
      </c>
      <c r="D270" s="3" t="s">
        <v>16</v>
      </c>
      <c r="E270" s="3" t="s">
        <v>17</v>
      </c>
      <c r="F270" s="3" t="s">
        <v>18</v>
      </c>
      <c r="G270" s="3" t="s">
        <v>19</v>
      </c>
      <c r="H270" s="4" t="s">
        <v>19</v>
      </c>
      <c r="I270" s="1" t="s">
        <v>1294</v>
      </c>
      <c r="J270" s="1" t="s">
        <v>1295</v>
      </c>
      <c r="K270" s="1" t="s">
        <v>1296</v>
      </c>
      <c r="L270" s="3" t="str">
        <f t="shared" si="1"/>
        <v>Outstanding</v>
      </c>
      <c r="M270" s="11" t="s">
        <v>19</v>
      </c>
    </row>
    <row r="271" spans="1:13" ht="60" customHeight="1" x14ac:dyDescent="0.35">
      <c r="A271" s="9" t="s">
        <v>1297</v>
      </c>
      <c r="B271" s="1" t="s">
        <v>1298</v>
      </c>
      <c r="C271" s="2" t="s">
        <v>15</v>
      </c>
      <c r="D271" s="3" t="s">
        <v>16</v>
      </c>
      <c r="E271" s="3" t="s">
        <v>17</v>
      </c>
      <c r="F271" s="3" t="s">
        <v>18</v>
      </c>
      <c r="G271" s="3" t="s">
        <v>19</v>
      </c>
      <c r="H271" s="4" t="s">
        <v>19</v>
      </c>
      <c r="I271" s="1" t="s">
        <v>1299</v>
      </c>
      <c r="J271" s="1" t="s">
        <v>1300</v>
      </c>
      <c r="K271" s="1" t="s">
        <v>1301</v>
      </c>
      <c r="L271" s="3" t="str">
        <f t="shared" si="1"/>
        <v>Outstanding</v>
      </c>
      <c r="M271" s="11" t="s">
        <v>19</v>
      </c>
    </row>
    <row r="272" spans="1:13" ht="60" customHeight="1" x14ac:dyDescent="0.35">
      <c r="A272" s="9" t="s">
        <v>1302</v>
      </c>
      <c r="B272" s="1" t="s">
        <v>1303</v>
      </c>
      <c r="C272" s="2" t="s">
        <v>15</v>
      </c>
      <c r="D272" s="3" t="s">
        <v>16</v>
      </c>
      <c r="E272" s="3" t="s">
        <v>17</v>
      </c>
      <c r="F272" s="3" t="s">
        <v>18</v>
      </c>
      <c r="G272" s="3" t="s">
        <v>19</v>
      </c>
      <c r="H272" s="4" t="s">
        <v>19</v>
      </c>
      <c r="I272" s="1" t="s">
        <v>1304</v>
      </c>
      <c r="J272" s="1" t="s">
        <v>1305</v>
      </c>
      <c r="K272" s="1" t="s">
        <v>1306</v>
      </c>
      <c r="L272" s="3" t="str">
        <f t="shared" si="1"/>
        <v>Outstanding</v>
      </c>
      <c r="M272" s="11" t="s">
        <v>19</v>
      </c>
    </row>
    <row r="273" spans="1:13" ht="60" customHeight="1" x14ac:dyDescent="0.35">
      <c r="A273" s="9" t="s">
        <v>1307</v>
      </c>
      <c r="B273" s="1" t="s">
        <v>1308</v>
      </c>
      <c r="C273" s="2" t="s">
        <v>155</v>
      </c>
      <c r="D273" s="3" t="s">
        <v>16</v>
      </c>
      <c r="E273" s="3" t="s">
        <v>17</v>
      </c>
      <c r="F273" s="3" t="s">
        <v>18</v>
      </c>
      <c r="G273" s="3" t="s">
        <v>19</v>
      </c>
      <c r="H273" s="4" t="s">
        <v>19</v>
      </c>
      <c r="I273" s="1" t="s">
        <v>1309</v>
      </c>
      <c r="J273" s="1" t="s">
        <v>1310</v>
      </c>
      <c r="K273" s="1" t="s">
        <v>1311</v>
      </c>
      <c r="L273" s="3" t="str">
        <f t="shared" si="1"/>
        <v>Outstanding</v>
      </c>
      <c r="M273" s="11" t="s">
        <v>19</v>
      </c>
    </row>
    <row r="274" spans="1:13" ht="60" customHeight="1" x14ac:dyDescent="0.35">
      <c r="A274" s="9" t="s">
        <v>1312</v>
      </c>
      <c r="B274" s="1" t="s">
        <v>1313</v>
      </c>
      <c r="C274" s="2" t="s">
        <v>155</v>
      </c>
      <c r="D274" s="3" t="s">
        <v>16</v>
      </c>
      <c r="E274" s="3" t="s">
        <v>17</v>
      </c>
      <c r="F274" s="3" t="s">
        <v>18</v>
      </c>
      <c r="G274" s="3" t="s">
        <v>19</v>
      </c>
      <c r="H274" s="4" t="s">
        <v>19</v>
      </c>
      <c r="I274" s="1" t="s">
        <v>1314</v>
      </c>
      <c r="J274" s="1" t="s">
        <v>1315</v>
      </c>
      <c r="K274" s="1" t="s">
        <v>1316</v>
      </c>
      <c r="L274" s="3" t="str">
        <f t="shared" si="1"/>
        <v>Outstanding</v>
      </c>
      <c r="M274" s="11" t="s">
        <v>19</v>
      </c>
    </row>
    <row r="275" spans="1:13" ht="60" customHeight="1" x14ac:dyDescent="0.35">
      <c r="A275" s="9" t="s">
        <v>1317</v>
      </c>
      <c r="B275" s="1" t="s">
        <v>1318</v>
      </c>
      <c r="C275" s="2" t="s">
        <v>155</v>
      </c>
      <c r="D275" s="3" t="s">
        <v>16</v>
      </c>
      <c r="E275" s="3" t="s">
        <v>17</v>
      </c>
      <c r="F275" s="3" t="s">
        <v>18</v>
      </c>
      <c r="G275" s="3" t="s">
        <v>19</v>
      </c>
      <c r="H275" s="4" t="s">
        <v>19</v>
      </c>
      <c r="I275" s="1" t="s">
        <v>1319</v>
      </c>
      <c r="J275" s="1" t="s">
        <v>1320</v>
      </c>
      <c r="K275" s="1" t="s">
        <v>1321</v>
      </c>
      <c r="L275" s="3" t="str">
        <f t="shared" si="1"/>
        <v>Outstanding</v>
      </c>
      <c r="M275" s="11" t="s">
        <v>19</v>
      </c>
    </row>
    <row r="276" spans="1:13" ht="60" customHeight="1" x14ac:dyDescent="0.35">
      <c r="A276" s="9" t="s">
        <v>1322</v>
      </c>
      <c r="B276" s="1" t="s">
        <v>1323</v>
      </c>
      <c r="C276" s="2" t="s">
        <v>15</v>
      </c>
      <c r="D276" s="3" t="s">
        <v>16</v>
      </c>
      <c r="E276" s="3" t="s">
        <v>17</v>
      </c>
      <c r="F276" s="3" t="s">
        <v>18</v>
      </c>
      <c r="G276" s="3" t="s">
        <v>19</v>
      </c>
      <c r="H276" s="4" t="s">
        <v>19</v>
      </c>
      <c r="I276" s="1" t="s">
        <v>1324</v>
      </c>
      <c r="J276" s="1" t="s">
        <v>1325</v>
      </c>
      <c r="K276" s="1" t="s">
        <v>1326</v>
      </c>
      <c r="L276" s="3" t="str">
        <f t="shared" si="1"/>
        <v>Outstanding</v>
      </c>
      <c r="M276" s="11" t="s">
        <v>19</v>
      </c>
    </row>
    <row r="277" spans="1:13" ht="60" customHeight="1" x14ac:dyDescent="0.35">
      <c r="A277" s="9" t="s">
        <v>1327</v>
      </c>
      <c r="B277" s="1" t="s">
        <v>1328</v>
      </c>
      <c r="C277" s="2" t="s">
        <v>15</v>
      </c>
      <c r="D277" s="3" t="s">
        <v>16</v>
      </c>
      <c r="E277" s="3" t="s">
        <v>17</v>
      </c>
      <c r="F277" s="3" t="s">
        <v>18</v>
      </c>
      <c r="G277" s="3" t="s">
        <v>19</v>
      </c>
      <c r="H277" s="4" t="s">
        <v>19</v>
      </c>
      <c r="I277" s="1" t="s">
        <v>1329</v>
      </c>
      <c r="J277" s="1" t="s">
        <v>1330</v>
      </c>
      <c r="K277" s="1" t="s">
        <v>1331</v>
      </c>
      <c r="L277" s="3" t="str">
        <f t="shared" si="1"/>
        <v>Outstanding</v>
      </c>
      <c r="M277" s="11" t="s">
        <v>19</v>
      </c>
    </row>
    <row r="278" spans="1:13" ht="60" customHeight="1" x14ac:dyDescent="0.35">
      <c r="A278" s="9" t="s">
        <v>1332</v>
      </c>
      <c r="B278" s="1" t="s">
        <v>1333</v>
      </c>
      <c r="C278" s="2" t="s">
        <v>15</v>
      </c>
      <c r="D278" s="3" t="s">
        <v>16</v>
      </c>
      <c r="E278" s="3" t="s">
        <v>17</v>
      </c>
      <c r="F278" s="3" t="s">
        <v>18</v>
      </c>
      <c r="G278" s="3" t="s">
        <v>19</v>
      </c>
      <c r="H278" s="4" t="s">
        <v>19</v>
      </c>
      <c r="I278" s="1" t="s">
        <v>1334</v>
      </c>
      <c r="J278" s="1" t="s">
        <v>1335</v>
      </c>
      <c r="K278" s="1" t="s">
        <v>1336</v>
      </c>
      <c r="L278" s="3" t="str">
        <f t="shared" si="1"/>
        <v>Outstanding</v>
      </c>
      <c r="M278" s="11" t="s">
        <v>19</v>
      </c>
    </row>
    <row r="279" spans="1:13" ht="60" customHeight="1" x14ac:dyDescent="0.35">
      <c r="A279" s="9" t="s">
        <v>1337</v>
      </c>
      <c r="B279" s="1" t="s">
        <v>1338</v>
      </c>
      <c r="C279" s="2" t="s">
        <v>15</v>
      </c>
      <c r="D279" s="3" t="s">
        <v>16</v>
      </c>
      <c r="E279" s="3" t="s">
        <v>17</v>
      </c>
      <c r="F279" s="3" t="s">
        <v>18</v>
      </c>
      <c r="G279" s="3" t="s">
        <v>19</v>
      </c>
      <c r="H279" s="4" t="s">
        <v>19</v>
      </c>
      <c r="I279" s="1" t="s">
        <v>1339</v>
      </c>
      <c r="J279" s="1" t="s">
        <v>1340</v>
      </c>
      <c r="K279" s="1" t="s">
        <v>1341</v>
      </c>
      <c r="L279" s="3" t="str">
        <f t="shared" si="1"/>
        <v>Outstanding</v>
      </c>
      <c r="M279" s="11" t="s">
        <v>19</v>
      </c>
    </row>
    <row r="280" spans="1:13" ht="60" customHeight="1" x14ac:dyDescent="0.35">
      <c r="A280" s="9" t="s">
        <v>1342</v>
      </c>
      <c r="B280" s="1" t="s">
        <v>1343</v>
      </c>
      <c r="C280" s="2" t="s">
        <v>15</v>
      </c>
      <c r="D280" s="3" t="s">
        <v>16</v>
      </c>
      <c r="E280" s="3" t="s">
        <v>17</v>
      </c>
      <c r="F280" s="3" t="s">
        <v>18</v>
      </c>
      <c r="G280" s="3" t="s">
        <v>19</v>
      </c>
      <c r="H280" s="4" t="s">
        <v>19</v>
      </c>
      <c r="I280" s="1" t="s">
        <v>1344</v>
      </c>
      <c r="J280" s="1" t="s">
        <v>1345</v>
      </c>
      <c r="K280" s="1" t="s">
        <v>1346</v>
      </c>
      <c r="L280" s="3" t="str">
        <f t="shared" si="1"/>
        <v>Outstanding</v>
      </c>
      <c r="M280" s="11" t="s">
        <v>19</v>
      </c>
    </row>
    <row r="281" spans="1:13" ht="60" customHeight="1" x14ac:dyDescent="0.35">
      <c r="A281" s="9" t="s">
        <v>1347</v>
      </c>
      <c r="B281" s="1" t="s">
        <v>1348</v>
      </c>
      <c r="C281" s="2" t="s">
        <v>15</v>
      </c>
      <c r="D281" s="3" t="s">
        <v>16</v>
      </c>
      <c r="E281" s="3" t="s">
        <v>17</v>
      </c>
      <c r="F281" s="3" t="s">
        <v>18</v>
      </c>
      <c r="G281" s="3" t="s">
        <v>19</v>
      </c>
      <c r="H281" s="4" t="s">
        <v>19</v>
      </c>
      <c r="I281" s="1" t="s">
        <v>1349</v>
      </c>
      <c r="J281" s="1" t="s">
        <v>1345</v>
      </c>
      <c r="K281" s="1" t="s">
        <v>1350</v>
      </c>
      <c r="L281" s="3" t="str">
        <f t="shared" si="1"/>
        <v>Outstanding</v>
      </c>
      <c r="M281" s="11" t="s">
        <v>19</v>
      </c>
    </row>
    <row r="282" spans="1:13" ht="60" customHeight="1" x14ac:dyDescent="0.35">
      <c r="A282" s="9" t="s">
        <v>1351</v>
      </c>
      <c r="B282" s="1" t="s">
        <v>1352</v>
      </c>
      <c r="C282" s="2" t="s">
        <v>15</v>
      </c>
      <c r="D282" s="3" t="s">
        <v>16</v>
      </c>
      <c r="E282" s="3" t="s">
        <v>17</v>
      </c>
      <c r="F282" s="3" t="s">
        <v>18</v>
      </c>
      <c r="G282" s="3" t="s">
        <v>19</v>
      </c>
      <c r="H282" s="4" t="s">
        <v>19</v>
      </c>
      <c r="I282" s="1" t="s">
        <v>1353</v>
      </c>
      <c r="J282" s="1" t="s">
        <v>1354</v>
      </c>
      <c r="K282" s="1" t="s">
        <v>1355</v>
      </c>
      <c r="L282" s="3" t="str">
        <f t="shared" si="1"/>
        <v>Outstanding</v>
      </c>
      <c r="M282" s="11" t="s">
        <v>19</v>
      </c>
    </row>
    <row r="283" spans="1:13" ht="60" customHeight="1" x14ac:dyDescent="0.35">
      <c r="A283" s="9" t="s">
        <v>1356</v>
      </c>
      <c r="B283" s="1" t="s">
        <v>1357</v>
      </c>
      <c r="C283" s="2" t="s">
        <v>15</v>
      </c>
      <c r="D283" s="3" t="s">
        <v>16</v>
      </c>
      <c r="E283" s="3" t="s">
        <v>17</v>
      </c>
      <c r="F283" s="3" t="s">
        <v>18</v>
      </c>
      <c r="G283" s="3" t="s">
        <v>19</v>
      </c>
      <c r="H283" s="4" t="s">
        <v>19</v>
      </c>
      <c r="I283" s="1" t="s">
        <v>1358</v>
      </c>
      <c r="J283" s="1" t="s">
        <v>1359</v>
      </c>
      <c r="K283" s="1" t="s">
        <v>1360</v>
      </c>
      <c r="L283" s="3" t="str">
        <f t="shared" si="1"/>
        <v>Outstanding</v>
      </c>
      <c r="M283" s="11" t="s">
        <v>19</v>
      </c>
    </row>
    <row r="284" spans="1:13" ht="60" customHeight="1" x14ac:dyDescent="0.35">
      <c r="A284" s="9" t="s">
        <v>1361</v>
      </c>
      <c r="B284" s="1" t="s">
        <v>1362</v>
      </c>
      <c r="C284" s="2" t="s">
        <v>15</v>
      </c>
      <c r="D284" s="3" t="s">
        <v>16</v>
      </c>
      <c r="E284" s="3" t="s">
        <v>17</v>
      </c>
      <c r="F284" s="3" t="s">
        <v>18</v>
      </c>
      <c r="G284" s="3" t="s">
        <v>19</v>
      </c>
      <c r="H284" s="4" t="s">
        <v>19</v>
      </c>
      <c r="I284" s="1" t="s">
        <v>1363</v>
      </c>
      <c r="J284" s="1" t="s">
        <v>1364</v>
      </c>
      <c r="K284" s="1" t="s">
        <v>1365</v>
      </c>
      <c r="L284" s="3" t="str">
        <f t="shared" si="1"/>
        <v>Outstanding</v>
      </c>
      <c r="M284" s="11" t="s">
        <v>19</v>
      </c>
    </row>
    <row r="285" spans="1:13" ht="60" customHeight="1" x14ac:dyDescent="0.35">
      <c r="A285" s="9" t="s">
        <v>1366</v>
      </c>
      <c r="B285" s="1" t="s">
        <v>1367</v>
      </c>
      <c r="C285" s="2" t="s">
        <v>15</v>
      </c>
      <c r="D285" s="3" t="s">
        <v>16</v>
      </c>
      <c r="E285" s="3" t="s">
        <v>17</v>
      </c>
      <c r="F285" s="3" t="s">
        <v>18</v>
      </c>
      <c r="G285" s="3" t="s">
        <v>19</v>
      </c>
      <c r="H285" s="4" t="s">
        <v>19</v>
      </c>
      <c r="I285" s="1" t="s">
        <v>1368</v>
      </c>
      <c r="J285" s="1" t="s">
        <v>1364</v>
      </c>
      <c r="K285" s="1" t="s">
        <v>1369</v>
      </c>
      <c r="L285" s="3" t="str">
        <f t="shared" si="1"/>
        <v>Outstanding</v>
      </c>
      <c r="M285" s="11" t="s">
        <v>19</v>
      </c>
    </row>
    <row r="286" spans="1:13" ht="60" customHeight="1" x14ac:dyDescent="0.35">
      <c r="A286" s="9" t="s">
        <v>1370</v>
      </c>
      <c r="B286" s="1" t="s">
        <v>1371</v>
      </c>
      <c r="C286" s="2" t="s">
        <v>15</v>
      </c>
      <c r="D286" s="3" t="s">
        <v>16</v>
      </c>
      <c r="E286" s="3" t="s">
        <v>17</v>
      </c>
      <c r="F286" s="3" t="s">
        <v>18</v>
      </c>
      <c r="G286" s="3" t="s">
        <v>19</v>
      </c>
      <c r="H286" s="4" t="s">
        <v>19</v>
      </c>
      <c r="I286" s="1" t="s">
        <v>1372</v>
      </c>
      <c r="J286" s="1" t="s">
        <v>1364</v>
      </c>
      <c r="K286" s="1" t="s">
        <v>1373</v>
      </c>
      <c r="L286" s="3" t="str">
        <f t="shared" si="1"/>
        <v>Outstanding</v>
      </c>
      <c r="M286" s="11" t="s">
        <v>19</v>
      </c>
    </row>
    <row r="287" spans="1:13" ht="60" customHeight="1" x14ac:dyDescent="0.35">
      <c r="A287" s="9" t="s">
        <v>1374</v>
      </c>
      <c r="B287" s="1" t="s">
        <v>1375</v>
      </c>
      <c r="C287" s="2" t="s">
        <v>15</v>
      </c>
      <c r="D287" s="3" t="s">
        <v>16</v>
      </c>
      <c r="E287" s="3" t="s">
        <v>17</v>
      </c>
      <c r="F287" s="3" t="s">
        <v>18</v>
      </c>
      <c r="G287" s="3" t="s">
        <v>19</v>
      </c>
      <c r="H287" s="4" t="s">
        <v>19</v>
      </c>
      <c r="I287" s="1" t="s">
        <v>1376</v>
      </c>
      <c r="J287" s="1" t="s">
        <v>1364</v>
      </c>
      <c r="K287" s="1" t="s">
        <v>1377</v>
      </c>
      <c r="L287" s="3" t="str">
        <f t="shared" si="1"/>
        <v>Outstanding</v>
      </c>
      <c r="M287" s="11" t="s">
        <v>19</v>
      </c>
    </row>
    <row r="288" spans="1:13" ht="60" customHeight="1" x14ac:dyDescent="0.35">
      <c r="A288" s="9" t="s">
        <v>1378</v>
      </c>
      <c r="B288" s="1" t="s">
        <v>1379</v>
      </c>
      <c r="C288" s="2" t="s">
        <v>15</v>
      </c>
      <c r="D288" s="3" t="s">
        <v>16</v>
      </c>
      <c r="E288" s="3" t="s">
        <v>17</v>
      </c>
      <c r="F288" s="3" t="s">
        <v>18</v>
      </c>
      <c r="G288" s="3" t="s">
        <v>19</v>
      </c>
      <c r="H288" s="4" t="s">
        <v>19</v>
      </c>
      <c r="I288" s="1" t="s">
        <v>1380</v>
      </c>
      <c r="J288" s="1" t="s">
        <v>1364</v>
      </c>
      <c r="K288" s="1" t="s">
        <v>1381</v>
      </c>
      <c r="L288" s="3" t="str">
        <f t="shared" si="1"/>
        <v>Outstanding</v>
      </c>
      <c r="M288" s="11" t="s">
        <v>19</v>
      </c>
    </row>
    <row r="289" spans="1:13" ht="60" customHeight="1" x14ac:dyDescent="0.35">
      <c r="A289" s="9" t="s">
        <v>1382</v>
      </c>
      <c r="B289" s="1" t="s">
        <v>1383</v>
      </c>
      <c r="C289" s="2" t="s">
        <v>15</v>
      </c>
      <c r="D289" s="3" t="s">
        <v>16</v>
      </c>
      <c r="E289" s="3" t="s">
        <v>17</v>
      </c>
      <c r="F289" s="3" t="s">
        <v>18</v>
      </c>
      <c r="G289" s="3" t="s">
        <v>19</v>
      </c>
      <c r="H289" s="4" t="s">
        <v>19</v>
      </c>
      <c r="I289" s="1" t="s">
        <v>1384</v>
      </c>
      <c r="J289" s="1" t="s">
        <v>1364</v>
      </c>
      <c r="K289" s="1" t="s">
        <v>1385</v>
      </c>
      <c r="L289" s="3" t="str">
        <f t="shared" si="1"/>
        <v>Outstanding</v>
      </c>
      <c r="M289" s="11" t="s">
        <v>19</v>
      </c>
    </row>
    <row r="290" spans="1:13" ht="60" customHeight="1" x14ac:dyDescent="0.35">
      <c r="A290" s="9" t="s">
        <v>1386</v>
      </c>
      <c r="B290" s="1" t="s">
        <v>1387</v>
      </c>
      <c r="C290" s="2" t="s">
        <v>15</v>
      </c>
      <c r="D290" s="3" t="s">
        <v>16</v>
      </c>
      <c r="E290" s="3" t="s">
        <v>17</v>
      </c>
      <c r="F290" s="3" t="s">
        <v>18</v>
      </c>
      <c r="G290" s="3" t="s">
        <v>19</v>
      </c>
      <c r="H290" s="4" t="s">
        <v>19</v>
      </c>
      <c r="I290" s="1" t="s">
        <v>1388</v>
      </c>
      <c r="J290" s="1" t="s">
        <v>1364</v>
      </c>
      <c r="K290" s="1" t="s">
        <v>1389</v>
      </c>
      <c r="L290" s="3" t="str">
        <f t="shared" si="1"/>
        <v>Outstanding</v>
      </c>
      <c r="M290" s="11" t="s">
        <v>19</v>
      </c>
    </row>
    <row r="291" spans="1:13" ht="60" customHeight="1" x14ac:dyDescent="0.35">
      <c r="A291" s="9" t="s">
        <v>1390</v>
      </c>
      <c r="B291" s="1" t="s">
        <v>1391</v>
      </c>
      <c r="C291" s="2" t="s">
        <v>15</v>
      </c>
      <c r="D291" s="3" t="s">
        <v>16</v>
      </c>
      <c r="E291" s="3" t="s">
        <v>17</v>
      </c>
      <c r="F291" s="3" t="s">
        <v>18</v>
      </c>
      <c r="G291" s="3" t="s">
        <v>19</v>
      </c>
      <c r="H291" s="4" t="s">
        <v>19</v>
      </c>
      <c r="I291" s="1" t="s">
        <v>1392</v>
      </c>
      <c r="J291" s="1" t="s">
        <v>1364</v>
      </c>
      <c r="K291" s="1" t="s">
        <v>1393</v>
      </c>
      <c r="L291" s="3" t="str">
        <f t="shared" si="1"/>
        <v>Outstanding</v>
      </c>
      <c r="M291" s="11" t="s">
        <v>19</v>
      </c>
    </row>
    <row r="292" spans="1:13" ht="60" customHeight="1" x14ac:dyDescent="0.35">
      <c r="A292" s="9" t="s">
        <v>1394</v>
      </c>
      <c r="B292" s="1" t="s">
        <v>1395</v>
      </c>
      <c r="C292" s="2" t="s">
        <v>15</v>
      </c>
      <c r="D292" s="3" t="s">
        <v>16</v>
      </c>
      <c r="E292" s="3" t="s">
        <v>17</v>
      </c>
      <c r="F292" s="3" t="s">
        <v>18</v>
      </c>
      <c r="G292" s="3" t="s">
        <v>19</v>
      </c>
      <c r="H292" s="4" t="s">
        <v>19</v>
      </c>
      <c r="I292" s="1" t="s">
        <v>1396</v>
      </c>
      <c r="J292" s="1" t="s">
        <v>1364</v>
      </c>
      <c r="K292" s="1" t="s">
        <v>1397</v>
      </c>
      <c r="L292" s="3" t="str">
        <f t="shared" si="1"/>
        <v>Outstanding</v>
      </c>
      <c r="M292" s="11" t="s">
        <v>19</v>
      </c>
    </row>
    <row r="293" spans="1:13" ht="60" customHeight="1" x14ac:dyDescent="0.35">
      <c r="A293" s="9" t="s">
        <v>1398</v>
      </c>
      <c r="B293" s="1" t="s">
        <v>1399</v>
      </c>
      <c r="C293" s="2" t="s">
        <v>15</v>
      </c>
      <c r="D293" s="3" t="s">
        <v>16</v>
      </c>
      <c r="E293" s="3" t="s">
        <v>17</v>
      </c>
      <c r="F293" s="3" t="s">
        <v>18</v>
      </c>
      <c r="G293" s="3" t="s">
        <v>19</v>
      </c>
      <c r="H293" s="4" t="s">
        <v>19</v>
      </c>
      <c r="I293" s="1" t="s">
        <v>1400</v>
      </c>
      <c r="J293" s="1" t="s">
        <v>1364</v>
      </c>
      <c r="K293" s="1" t="s">
        <v>1401</v>
      </c>
      <c r="L293" s="3" t="str">
        <f t="shared" si="1"/>
        <v>Outstanding</v>
      </c>
      <c r="M293" s="11" t="s">
        <v>19</v>
      </c>
    </row>
    <row r="294" spans="1:13" ht="60" customHeight="1" x14ac:dyDescent="0.35">
      <c r="A294" s="9" t="s">
        <v>1402</v>
      </c>
      <c r="B294" s="1" t="s">
        <v>1403</v>
      </c>
      <c r="C294" s="2" t="s">
        <v>15</v>
      </c>
      <c r="D294" s="3" t="s">
        <v>16</v>
      </c>
      <c r="E294" s="3" t="s">
        <v>17</v>
      </c>
      <c r="F294" s="3" t="s">
        <v>18</v>
      </c>
      <c r="G294" s="3" t="s">
        <v>19</v>
      </c>
      <c r="H294" s="4" t="s">
        <v>19</v>
      </c>
      <c r="I294" s="1" t="s">
        <v>1404</v>
      </c>
      <c r="J294" s="1" t="s">
        <v>1364</v>
      </c>
      <c r="K294" s="1" t="s">
        <v>1405</v>
      </c>
      <c r="L294" s="3" t="str">
        <f t="shared" si="1"/>
        <v>Outstanding</v>
      </c>
      <c r="M294" s="11" t="s">
        <v>19</v>
      </c>
    </row>
    <row r="295" spans="1:13" ht="60" customHeight="1" x14ac:dyDescent="0.35">
      <c r="A295" s="9" t="s">
        <v>1406</v>
      </c>
      <c r="B295" s="1" t="s">
        <v>1407</v>
      </c>
      <c r="C295" s="2" t="s">
        <v>15</v>
      </c>
      <c r="D295" s="3" t="s">
        <v>16</v>
      </c>
      <c r="E295" s="3" t="s">
        <v>17</v>
      </c>
      <c r="F295" s="3" t="s">
        <v>18</v>
      </c>
      <c r="G295" s="3" t="s">
        <v>19</v>
      </c>
      <c r="H295" s="4" t="s">
        <v>19</v>
      </c>
      <c r="I295" s="1" t="s">
        <v>1408</v>
      </c>
      <c r="J295" s="1" t="s">
        <v>1364</v>
      </c>
      <c r="K295" s="1" t="s">
        <v>1409</v>
      </c>
      <c r="L295" s="3" t="str">
        <f t="shared" si="1"/>
        <v>Outstanding</v>
      </c>
      <c r="M295" s="11" t="s">
        <v>19</v>
      </c>
    </row>
    <row r="296" spans="1:13" ht="60" customHeight="1" x14ac:dyDescent="0.35">
      <c r="A296" s="9" t="s">
        <v>1410</v>
      </c>
      <c r="B296" s="1" t="s">
        <v>1411</v>
      </c>
      <c r="C296" s="2" t="s">
        <v>15</v>
      </c>
      <c r="D296" s="3" t="s">
        <v>16</v>
      </c>
      <c r="E296" s="3" t="s">
        <v>17</v>
      </c>
      <c r="F296" s="3" t="s">
        <v>18</v>
      </c>
      <c r="G296" s="3" t="s">
        <v>19</v>
      </c>
      <c r="H296" s="4" t="s">
        <v>19</v>
      </c>
      <c r="I296" s="1" t="s">
        <v>1412</v>
      </c>
      <c r="J296" s="1" t="s">
        <v>1364</v>
      </c>
      <c r="K296" s="1" t="s">
        <v>1413</v>
      </c>
      <c r="L296" s="3" t="str">
        <f t="shared" si="1"/>
        <v>Outstanding</v>
      </c>
      <c r="M296" s="11" t="s">
        <v>19</v>
      </c>
    </row>
    <row r="297" spans="1:13" ht="60" customHeight="1" x14ac:dyDescent="0.35">
      <c r="A297" s="9" t="s">
        <v>1414</v>
      </c>
      <c r="B297" s="1" t="s">
        <v>1415</v>
      </c>
      <c r="C297" s="2" t="s">
        <v>15</v>
      </c>
      <c r="D297" s="3" t="s">
        <v>16</v>
      </c>
      <c r="E297" s="3" t="s">
        <v>17</v>
      </c>
      <c r="F297" s="3" t="s">
        <v>18</v>
      </c>
      <c r="G297" s="3" t="s">
        <v>19</v>
      </c>
      <c r="H297" s="4" t="s">
        <v>19</v>
      </c>
      <c r="I297" s="1" t="s">
        <v>1416</v>
      </c>
      <c r="J297" s="1" t="s">
        <v>1364</v>
      </c>
      <c r="K297" s="1" t="s">
        <v>1417</v>
      </c>
      <c r="L297" s="3" t="str">
        <f t="shared" si="1"/>
        <v>Outstanding</v>
      </c>
      <c r="M297" s="11" t="s">
        <v>19</v>
      </c>
    </row>
    <row r="298" spans="1:13" ht="60" customHeight="1" x14ac:dyDescent="0.35">
      <c r="A298" s="9" t="s">
        <v>1418</v>
      </c>
      <c r="B298" s="1" t="s">
        <v>1419</v>
      </c>
      <c r="C298" s="2" t="s">
        <v>15</v>
      </c>
      <c r="D298" s="3" t="s">
        <v>16</v>
      </c>
      <c r="E298" s="3" t="s">
        <v>17</v>
      </c>
      <c r="F298" s="3" t="s">
        <v>18</v>
      </c>
      <c r="G298" s="3" t="s">
        <v>19</v>
      </c>
      <c r="H298" s="4" t="s">
        <v>19</v>
      </c>
      <c r="I298" s="1" t="s">
        <v>1420</v>
      </c>
      <c r="J298" s="1" t="s">
        <v>1364</v>
      </c>
      <c r="K298" s="1" t="s">
        <v>1421</v>
      </c>
      <c r="L298" s="3" t="str">
        <f t="shared" si="1"/>
        <v>Outstanding</v>
      </c>
      <c r="M298" s="11" t="s">
        <v>19</v>
      </c>
    </row>
    <row r="299" spans="1:13" ht="60" customHeight="1" x14ac:dyDescent="0.35">
      <c r="A299" s="9" t="s">
        <v>1422</v>
      </c>
      <c r="B299" s="1" t="s">
        <v>1423</v>
      </c>
      <c r="C299" s="2" t="s">
        <v>15</v>
      </c>
      <c r="D299" s="3" t="s">
        <v>16</v>
      </c>
      <c r="E299" s="3" t="s">
        <v>17</v>
      </c>
      <c r="F299" s="3" t="s">
        <v>18</v>
      </c>
      <c r="G299" s="3" t="s">
        <v>19</v>
      </c>
      <c r="H299" s="4" t="s">
        <v>19</v>
      </c>
      <c r="I299" s="1" t="s">
        <v>1424</v>
      </c>
      <c r="J299" s="1" t="s">
        <v>1425</v>
      </c>
      <c r="K299" s="1" t="s">
        <v>1426</v>
      </c>
      <c r="L299" s="3" t="str">
        <f t="shared" si="1"/>
        <v>Outstanding</v>
      </c>
      <c r="M299" s="11" t="s">
        <v>19</v>
      </c>
    </row>
    <row r="300" spans="1:13" ht="60" customHeight="1" x14ac:dyDescent="0.35">
      <c r="A300" s="9" t="s">
        <v>1427</v>
      </c>
      <c r="B300" s="1" t="s">
        <v>1428</v>
      </c>
      <c r="C300" s="2" t="s">
        <v>15</v>
      </c>
      <c r="D300" s="3" t="s">
        <v>16</v>
      </c>
      <c r="E300" s="3" t="s">
        <v>17</v>
      </c>
      <c r="F300" s="3" t="s">
        <v>18</v>
      </c>
      <c r="G300" s="3" t="s">
        <v>19</v>
      </c>
      <c r="H300" s="4" t="s">
        <v>19</v>
      </c>
      <c r="I300" s="1" t="s">
        <v>1429</v>
      </c>
      <c r="J300" s="1" t="s">
        <v>1425</v>
      </c>
      <c r="K300" s="1" t="s">
        <v>1430</v>
      </c>
      <c r="L300" s="3" t="str">
        <f t="shared" si="1"/>
        <v>Outstanding</v>
      </c>
      <c r="M300" s="11" t="s">
        <v>19</v>
      </c>
    </row>
    <row r="301" spans="1:13" ht="60" customHeight="1" x14ac:dyDescent="0.35">
      <c r="A301" s="9" t="s">
        <v>1431</v>
      </c>
      <c r="B301" s="1" t="s">
        <v>1432</v>
      </c>
      <c r="C301" s="2" t="s">
        <v>15</v>
      </c>
      <c r="D301" s="3" t="s">
        <v>16</v>
      </c>
      <c r="E301" s="3" t="s">
        <v>17</v>
      </c>
      <c r="F301" s="3" t="s">
        <v>18</v>
      </c>
      <c r="G301" s="3" t="s">
        <v>19</v>
      </c>
      <c r="H301" s="4" t="s">
        <v>19</v>
      </c>
      <c r="I301" s="1" t="s">
        <v>1433</v>
      </c>
      <c r="J301" s="1" t="s">
        <v>1425</v>
      </c>
      <c r="K301" s="1" t="s">
        <v>1434</v>
      </c>
      <c r="L301" s="3" t="str">
        <f t="shared" si="1"/>
        <v>Outstanding</v>
      </c>
      <c r="M301" s="11" t="s">
        <v>19</v>
      </c>
    </row>
    <row r="302" spans="1:13" ht="60" customHeight="1" x14ac:dyDescent="0.35">
      <c r="A302" s="9" t="s">
        <v>1435</v>
      </c>
      <c r="B302" s="1" t="s">
        <v>1436</v>
      </c>
      <c r="C302" s="2" t="s">
        <v>15</v>
      </c>
      <c r="D302" s="3" t="s">
        <v>16</v>
      </c>
      <c r="E302" s="3" t="s">
        <v>17</v>
      </c>
      <c r="F302" s="3" t="s">
        <v>18</v>
      </c>
      <c r="G302" s="3" t="s">
        <v>19</v>
      </c>
      <c r="H302" s="4" t="s">
        <v>19</v>
      </c>
      <c r="I302" s="1" t="s">
        <v>1437</v>
      </c>
      <c r="J302" s="1" t="s">
        <v>1438</v>
      </c>
      <c r="K302" s="1" t="s">
        <v>1439</v>
      </c>
      <c r="L302" s="3" t="str">
        <f t="shared" si="1"/>
        <v>Outstanding</v>
      </c>
      <c r="M302" s="11" t="s">
        <v>19</v>
      </c>
    </row>
    <row r="303" spans="1:13" ht="60" customHeight="1" x14ac:dyDescent="0.35">
      <c r="A303" s="9" t="s">
        <v>1440</v>
      </c>
      <c r="B303" s="1" t="s">
        <v>1441</v>
      </c>
      <c r="C303" s="2" t="s">
        <v>15</v>
      </c>
      <c r="D303" s="3" t="s">
        <v>16</v>
      </c>
      <c r="E303" s="3" t="s">
        <v>17</v>
      </c>
      <c r="F303" s="3" t="s">
        <v>18</v>
      </c>
      <c r="G303" s="3" t="s">
        <v>19</v>
      </c>
      <c r="H303" s="4" t="s">
        <v>19</v>
      </c>
      <c r="I303" s="1" t="s">
        <v>1442</v>
      </c>
      <c r="J303" s="1" t="s">
        <v>1443</v>
      </c>
      <c r="K303" s="1" t="s">
        <v>1444</v>
      </c>
      <c r="L303" s="3" t="str">
        <f t="shared" si="1"/>
        <v>Outstanding</v>
      </c>
      <c r="M303" s="11" t="s">
        <v>19</v>
      </c>
    </row>
    <row r="304" spans="1:13" ht="60" customHeight="1" x14ac:dyDescent="0.35">
      <c r="A304" s="9" t="s">
        <v>1445</v>
      </c>
      <c r="B304" s="1" t="s">
        <v>1446</v>
      </c>
      <c r="C304" s="2" t="s">
        <v>15</v>
      </c>
      <c r="D304" s="3" t="s">
        <v>16</v>
      </c>
      <c r="E304" s="3" t="s">
        <v>17</v>
      </c>
      <c r="F304" s="3" t="s">
        <v>18</v>
      </c>
      <c r="G304" s="3" t="s">
        <v>19</v>
      </c>
      <c r="H304" s="4" t="s">
        <v>19</v>
      </c>
      <c r="I304" s="1" t="s">
        <v>1447</v>
      </c>
      <c r="J304" s="1" t="s">
        <v>1438</v>
      </c>
      <c r="K304" s="1" t="s">
        <v>1448</v>
      </c>
      <c r="L304" s="3" t="str">
        <f t="shared" si="1"/>
        <v>Outstanding</v>
      </c>
      <c r="M304" s="11" t="s">
        <v>19</v>
      </c>
    </row>
    <row r="305" spans="1:13" ht="60" customHeight="1" x14ac:dyDescent="0.35">
      <c r="A305" s="9" t="s">
        <v>1449</v>
      </c>
      <c r="B305" s="1" t="s">
        <v>1450</v>
      </c>
      <c r="C305" s="2" t="s">
        <v>15</v>
      </c>
      <c r="D305" s="3" t="s">
        <v>16</v>
      </c>
      <c r="E305" s="3" t="s">
        <v>17</v>
      </c>
      <c r="F305" s="3" t="s">
        <v>18</v>
      </c>
      <c r="G305" s="3" t="s">
        <v>19</v>
      </c>
      <c r="H305" s="4" t="s">
        <v>19</v>
      </c>
      <c r="I305" s="1" t="s">
        <v>1451</v>
      </c>
      <c r="J305" s="1" t="s">
        <v>1452</v>
      </c>
      <c r="K305" s="1" t="s">
        <v>1453</v>
      </c>
      <c r="L305" s="3" t="str">
        <f t="shared" si="1"/>
        <v>Outstanding</v>
      </c>
      <c r="M305" s="11" t="s">
        <v>19</v>
      </c>
    </row>
    <row r="306" spans="1:13" ht="60" customHeight="1" x14ac:dyDescent="0.35">
      <c r="A306" s="9" t="s">
        <v>1454</v>
      </c>
      <c r="B306" s="1" t="s">
        <v>1455</v>
      </c>
      <c r="C306" s="2" t="s">
        <v>15</v>
      </c>
      <c r="D306" s="3" t="s">
        <v>16</v>
      </c>
      <c r="E306" s="3" t="s">
        <v>17</v>
      </c>
      <c r="F306" s="3" t="s">
        <v>18</v>
      </c>
      <c r="G306" s="3" t="s">
        <v>19</v>
      </c>
      <c r="H306" s="4" t="s">
        <v>19</v>
      </c>
      <c r="I306" s="1" t="s">
        <v>1456</v>
      </c>
      <c r="J306" s="1" t="s">
        <v>1457</v>
      </c>
      <c r="K306" s="1" t="s">
        <v>1458</v>
      </c>
      <c r="L306" s="3" t="str">
        <f t="shared" si="1"/>
        <v>Outstanding</v>
      </c>
      <c r="M306" s="11" t="s">
        <v>19</v>
      </c>
    </row>
    <row r="307" spans="1:13" ht="60" customHeight="1" x14ac:dyDescent="0.35">
      <c r="A307" s="9" t="s">
        <v>1459</v>
      </c>
      <c r="B307" s="1" t="s">
        <v>1460</v>
      </c>
      <c r="C307" s="2" t="s">
        <v>15</v>
      </c>
      <c r="D307" s="3" t="s">
        <v>16</v>
      </c>
      <c r="E307" s="3" t="s">
        <v>17</v>
      </c>
      <c r="F307" s="3" t="s">
        <v>18</v>
      </c>
      <c r="G307" s="3" t="s">
        <v>19</v>
      </c>
      <c r="H307" s="4" t="s">
        <v>19</v>
      </c>
      <c r="I307" s="1" t="s">
        <v>1461</v>
      </c>
      <c r="J307" s="1" t="s">
        <v>1457</v>
      </c>
      <c r="K307" s="1" t="s">
        <v>1462</v>
      </c>
      <c r="L307" s="3" t="str">
        <f t="shared" si="1"/>
        <v>Outstanding</v>
      </c>
      <c r="M307" s="11" t="s">
        <v>19</v>
      </c>
    </row>
    <row r="308" spans="1:13" ht="60" customHeight="1" x14ac:dyDescent="0.35">
      <c r="A308" s="9" t="s">
        <v>1463</v>
      </c>
      <c r="B308" s="1" t="s">
        <v>1464</v>
      </c>
      <c r="C308" s="2" t="s">
        <v>15</v>
      </c>
      <c r="D308" s="3" t="s">
        <v>16</v>
      </c>
      <c r="E308" s="3" t="s">
        <v>17</v>
      </c>
      <c r="F308" s="3" t="s">
        <v>18</v>
      </c>
      <c r="G308" s="3" t="s">
        <v>19</v>
      </c>
      <c r="H308" s="4" t="s">
        <v>19</v>
      </c>
      <c r="I308" s="1" t="s">
        <v>1465</v>
      </c>
      <c r="J308" s="1" t="s">
        <v>1466</v>
      </c>
      <c r="K308" s="1" t="s">
        <v>1467</v>
      </c>
      <c r="L308" s="3" t="str">
        <f t="shared" si="1"/>
        <v>Outstanding</v>
      </c>
      <c r="M308" s="11" t="s">
        <v>19</v>
      </c>
    </row>
    <row r="309" spans="1:13" ht="60" customHeight="1" x14ac:dyDescent="0.35">
      <c r="A309" s="9" t="s">
        <v>1468</v>
      </c>
      <c r="B309" s="1" t="s">
        <v>1469</v>
      </c>
      <c r="C309" s="2" t="s">
        <v>29</v>
      </c>
      <c r="D309" s="3" t="s">
        <v>16</v>
      </c>
      <c r="E309" s="3" t="s">
        <v>17</v>
      </c>
      <c r="F309" s="3" t="s">
        <v>18</v>
      </c>
      <c r="G309" s="3" t="s">
        <v>19</v>
      </c>
      <c r="H309" s="4" t="s">
        <v>19</v>
      </c>
      <c r="I309" s="1" t="s">
        <v>1470</v>
      </c>
      <c r="J309" s="1" t="s">
        <v>1471</v>
      </c>
      <c r="K309" s="1" t="s">
        <v>1472</v>
      </c>
      <c r="L309" s="3" t="str">
        <f t="shared" si="1"/>
        <v>Outstanding</v>
      </c>
      <c r="M309" s="11" t="s">
        <v>19</v>
      </c>
    </row>
    <row r="310" spans="1:13" ht="60" customHeight="1" x14ac:dyDescent="0.35">
      <c r="A310" s="9" t="s">
        <v>1473</v>
      </c>
      <c r="B310" s="1" t="s">
        <v>1474</v>
      </c>
      <c r="C310" s="2" t="s">
        <v>29</v>
      </c>
      <c r="D310" s="3" t="s">
        <v>16</v>
      </c>
      <c r="E310" s="3" t="s">
        <v>17</v>
      </c>
      <c r="F310" s="3" t="s">
        <v>18</v>
      </c>
      <c r="G310" s="3" t="s">
        <v>19</v>
      </c>
      <c r="H310" s="4" t="s">
        <v>19</v>
      </c>
      <c r="I310" s="1" t="s">
        <v>1475</v>
      </c>
      <c r="J310" s="1" t="s">
        <v>1476</v>
      </c>
      <c r="K310" s="1" t="s">
        <v>1477</v>
      </c>
      <c r="L310" s="3" t="str">
        <f t="shared" si="1"/>
        <v>Outstanding</v>
      </c>
      <c r="M310" s="11" t="s">
        <v>19</v>
      </c>
    </row>
    <row r="311" spans="1:13" ht="60" customHeight="1" x14ac:dyDescent="0.35">
      <c r="A311" s="9" t="s">
        <v>1478</v>
      </c>
      <c r="B311" s="1" t="s">
        <v>1479</v>
      </c>
      <c r="C311" s="2" t="s">
        <v>15</v>
      </c>
      <c r="D311" s="3" t="s">
        <v>16</v>
      </c>
      <c r="E311" s="3" t="s">
        <v>17</v>
      </c>
      <c r="F311" s="3" t="s">
        <v>18</v>
      </c>
      <c r="G311" s="3" t="s">
        <v>19</v>
      </c>
      <c r="H311" s="4" t="s">
        <v>19</v>
      </c>
      <c r="I311" s="1" t="s">
        <v>1480</v>
      </c>
      <c r="J311" s="1" t="s">
        <v>1481</v>
      </c>
      <c r="K311" s="1" t="s">
        <v>1482</v>
      </c>
      <c r="L311" s="3" t="str">
        <f t="shared" si="1"/>
        <v>Outstanding</v>
      </c>
      <c r="M311" s="11" t="s">
        <v>19</v>
      </c>
    </row>
    <row r="312" spans="1:13" ht="60" customHeight="1" x14ac:dyDescent="0.35">
      <c r="A312" s="9" t="s">
        <v>1483</v>
      </c>
      <c r="B312" s="1" t="s">
        <v>1484</v>
      </c>
      <c r="C312" s="2" t="s">
        <v>155</v>
      </c>
      <c r="D312" s="3" t="s">
        <v>16</v>
      </c>
      <c r="E312" s="3" t="s">
        <v>17</v>
      </c>
      <c r="F312" s="3" t="s">
        <v>18</v>
      </c>
      <c r="G312" s="3" t="s">
        <v>19</v>
      </c>
      <c r="H312" s="4" t="s">
        <v>19</v>
      </c>
      <c r="I312" s="1" t="s">
        <v>1485</v>
      </c>
      <c r="J312" s="1" t="s">
        <v>1486</v>
      </c>
      <c r="K312" s="1" t="s">
        <v>1487</v>
      </c>
      <c r="L312" s="3" t="str">
        <f t="shared" si="1"/>
        <v>Outstanding</v>
      </c>
      <c r="M312" s="11" t="s">
        <v>19</v>
      </c>
    </row>
    <row r="313" spans="1:13" ht="60" customHeight="1" x14ac:dyDescent="0.35">
      <c r="A313" s="9" t="s">
        <v>1488</v>
      </c>
      <c r="B313" s="1" t="s">
        <v>1489</v>
      </c>
      <c r="C313" s="2" t="s">
        <v>29</v>
      </c>
      <c r="D313" s="3" t="s">
        <v>16</v>
      </c>
      <c r="E313" s="3" t="s">
        <v>17</v>
      </c>
      <c r="F313" s="3" t="s">
        <v>18</v>
      </c>
      <c r="G313" s="3" t="s">
        <v>19</v>
      </c>
      <c r="H313" s="4" t="s">
        <v>19</v>
      </c>
      <c r="I313" s="1" t="s">
        <v>1490</v>
      </c>
      <c r="J313" s="1" t="s">
        <v>1491</v>
      </c>
      <c r="K313" s="1" t="s">
        <v>1492</v>
      </c>
      <c r="L313" s="3" t="str">
        <f t="shared" si="1"/>
        <v>Outstanding</v>
      </c>
      <c r="M313" s="11" t="s">
        <v>19</v>
      </c>
    </row>
    <row r="314" spans="1:13" ht="60" customHeight="1" x14ac:dyDescent="0.35">
      <c r="A314" s="9" t="s">
        <v>1493</v>
      </c>
      <c r="B314" s="1" t="s">
        <v>1494</v>
      </c>
      <c r="C314" s="2" t="s">
        <v>29</v>
      </c>
      <c r="D314" s="3" t="s">
        <v>16</v>
      </c>
      <c r="E314" s="3" t="s">
        <v>17</v>
      </c>
      <c r="F314" s="3" t="s">
        <v>18</v>
      </c>
      <c r="G314" s="3" t="s">
        <v>19</v>
      </c>
      <c r="H314" s="4" t="s">
        <v>19</v>
      </c>
      <c r="I314" s="1" t="s">
        <v>1495</v>
      </c>
      <c r="J314" s="1" t="s">
        <v>1496</v>
      </c>
      <c r="K314" s="1" t="s">
        <v>1497</v>
      </c>
      <c r="L314" s="3" t="str">
        <f t="shared" si="1"/>
        <v>Outstanding</v>
      </c>
      <c r="M314" s="11" t="s">
        <v>19</v>
      </c>
    </row>
    <row r="315" spans="1:13" ht="60" customHeight="1" x14ac:dyDescent="0.35">
      <c r="A315" s="9" t="s">
        <v>1498</v>
      </c>
      <c r="B315" s="1" t="s">
        <v>1499</v>
      </c>
      <c r="C315" s="2" t="s">
        <v>15</v>
      </c>
      <c r="D315" s="3" t="s">
        <v>16</v>
      </c>
      <c r="E315" s="3" t="s">
        <v>17</v>
      </c>
      <c r="F315" s="3" t="s">
        <v>18</v>
      </c>
      <c r="G315" s="3" t="s">
        <v>19</v>
      </c>
      <c r="H315" s="4" t="s">
        <v>19</v>
      </c>
      <c r="I315" s="1" t="s">
        <v>1500</v>
      </c>
      <c r="J315" s="1" t="s">
        <v>1501</v>
      </c>
      <c r="K315" s="1" t="s">
        <v>1502</v>
      </c>
      <c r="L315" s="3" t="str">
        <f t="shared" si="1"/>
        <v>Outstanding</v>
      </c>
      <c r="M315" s="11" t="s">
        <v>19</v>
      </c>
    </row>
    <row r="316" spans="1:13" ht="60" customHeight="1" x14ac:dyDescent="0.35">
      <c r="A316" s="9" t="s">
        <v>1503</v>
      </c>
      <c r="B316" s="1" t="s">
        <v>1504</v>
      </c>
      <c r="C316" s="2" t="s">
        <v>15</v>
      </c>
      <c r="D316" s="3" t="s">
        <v>16</v>
      </c>
      <c r="E316" s="3" t="s">
        <v>17</v>
      </c>
      <c r="F316" s="3" t="s">
        <v>18</v>
      </c>
      <c r="G316" s="3" t="s">
        <v>19</v>
      </c>
      <c r="H316" s="4" t="s">
        <v>19</v>
      </c>
      <c r="I316" s="1" t="s">
        <v>1505</v>
      </c>
      <c r="J316" s="1" t="s">
        <v>1501</v>
      </c>
      <c r="K316" s="1" t="s">
        <v>1506</v>
      </c>
      <c r="L316" s="3" t="str">
        <f t="shared" si="1"/>
        <v>Outstanding</v>
      </c>
      <c r="M316" s="11" t="s">
        <v>19</v>
      </c>
    </row>
    <row r="317" spans="1:13" ht="60" customHeight="1" x14ac:dyDescent="0.35">
      <c r="A317" s="9" t="s">
        <v>1507</v>
      </c>
      <c r="B317" s="1" t="s">
        <v>1508</v>
      </c>
      <c r="C317" s="2" t="s">
        <v>15</v>
      </c>
      <c r="D317" s="3" t="s">
        <v>16</v>
      </c>
      <c r="E317" s="3" t="s">
        <v>17</v>
      </c>
      <c r="F317" s="3" t="s">
        <v>18</v>
      </c>
      <c r="G317" s="3" t="s">
        <v>19</v>
      </c>
      <c r="H317" s="4" t="s">
        <v>19</v>
      </c>
      <c r="I317" s="1" t="s">
        <v>1509</v>
      </c>
      <c r="J317" s="1" t="s">
        <v>1510</v>
      </c>
      <c r="K317" s="1" t="s">
        <v>1511</v>
      </c>
      <c r="L317" s="3" t="str">
        <f t="shared" si="1"/>
        <v>Outstanding</v>
      </c>
      <c r="M317" s="11" t="s">
        <v>19</v>
      </c>
    </row>
    <row r="318" spans="1:13" ht="60" customHeight="1" x14ac:dyDescent="0.35">
      <c r="A318" s="9" t="s">
        <v>1512</v>
      </c>
      <c r="B318" s="1" t="s">
        <v>1513</v>
      </c>
      <c r="C318" s="2" t="s">
        <v>15</v>
      </c>
      <c r="D318" s="3" t="s">
        <v>16</v>
      </c>
      <c r="E318" s="3" t="s">
        <v>17</v>
      </c>
      <c r="F318" s="3" t="s">
        <v>18</v>
      </c>
      <c r="G318" s="3" t="s">
        <v>19</v>
      </c>
      <c r="H318" s="4" t="s">
        <v>19</v>
      </c>
      <c r="I318" s="1" t="s">
        <v>1514</v>
      </c>
      <c r="J318" s="1" t="s">
        <v>1515</v>
      </c>
      <c r="K318" s="1" t="s">
        <v>1516</v>
      </c>
      <c r="L318" s="3" t="str">
        <f t="shared" si="1"/>
        <v>Outstanding</v>
      </c>
      <c r="M318" s="11" t="s">
        <v>19</v>
      </c>
    </row>
    <row r="319" spans="1:13" ht="60" customHeight="1" x14ac:dyDescent="0.35">
      <c r="A319" s="9" t="s">
        <v>1517</v>
      </c>
      <c r="B319" s="1" t="s">
        <v>1518</v>
      </c>
      <c r="C319" s="2" t="s">
        <v>15</v>
      </c>
      <c r="D319" s="3" t="s">
        <v>16</v>
      </c>
      <c r="E319" s="3" t="s">
        <v>17</v>
      </c>
      <c r="F319" s="3" t="s">
        <v>18</v>
      </c>
      <c r="G319" s="3" t="s">
        <v>19</v>
      </c>
      <c r="H319" s="4" t="s">
        <v>19</v>
      </c>
      <c r="I319" s="1" t="s">
        <v>1519</v>
      </c>
      <c r="J319" s="1" t="s">
        <v>1520</v>
      </c>
      <c r="K319" s="1" t="s">
        <v>1521</v>
      </c>
      <c r="L319" s="3" t="str">
        <f t="shared" si="1"/>
        <v>Outstanding</v>
      </c>
      <c r="M319" s="11" t="s">
        <v>19</v>
      </c>
    </row>
    <row r="320" spans="1:13" ht="60" customHeight="1" x14ac:dyDescent="0.35">
      <c r="A320" s="9" t="s">
        <v>1522</v>
      </c>
      <c r="B320" s="1" t="s">
        <v>1523</v>
      </c>
      <c r="C320" s="2" t="s">
        <v>15</v>
      </c>
      <c r="D320" s="3" t="s">
        <v>16</v>
      </c>
      <c r="E320" s="3" t="s">
        <v>17</v>
      </c>
      <c r="F320" s="3" t="s">
        <v>18</v>
      </c>
      <c r="G320" s="3" t="s">
        <v>19</v>
      </c>
      <c r="H320" s="4" t="s">
        <v>19</v>
      </c>
      <c r="I320" s="1" t="s">
        <v>1524</v>
      </c>
      <c r="J320" s="1" t="s">
        <v>1520</v>
      </c>
      <c r="K320" s="1" t="s">
        <v>1525</v>
      </c>
      <c r="L320" s="3" t="str">
        <f t="shared" si="1"/>
        <v>Outstanding</v>
      </c>
      <c r="M320" s="11" t="s">
        <v>19</v>
      </c>
    </row>
    <row r="321" spans="1:13" ht="60" customHeight="1" x14ac:dyDescent="0.35">
      <c r="A321" s="9" t="s">
        <v>1526</v>
      </c>
      <c r="B321" s="1" t="s">
        <v>1527</v>
      </c>
      <c r="C321" s="2" t="s">
        <v>15</v>
      </c>
      <c r="D321" s="3" t="s">
        <v>16</v>
      </c>
      <c r="E321" s="3" t="s">
        <v>17</v>
      </c>
      <c r="F321" s="3" t="s">
        <v>18</v>
      </c>
      <c r="G321" s="3" t="s">
        <v>19</v>
      </c>
      <c r="H321" s="4" t="s">
        <v>19</v>
      </c>
      <c r="I321" s="1" t="s">
        <v>1528</v>
      </c>
      <c r="J321" s="1" t="s">
        <v>1520</v>
      </c>
      <c r="K321" s="1" t="s">
        <v>1529</v>
      </c>
      <c r="L321" s="3" t="str">
        <f t="shared" si="1"/>
        <v>Outstanding</v>
      </c>
      <c r="M321" s="11" t="s">
        <v>19</v>
      </c>
    </row>
    <row r="322" spans="1:13" ht="60" customHeight="1" x14ac:dyDescent="0.35">
      <c r="A322" s="9" t="s">
        <v>1530</v>
      </c>
      <c r="B322" s="1" t="s">
        <v>1531</v>
      </c>
      <c r="C322" s="2" t="s">
        <v>15</v>
      </c>
      <c r="D322" s="3" t="s">
        <v>16</v>
      </c>
      <c r="E322" s="3" t="s">
        <v>17</v>
      </c>
      <c r="F322" s="3" t="s">
        <v>18</v>
      </c>
      <c r="G322" s="3" t="s">
        <v>19</v>
      </c>
      <c r="H322" s="4" t="s">
        <v>19</v>
      </c>
      <c r="I322" s="1" t="s">
        <v>1532</v>
      </c>
      <c r="J322" s="1" t="s">
        <v>1520</v>
      </c>
      <c r="K322" s="1" t="s">
        <v>1533</v>
      </c>
      <c r="L322" s="3" t="str">
        <f t="shared" si="1"/>
        <v>Outstanding</v>
      </c>
      <c r="M322" s="11" t="s">
        <v>19</v>
      </c>
    </row>
    <row r="323" spans="1:13" ht="60" customHeight="1" x14ac:dyDescent="0.35">
      <c r="A323" s="9" t="s">
        <v>1534</v>
      </c>
      <c r="B323" s="1" t="s">
        <v>1535</v>
      </c>
      <c r="C323" s="2" t="s">
        <v>15</v>
      </c>
      <c r="D323" s="3" t="s">
        <v>16</v>
      </c>
      <c r="E323" s="3" t="s">
        <v>17</v>
      </c>
      <c r="F323" s="3" t="s">
        <v>18</v>
      </c>
      <c r="G323" s="3" t="s">
        <v>19</v>
      </c>
      <c r="H323" s="4" t="s">
        <v>19</v>
      </c>
      <c r="I323" s="1" t="s">
        <v>1536</v>
      </c>
      <c r="J323" s="1" t="s">
        <v>1537</v>
      </c>
      <c r="K323" s="1" t="s">
        <v>1538</v>
      </c>
      <c r="L323" s="3" t="str">
        <f t="shared" si="1"/>
        <v>Outstanding</v>
      </c>
      <c r="M323" s="11" t="s">
        <v>19</v>
      </c>
    </row>
    <row r="324" spans="1:13" ht="60" customHeight="1" x14ac:dyDescent="0.35">
      <c r="A324" s="9" t="s">
        <v>1539</v>
      </c>
      <c r="B324" s="1" t="s">
        <v>1540</v>
      </c>
      <c r="C324" s="2" t="s">
        <v>15</v>
      </c>
      <c r="D324" s="3" t="s">
        <v>16</v>
      </c>
      <c r="E324" s="3" t="s">
        <v>17</v>
      </c>
      <c r="F324" s="3" t="s">
        <v>18</v>
      </c>
      <c r="G324" s="3" t="s">
        <v>19</v>
      </c>
      <c r="H324" s="4" t="s">
        <v>19</v>
      </c>
      <c r="I324" s="1" t="s">
        <v>1541</v>
      </c>
      <c r="J324" s="1" t="s">
        <v>1542</v>
      </c>
      <c r="K324" s="1" t="s">
        <v>1543</v>
      </c>
      <c r="L324" s="3" t="str">
        <f t="shared" si="1"/>
        <v>Outstanding</v>
      </c>
      <c r="M324" s="11" t="s">
        <v>19</v>
      </c>
    </row>
    <row r="325" spans="1:13" ht="60" customHeight="1" x14ac:dyDescent="0.35">
      <c r="A325" s="9" t="s">
        <v>1544</v>
      </c>
      <c r="B325" s="1" t="s">
        <v>1545</v>
      </c>
      <c r="C325" s="2" t="s">
        <v>15</v>
      </c>
      <c r="D325" s="3" t="s">
        <v>16</v>
      </c>
      <c r="E325" s="3" t="s">
        <v>17</v>
      </c>
      <c r="F325" s="3" t="s">
        <v>18</v>
      </c>
      <c r="G325" s="3" t="s">
        <v>19</v>
      </c>
      <c r="H325" s="4" t="s">
        <v>19</v>
      </c>
      <c r="I325" s="1" t="s">
        <v>1546</v>
      </c>
      <c r="J325" s="1" t="s">
        <v>1542</v>
      </c>
      <c r="K325" s="1" t="s">
        <v>1547</v>
      </c>
      <c r="L325" s="3" t="str">
        <f t="shared" si="1"/>
        <v>Outstanding</v>
      </c>
      <c r="M325" s="11" t="s">
        <v>19</v>
      </c>
    </row>
    <row r="326" spans="1:13" ht="60" customHeight="1" x14ac:dyDescent="0.35">
      <c r="A326" s="9" t="s">
        <v>1548</v>
      </c>
      <c r="B326" s="1" t="s">
        <v>1549</v>
      </c>
      <c r="C326" s="2" t="s">
        <v>15</v>
      </c>
      <c r="D326" s="3" t="s">
        <v>16</v>
      </c>
      <c r="E326" s="3" t="s">
        <v>17</v>
      </c>
      <c r="F326" s="3" t="s">
        <v>18</v>
      </c>
      <c r="G326" s="3" t="s">
        <v>19</v>
      </c>
      <c r="H326" s="4" t="s">
        <v>19</v>
      </c>
      <c r="I326" s="1" t="s">
        <v>1550</v>
      </c>
      <c r="J326" s="1" t="s">
        <v>1551</v>
      </c>
      <c r="K326" s="1" t="s">
        <v>1552</v>
      </c>
      <c r="L326" s="3" t="str">
        <f t="shared" si="1"/>
        <v>Outstanding</v>
      </c>
      <c r="M326" s="11" t="s">
        <v>19</v>
      </c>
    </row>
    <row r="327" spans="1:13" ht="60" customHeight="1" x14ac:dyDescent="0.35">
      <c r="A327" s="9" t="s">
        <v>1553</v>
      </c>
      <c r="B327" s="1" t="s">
        <v>1554</v>
      </c>
      <c r="C327" s="2" t="s">
        <v>15</v>
      </c>
      <c r="D327" s="3" t="s">
        <v>16</v>
      </c>
      <c r="E327" s="3" t="s">
        <v>17</v>
      </c>
      <c r="F327" s="3" t="s">
        <v>18</v>
      </c>
      <c r="G327" s="3" t="s">
        <v>19</v>
      </c>
      <c r="H327" s="4" t="s">
        <v>19</v>
      </c>
      <c r="I327" s="1" t="s">
        <v>1555</v>
      </c>
      <c r="J327" s="1" t="s">
        <v>1501</v>
      </c>
      <c r="K327" s="1" t="s">
        <v>1556</v>
      </c>
      <c r="L327" s="3" t="str">
        <f t="shared" si="1"/>
        <v>Outstanding</v>
      </c>
      <c r="M327" s="11" t="s">
        <v>19</v>
      </c>
    </row>
    <row r="328" spans="1:13" ht="60" customHeight="1" x14ac:dyDescent="0.35">
      <c r="A328" s="9" t="s">
        <v>1557</v>
      </c>
      <c r="B328" s="1" t="s">
        <v>1558</v>
      </c>
      <c r="C328" s="2" t="s">
        <v>15</v>
      </c>
      <c r="D328" s="3" t="s">
        <v>16</v>
      </c>
      <c r="E328" s="3" t="s">
        <v>17</v>
      </c>
      <c r="F328" s="3" t="s">
        <v>18</v>
      </c>
      <c r="G328" s="3" t="s">
        <v>19</v>
      </c>
      <c r="H328" s="4" t="s">
        <v>19</v>
      </c>
      <c r="I328" s="1" t="s">
        <v>1559</v>
      </c>
      <c r="J328" s="1" t="s">
        <v>1501</v>
      </c>
      <c r="K328" s="1" t="s">
        <v>1560</v>
      </c>
      <c r="L328" s="3" t="str">
        <f t="shared" si="1"/>
        <v>Outstanding</v>
      </c>
      <c r="M328" s="11" t="s">
        <v>19</v>
      </c>
    </row>
    <row r="329" spans="1:13" ht="60" customHeight="1" x14ac:dyDescent="0.35">
      <c r="A329" s="9" t="s">
        <v>1561</v>
      </c>
      <c r="B329" s="1" t="s">
        <v>1562</v>
      </c>
      <c r="C329" s="2" t="s">
        <v>15</v>
      </c>
      <c r="D329" s="3" t="s">
        <v>16</v>
      </c>
      <c r="E329" s="3" t="s">
        <v>17</v>
      </c>
      <c r="F329" s="3" t="s">
        <v>18</v>
      </c>
      <c r="G329" s="3" t="s">
        <v>19</v>
      </c>
      <c r="H329" s="4" t="s">
        <v>19</v>
      </c>
      <c r="I329" s="1" t="s">
        <v>1563</v>
      </c>
      <c r="J329" s="1" t="s">
        <v>486</v>
      </c>
      <c r="K329" s="1" t="s">
        <v>1564</v>
      </c>
      <c r="L329" s="3" t="str">
        <f t="shared" si="1"/>
        <v>Outstanding</v>
      </c>
      <c r="M329" s="11" t="s">
        <v>19</v>
      </c>
    </row>
    <row r="330" spans="1:13" ht="60" customHeight="1" x14ac:dyDescent="0.35">
      <c r="A330" s="9" t="s">
        <v>1565</v>
      </c>
      <c r="B330" s="1" t="s">
        <v>1566</v>
      </c>
      <c r="C330" s="2" t="s">
        <v>15</v>
      </c>
      <c r="D330" s="3" t="s">
        <v>16</v>
      </c>
      <c r="E330" s="3" t="s">
        <v>17</v>
      </c>
      <c r="F330" s="3" t="s">
        <v>18</v>
      </c>
      <c r="G330" s="3" t="s">
        <v>19</v>
      </c>
      <c r="H330" s="4" t="s">
        <v>19</v>
      </c>
      <c r="I330" s="1" t="s">
        <v>1567</v>
      </c>
      <c r="J330" s="1" t="s">
        <v>486</v>
      </c>
      <c r="K330" s="1" t="s">
        <v>1568</v>
      </c>
      <c r="L330" s="3" t="str">
        <f t="shared" si="1"/>
        <v>Outstanding</v>
      </c>
      <c r="M330" s="11" t="s">
        <v>19</v>
      </c>
    </row>
    <row r="331" spans="1:13" ht="60" customHeight="1" x14ac:dyDescent="0.35">
      <c r="A331" s="9" t="s">
        <v>1569</v>
      </c>
      <c r="B331" s="1" t="s">
        <v>1570</v>
      </c>
      <c r="C331" s="2" t="s">
        <v>15</v>
      </c>
      <c r="D331" s="3" t="s">
        <v>16</v>
      </c>
      <c r="E331" s="3" t="s">
        <v>17</v>
      </c>
      <c r="F331" s="3" t="s">
        <v>18</v>
      </c>
      <c r="G331" s="3" t="s">
        <v>19</v>
      </c>
      <c r="H331" s="4" t="s">
        <v>19</v>
      </c>
      <c r="I331" s="1" t="s">
        <v>1571</v>
      </c>
      <c r="J331" s="1" t="s">
        <v>486</v>
      </c>
      <c r="K331" s="1" t="s">
        <v>1572</v>
      </c>
      <c r="L331" s="3" t="str">
        <f t="shared" si="1"/>
        <v>Outstanding</v>
      </c>
      <c r="M331" s="11" t="s">
        <v>19</v>
      </c>
    </row>
    <row r="332" spans="1:13" ht="60" customHeight="1" x14ac:dyDescent="0.35">
      <c r="A332" s="9" t="s">
        <v>1573</v>
      </c>
      <c r="B332" s="1" t="s">
        <v>1574</v>
      </c>
      <c r="C332" s="2" t="s">
        <v>15</v>
      </c>
      <c r="D332" s="3" t="s">
        <v>16</v>
      </c>
      <c r="E332" s="3" t="s">
        <v>17</v>
      </c>
      <c r="F332" s="3" t="s">
        <v>18</v>
      </c>
      <c r="G332" s="3" t="s">
        <v>19</v>
      </c>
      <c r="H332" s="4" t="s">
        <v>19</v>
      </c>
      <c r="I332" s="1" t="s">
        <v>1575</v>
      </c>
      <c r="J332" s="1" t="s">
        <v>1576</v>
      </c>
      <c r="K332" s="1" t="s">
        <v>1577</v>
      </c>
      <c r="L332" s="3" t="str">
        <f t="shared" si="1"/>
        <v>Outstanding</v>
      </c>
      <c r="M332" s="11" t="s">
        <v>19</v>
      </c>
    </row>
    <row r="333" spans="1:13" ht="60" customHeight="1" x14ac:dyDescent="0.35">
      <c r="A333" s="9" t="s">
        <v>1578</v>
      </c>
      <c r="B333" s="1" t="s">
        <v>1579</v>
      </c>
      <c r="C333" s="2" t="s">
        <v>15</v>
      </c>
      <c r="D333" s="3" t="s">
        <v>16</v>
      </c>
      <c r="E333" s="3" t="s">
        <v>17</v>
      </c>
      <c r="F333" s="3" t="s">
        <v>18</v>
      </c>
      <c r="G333" s="3" t="s">
        <v>19</v>
      </c>
      <c r="H333" s="4" t="s">
        <v>19</v>
      </c>
      <c r="I333" s="1" t="s">
        <v>1580</v>
      </c>
      <c r="J333" s="1" t="s">
        <v>1581</v>
      </c>
      <c r="K333" s="1" t="s">
        <v>1582</v>
      </c>
      <c r="L333" s="3" t="str">
        <f t="shared" si="1"/>
        <v>Outstanding</v>
      </c>
      <c r="M333" s="11" t="s">
        <v>19</v>
      </c>
    </row>
    <row r="334" spans="1:13" ht="60" customHeight="1" x14ac:dyDescent="0.35">
      <c r="A334" s="9" t="s">
        <v>1583</v>
      </c>
      <c r="B334" s="1" t="s">
        <v>1584</v>
      </c>
      <c r="C334" s="2" t="s">
        <v>15</v>
      </c>
      <c r="D334" s="3" t="s">
        <v>16</v>
      </c>
      <c r="E334" s="3" t="s">
        <v>17</v>
      </c>
      <c r="F334" s="3" t="s">
        <v>18</v>
      </c>
      <c r="G334" s="3" t="s">
        <v>19</v>
      </c>
      <c r="H334" s="4" t="s">
        <v>19</v>
      </c>
      <c r="I334" s="1" t="s">
        <v>1585</v>
      </c>
      <c r="J334" s="1" t="s">
        <v>1586</v>
      </c>
      <c r="K334" s="1" t="s">
        <v>1587</v>
      </c>
      <c r="L334" s="3" t="str">
        <f t="shared" si="1"/>
        <v>Outstanding</v>
      </c>
      <c r="M334" s="11" t="s">
        <v>19</v>
      </c>
    </row>
    <row r="335" spans="1:13" ht="60" customHeight="1" x14ac:dyDescent="0.35">
      <c r="A335" s="9" t="s">
        <v>1588</v>
      </c>
      <c r="B335" s="1" t="s">
        <v>1589</v>
      </c>
      <c r="C335" s="2" t="s">
        <v>15</v>
      </c>
      <c r="D335" s="3" t="s">
        <v>16</v>
      </c>
      <c r="E335" s="3" t="s">
        <v>17</v>
      </c>
      <c r="F335" s="3" t="s">
        <v>18</v>
      </c>
      <c r="G335" s="3" t="s">
        <v>19</v>
      </c>
      <c r="H335" s="4" t="s">
        <v>19</v>
      </c>
      <c r="I335" s="1" t="s">
        <v>1590</v>
      </c>
      <c r="J335" s="1" t="s">
        <v>1591</v>
      </c>
      <c r="K335" s="1" t="s">
        <v>1592</v>
      </c>
      <c r="L335" s="3" t="str">
        <f t="shared" si="1"/>
        <v>Outstanding</v>
      </c>
      <c r="M335" s="11" t="s">
        <v>19</v>
      </c>
    </row>
    <row r="336" spans="1:13" ht="60" customHeight="1" x14ac:dyDescent="0.35">
      <c r="A336" s="9" t="s">
        <v>1593</v>
      </c>
      <c r="B336" s="1" t="s">
        <v>1594</v>
      </c>
      <c r="C336" s="2" t="s">
        <v>155</v>
      </c>
      <c r="D336" s="3" t="s">
        <v>16</v>
      </c>
      <c r="E336" s="3" t="s">
        <v>17</v>
      </c>
      <c r="F336" s="3" t="s">
        <v>18</v>
      </c>
      <c r="G336" s="3" t="s">
        <v>19</v>
      </c>
      <c r="H336" s="4" t="s">
        <v>19</v>
      </c>
      <c r="I336" s="1" t="s">
        <v>1595</v>
      </c>
      <c r="J336" s="1" t="s">
        <v>1596</v>
      </c>
      <c r="K336" s="1" t="s">
        <v>1597</v>
      </c>
      <c r="L336" s="3" t="str">
        <f t="shared" si="1"/>
        <v>Outstanding</v>
      </c>
      <c r="M336" s="11" t="s">
        <v>19</v>
      </c>
    </row>
    <row r="337" spans="1:13" ht="60" customHeight="1" x14ac:dyDescent="0.35">
      <c r="A337" s="9" t="s">
        <v>1598</v>
      </c>
      <c r="B337" s="1" t="s">
        <v>1599</v>
      </c>
      <c r="C337" s="2" t="s">
        <v>155</v>
      </c>
      <c r="D337" s="3" t="s">
        <v>16</v>
      </c>
      <c r="E337" s="3" t="s">
        <v>17</v>
      </c>
      <c r="F337" s="3" t="s">
        <v>18</v>
      </c>
      <c r="G337" s="3" t="s">
        <v>19</v>
      </c>
      <c r="H337" s="4" t="s">
        <v>19</v>
      </c>
      <c r="I337" s="1" t="s">
        <v>1600</v>
      </c>
      <c r="J337" s="1" t="s">
        <v>1601</v>
      </c>
      <c r="K337" s="1" t="s">
        <v>1602</v>
      </c>
      <c r="L337" s="3" t="str">
        <f t="shared" si="1"/>
        <v>Outstanding</v>
      </c>
      <c r="M337" s="11" t="s">
        <v>19</v>
      </c>
    </row>
    <row r="338" spans="1:13" ht="60" customHeight="1" x14ac:dyDescent="0.35">
      <c r="A338" s="9" t="s">
        <v>1603</v>
      </c>
      <c r="B338" s="1" t="s">
        <v>1604</v>
      </c>
      <c r="C338" s="2" t="s">
        <v>15</v>
      </c>
      <c r="D338" s="3" t="s">
        <v>16</v>
      </c>
      <c r="E338" s="3" t="s">
        <v>17</v>
      </c>
      <c r="F338" s="3" t="s">
        <v>18</v>
      </c>
      <c r="G338" s="3" t="s">
        <v>19</v>
      </c>
      <c r="H338" s="4" t="s">
        <v>19</v>
      </c>
      <c r="I338" s="1" t="s">
        <v>1605</v>
      </c>
      <c r="J338" s="1" t="s">
        <v>1606</v>
      </c>
      <c r="K338" s="1" t="s">
        <v>1607</v>
      </c>
      <c r="L338" s="3" t="str">
        <f t="shared" si="1"/>
        <v>Outstanding</v>
      </c>
      <c r="M338" s="11" t="s">
        <v>19</v>
      </c>
    </row>
    <row r="339" spans="1:13" ht="60" customHeight="1" x14ac:dyDescent="0.35">
      <c r="A339" s="9" t="s">
        <v>1608</v>
      </c>
      <c r="B339" s="1" t="s">
        <v>1609</v>
      </c>
      <c r="C339" s="2" t="s">
        <v>15</v>
      </c>
      <c r="D339" s="3" t="s">
        <v>16</v>
      </c>
      <c r="E339" s="3" t="s">
        <v>17</v>
      </c>
      <c r="F339" s="3" t="s">
        <v>18</v>
      </c>
      <c r="G339" s="3" t="s">
        <v>19</v>
      </c>
      <c r="H339" s="4" t="s">
        <v>19</v>
      </c>
      <c r="I339" s="1" t="s">
        <v>1610</v>
      </c>
      <c r="J339" s="1" t="s">
        <v>1611</v>
      </c>
      <c r="K339" s="1" t="s">
        <v>1612</v>
      </c>
      <c r="L339" s="3" t="str">
        <f t="shared" si="1"/>
        <v>Outstanding</v>
      </c>
      <c r="M339" s="11" t="s">
        <v>19</v>
      </c>
    </row>
    <row r="340" spans="1:13" ht="60" customHeight="1" x14ac:dyDescent="0.35">
      <c r="A340" s="9" t="s">
        <v>1613</v>
      </c>
      <c r="B340" s="1" t="s">
        <v>1614</v>
      </c>
      <c r="C340" s="2" t="s">
        <v>15</v>
      </c>
      <c r="D340" s="3" t="s">
        <v>16</v>
      </c>
      <c r="E340" s="3" t="s">
        <v>17</v>
      </c>
      <c r="F340" s="3" t="s">
        <v>18</v>
      </c>
      <c r="G340" s="3" t="s">
        <v>19</v>
      </c>
      <c r="H340" s="4" t="s">
        <v>19</v>
      </c>
      <c r="I340" s="1" t="s">
        <v>1615</v>
      </c>
      <c r="J340" s="1" t="s">
        <v>1616</v>
      </c>
      <c r="K340" s="1" t="s">
        <v>1617</v>
      </c>
      <c r="L340" s="3" t="str">
        <f t="shared" si="1"/>
        <v>Outstanding</v>
      </c>
      <c r="M340" s="11" t="s">
        <v>19</v>
      </c>
    </row>
    <row r="341" spans="1:13" ht="60" customHeight="1" x14ac:dyDescent="0.35">
      <c r="A341" s="9" t="s">
        <v>1618</v>
      </c>
      <c r="B341" s="1" t="s">
        <v>1619</v>
      </c>
      <c r="C341" s="2" t="s">
        <v>15</v>
      </c>
      <c r="D341" s="3" t="s">
        <v>16</v>
      </c>
      <c r="E341" s="3" t="s">
        <v>17</v>
      </c>
      <c r="F341" s="3" t="s">
        <v>18</v>
      </c>
      <c r="G341" s="3" t="s">
        <v>19</v>
      </c>
      <c r="H341" s="4" t="s">
        <v>19</v>
      </c>
      <c r="I341" s="1" t="s">
        <v>1620</v>
      </c>
      <c r="J341" s="1" t="s">
        <v>1621</v>
      </c>
      <c r="K341" s="1" t="s">
        <v>1622</v>
      </c>
      <c r="L341" s="3" t="str">
        <f t="shared" si="1"/>
        <v>Outstanding</v>
      </c>
      <c r="M341" s="11" t="s">
        <v>19</v>
      </c>
    </row>
    <row r="342" spans="1:13" ht="60" customHeight="1" x14ac:dyDescent="0.35">
      <c r="A342" s="9" t="s">
        <v>1623</v>
      </c>
      <c r="B342" s="1" t="s">
        <v>1624</v>
      </c>
      <c r="C342" s="2" t="s">
        <v>15</v>
      </c>
      <c r="D342" s="3" t="s">
        <v>16</v>
      </c>
      <c r="E342" s="3" t="s">
        <v>17</v>
      </c>
      <c r="F342" s="3" t="s">
        <v>18</v>
      </c>
      <c r="G342" s="3" t="s">
        <v>19</v>
      </c>
      <c r="H342" s="4" t="s">
        <v>19</v>
      </c>
      <c r="I342" s="1" t="s">
        <v>1625</v>
      </c>
      <c r="J342" s="1" t="s">
        <v>1626</v>
      </c>
      <c r="K342" s="1" t="s">
        <v>1627</v>
      </c>
      <c r="L342" s="3" t="str">
        <f t="shared" si="1"/>
        <v>Outstanding</v>
      </c>
      <c r="M342" s="11" t="s">
        <v>19</v>
      </c>
    </row>
    <row r="343" spans="1:13" ht="60" customHeight="1" x14ac:dyDescent="0.35">
      <c r="A343" s="9" t="s">
        <v>1628</v>
      </c>
      <c r="B343" s="1" t="s">
        <v>1629</v>
      </c>
      <c r="C343" s="2" t="s">
        <v>29</v>
      </c>
      <c r="D343" s="3" t="s">
        <v>16</v>
      </c>
      <c r="E343" s="3" t="s">
        <v>17</v>
      </c>
      <c r="F343" s="3" t="s">
        <v>18</v>
      </c>
      <c r="G343" s="3" t="s">
        <v>19</v>
      </c>
      <c r="H343" s="4" t="s">
        <v>19</v>
      </c>
      <c r="I343" s="1" t="s">
        <v>1630</v>
      </c>
      <c r="J343" s="1" t="s">
        <v>1631</v>
      </c>
      <c r="K343" s="1" t="s">
        <v>1632</v>
      </c>
      <c r="L343" s="3" t="str">
        <f t="shared" si="1"/>
        <v>Outstanding</v>
      </c>
      <c r="M343" s="11" t="s">
        <v>19</v>
      </c>
    </row>
    <row r="344" spans="1:13" ht="60" customHeight="1" x14ac:dyDescent="0.35">
      <c r="A344" s="9" t="s">
        <v>1633</v>
      </c>
      <c r="B344" s="1" t="s">
        <v>1634</v>
      </c>
      <c r="C344" s="2" t="s">
        <v>15</v>
      </c>
      <c r="D344" s="3" t="s">
        <v>16</v>
      </c>
      <c r="E344" s="3" t="s">
        <v>17</v>
      </c>
      <c r="F344" s="3" t="s">
        <v>18</v>
      </c>
      <c r="G344" s="3" t="s">
        <v>19</v>
      </c>
      <c r="H344" s="4" t="s">
        <v>19</v>
      </c>
      <c r="I344" s="1" t="s">
        <v>1635</v>
      </c>
      <c r="J344" s="1" t="s">
        <v>1636</v>
      </c>
      <c r="K344" s="1" t="s">
        <v>1637</v>
      </c>
      <c r="L344" s="3" t="str">
        <f t="shared" si="1"/>
        <v>Outstanding</v>
      </c>
      <c r="M344" s="11" t="s">
        <v>19</v>
      </c>
    </row>
    <row r="345" spans="1:13" ht="60" customHeight="1" x14ac:dyDescent="0.35">
      <c r="A345" s="9" t="s">
        <v>1638</v>
      </c>
      <c r="B345" s="1" t="s">
        <v>1639</v>
      </c>
      <c r="C345" s="2" t="s">
        <v>15</v>
      </c>
      <c r="D345" s="3" t="s">
        <v>16</v>
      </c>
      <c r="E345" s="3" t="s">
        <v>17</v>
      </c>
      <c r="F345" s="3" t="s">
        <v>18</v>
      </c>
      <c r="G345" s="3" t="s">
        <v>19</v>
      </c>
      <c r="H345" s="4" t="s">
        <v>19</v>
      </c>
      <c r="I345" s="1" t="s">
        <v>1640</v>
      </c>
      <c r="J345" s="1" t="s">
        <v>1641</v>
      </c>
      <c r="K345" s="1" t="s">
        <v>1642</v>
      </c>
      <c r="L345" s="3" t="str">
        <f t="shared" si="1"/>
        <v>Outstanding</v>
      </c>
      <c r="M345" s="11" t="s">
        <v>19</v>
      </c>
    </row>
    <row r="346" spans="1:13" ht="60" customHeight="1" x14ac:dyDescent="0.35">
      <c r="A346" s="9" t="s">
        <v>1643</v>
      </c>
      <c r="B346" s="1" t="s">
        <v>1644</v>
      </c>
      <c r="C346" s="2" t="s">
        <v>15</v>
      </c>
      <c r="D346" s="3" t="s">
        <v>16</v>
      </c>
      <c r="E346" s="3" t="s">
        <v>17</v>
      </c>
      <c r="F346" s="3" t="s">
        <v>18</v>
      </c>
      <c r="G346" s="3" t="s">
        <v>19</v>
      </c>
      <c r="H346" s="4" t="s">
        <v>19</v>
      </c>
      <c r="I346" s="1" t="s">
        <v>1645</v>
      </c>
      <c r="J346" s="1" t="s">
        <v>1646</v>
      </c>
      <c r="K346" s="1" t="s">
        <v>1647</v>
      </c>
      <c r="L346" s="3" t="str">
        <f t="shared" si="1"/>
        <v>Outstanding</v>
      </c>
      <c r="M346" s="11" t="s">
        <v>19</v>
      </c>
    </row>
    <row r="347" spans="1:13" ht="60" customHeight="1" x14ac:dyDescent="0.35">
      <c r="A347" s="9" t="s">
        <v>1648</v>
      </c>
      <c r="B347" s="1" t="s">
        <v>1649</v>
      </c>
      <c r="C347" s="2" t="s">
        <v>15</v>
      </c>
      <c r="D347" s="3" t="s">
        <v>16</v>
      </c>
      <c r="E347" s="3" t="s">
        <v>17</v>
      </c>
      <c r="F347" s="3" t="s">
        <v>18</v>
      </c>
      <c r="G347" s="3" t="s">
        <v>19</v>
      </c>
      <c r="H347" s="4" t="s">
        <v>19</v>
      </c>
      <c r="I347" s="1" t="s">
        <v>1650</v>
      </c>
      <c r="J347" s="1" t="s">
        <v>1651</v>
      </c>
      <c r="K347" s="1" t="s">
        <v>1652</v>
      </c>
      <c r="L347" s="3" t="str">
        <f t="shared" si="1"/>
        <v>Outstanding</v>
      </c>
      <c r="M347" s="11" t="s">
        <v>19</v>
      </c>
    </row>
    <row r="348" spans="1:13" ht="60" customHeight="1" x14ac:dyDescent="0.35">
      <c r="A348" s="9" t="s">
        <v>1653</v>
      </c>
      <c r="B348" s="1" t="s">
        <v>1654</v>
      </c>
      <c r="C348" s="2" t="s">
        <v>29</v>
      </c>
      <c r="D348" s="3" t="s">
        <v>16</v>
      </c>
      <c r="E348" s="3" t="s">
        <v>17</v>
      </c>
      <c r="F348" s="3" t="s">
        <v>18</v>
      </c>
      <c r="G348" s="3" t="s">
        <v>19</v>
      </c>
      <c r="H348" s="4" t="s">
        <v>19</v>
      </c>
      <c r="I348" s="1" t="s">
        <v>1655</v>
      </c>
      <c r="J348" s="1" t="s">
        <v>849</v>
      </c>
      <c r="K348" s="1" t="s">
        <v>1656</v>
      </c>
      <c r="L348" s="3" t="str">
        <f t="shared" si="1"/>
        <v>Outstanding</v>
      </c>
      <c r="M348" s="11" t="s">
        <v>19</v>
      </c>
    </row>
    <row r="349" spans="1:13" ht="60" customHeight="1" x14ac:dyDescent="0.35">
      <c r="A349" s="9" t="s">
        <v>1657</v>
      </c>
      <c r="B349" s="1" t="s">
        <v>1658</v>
      </c>
      <c r="C349" s="2" t="s">
        <v>15</v>
      </c>
      <c r="D349" s="3" t="s">
        <v>16</v>
      </c>
      <c r="E349" s="3" t="s">
        <v>17</v>
      </c>
      <c r="F349" s="3" t="s">
        <v>18</v>
      </c>
      <c r="G349" s="3" t="s">
        <v>19</v>
      </c>
      <c r="H349" s="4" t="s">
        <v>19</v>
      </c>
      <c r="I349" s="1" t="s">
        <v>1659</v>
      </c>
      <c r="J349" s="1" t="s">
        <v>1660</v>
      </c>
      <c r="K349" s="1" t="s">
        <v>1661</v>
      </c>
      <c r="L349" s="3" t="str">
        <f t="shared" si="1"/>
        <v>Outstanding</v>
      </c>
      <c r="M349" s="11" t="s">
        <v>19</v>
      </c>
    </row>
    <row r="350" spans="1:13" ht="60" customHeight="1" x14ac:dyDescent="0.35">
      <c r="A350" s="9" t="s">
        <v>1662</v>
      </c>
      <c r="B350" s="1" t="s">
        <v>1663</v>
      </c>
      <c r="C350" s="2" t="s">
        <v>15</v>
      </c>
      <c r="D350" s="3" t="s">
        <v>16</v>
      </c>
      <c r="E350" s="3" t="s">
        <v>17</v>
      </c>
      <c r="F350" s="3" t="s">
        <v>18</v>
      </c>
      <c r="G350" s="3" t="s">
        <v>19</v>
      </c>
      <c r="H350" s="4" t="s">
        <v>19</v>
      </c>
      <c r="I350" s="1" t="s">
        <v>1664</v>
      </c>
      <c r="J350" s="1" t="s">
        <v>1660</v>
      </c>
      <c r="K350" s="1" t="s">
        <v>1665</v>
      </c>
      <c r="L350" s="3" t="str">
        <f t="shared" si="1"/>
        <v>Outstanding</v>
      </c>
      <c r="M350" s="11" t="s">
        <v>19</v>
      </c>
    </row>
    <row r="351" spans="1:13" ht="60" customHeight="1" x14ac:dyDescent="0.35">
      <c r="A351" s="9" t="s">
        <v>1666</v>
      </c>
      <c r="B351" s="1" t="s">
        <v>1667</v>
      </c>
      <c r="C351" s="2" t="s">
        <v>15</v>
      </c>
      <c r="D351" s="3" t="s">
        <v>16</v>
      </c>
      <c r="E351" s="3" t="s">
        <v>17</v>
      </c>
      <c r="F351" s="3" t="s">
        <v>18</v>
      </c>
      <c r="G351" s="3" t="s">
        <v>19</v>
      </c>
      <c r="H351" s="4" t="s">
        <v>19</v>
      </c>
      <c r="I351" s="1" t="s">
        <v>1668</v>
      </c>
      <c r="J351" s="1" t="s">
        <v>1660</v>
      </c>
      <c r="K351" s="1" t="s">
        <v>1669</v>
      </c>
      <c r="L351" s="3" t="str">
        <f t="shared" si="1"/>
        <v>Outstanding</v>
      </c>
      <c r="M351" s="11" t="s">
        <v>19</v>
      </c>
    </row>
    <row r="352" spans="1:13" ht="60" customHeight="1" x14ac:dyDescent="0.35">
      <c r="A352" s="9" t="s">
        <v>1670</v>
      </c>
      <c r="B352" s="1" t="s">
        <v>1671</v>
      </c>
      <c r="C352" s="2" t="s">
        <v>15</v>
      </c>
      <c r="D352" s="3" t="s">
        <v>16</v>
      </c>
      <c r="E352" s="3" t="s">
        <v>17</v>
      </c>
      <c r="F352" s="3" t="s">
        <v>18</v>
      </c>
      <c r="G352" s="3" t="s">
        <v>19</v>
      </c>
      <c r="H352" s="4" t="s">
        <v>19</v>
      </c>
      <c r="I352" s="1" t="s">
        <v>1672</v>
      </c>
      <c r="J352" s="1" t="s">
        <v>1673</v>
      </c>
      <c r="K352" s="1" t="s">
        <v>1674</v>
      </c>
      <c r="L352" s="3" t="str">
        <f t="shared" si="1"/>
        <v>Outstanding</v>
      </c>
      <c r="M352" s="11" t="s">
        <v>19</v>
      </c>
    </row>
    <row r="353" spans="1:13" ht="60" customHeight="1" x14ac:dyDescent="0.35">
      <c r="A353" s="9" t="s">
        <v>1675</v>
      </c>
      <c r="B353" s="1" t="s">
        <v>1676</v>
      </c>
      <c r="C353" s="2" t="s">
        <v>15</v>
      </c>
      <c r="D353" s="3" t="s">
        <v>16</v>
      </c>
      <c r="E353" s="3" t="s">
        <v>17</v>
      </c>
      <c r="F353" s="3" t="s">
        <v>18</v>
      </c>
      <c r="G353" s="3" t="s">
        <v>19</v>
      </c>
      <c r="H353" s="4" t="s">
        <v>19</v>
      </c>
      <c r="I353" s="1" t="s">
        <v>1677</v>
      </c>
      <c r="J353" s="1" t="s">
        <v>1678</v>
      </c>
      <c r="K353" s="1" t="s">
        <v>1679</v>
      </c>
      <c r="L353" s="3" t="str">
        <f t="shared" si="1"/>
        <v>Outstanding</v>
      </c>
      <c r="M353" s="11" t="s">
        <v>19</v>
      </c>
    </row>
    <row r="354" spans="1:13" ht="60" customHeight="1" x14ac:dyDescent="0.35">
      <c r="A354" s="9" t="s">
        <v>1680</v>
      </c>
      <c r="B354" s="1" t="s">
        <v>1681</v>
      </c>
      <c r="C354" s="2" t="s">
        <v>15</v>
      </c>
      <c r="D354" s="3" t="s">
        <v>16</v>
      </c>
      <c r="E354" s="3" t="s">
        <v>17</v>
      </c>
      <c r="F354" s="3" t="s">
        <v>18</v>
      </c>
      <c r="G354" s="3" t="s">
        <v>19</v>
      </c>
      <c r="H354" s="4" t="s">
        <v>19</v>
      </c>
      <c r="I354" s="1" t="s">
        <v>1682</v>
      </c>
      <c r="J354" s="1" t="s">
        <v>1683</v>
      </c>
      <c r="K354" s="1" t="s">
        <v>1684</v>
      </c>
      <c r="L354" s="3" t="str">
        <f t="shared" si="1"/>
        <v>Outstanding</v>
      </c>
      <c r="M354" s="11" t="s">
        <v>19</v>
      </c>
    </row>
    <row r="355" spans="1:13" ht="60" customHeight="1" x14ac:dyDescent="0.35">
      <c r="A355" s="9" t="s">
        <v>1685</v>
      </c>
      <c r="B355" s="1" t="s">
        <v>1686</v>
      </c>
      <c r="C355" s="2" t="s">
        <v>15</v>
      </c>
      <c r="D355" s="3" t="s">
        <v>16</v>
      </c>
      <c r="E355" s="3" t="s">
        <v>17</v>
      </c>
      <c r="F355" s="3" t="s">
        <v>18</v>
      </c>
      <c r="G355" s="3" t="s">
        <v>19</v>
      </c>
      <c r="H355" s="4" t="s">
        <v>19</v>
      </c>
      <c r="I355" s="1" t="s">
        <v>1687</v>
      </c>
      <c r="J355" s="1" t="s">
        <v>1688</v>
      </c>
      <c r="K355" s="1" t="s">
        <v>1689</v>
      </c>
      <c r="L355" s="3" t="str">
        <f t="shared" si="1"/>
        <v>Outstanding</v>
      </c>
      <c r="M355" s="11" t="s">
        <v>19</v>
      </c>
    </row>
    <row r="356" spans="1:13" ht="60" customHeight="1" x14ac:dyDescent="0.35">
      <c r="A356" s="9" t="s">
        <v>1690</v>
      </c>
      <c r="B356" s="1" t="s">
        <v>1691</v>
      </c>
      <c r="C356" s="2" t="s">
        <v>15</v>
      </c>
      <c r="D356" s="3" t="s">
        <v>16</v>
      </c>
      <c r="E356" s="3" t="s">
        <v>17</v>
      </c>
      <c r="F356" s="3" t="s">
        <v>18</v>
      </c>
      <c r="G356" s="3" t="s">
        <v>19</v>
      </c>
      <c r="H356" s="4" t="s">
        <v>19</v>
      </c>
      <c r="I356" s="1" t="s">
        <v>1692</v>
      </c>
      <c r="J356" s="1" t="s">
        <v>1693</v>
      </c>
      <c r="K356" s="1" t="s">
        <v>1694</v>
      </c>
      <c r="L356" s="3" t="str">
        <f t="shared" si="1"/>
        <v>Outstanding</v>
      </c>
      <c r="M356" s="11" t="s">
        <v>19</v>
      </c>
    </row>
    <row r="357" spans="1:13" ht="60" customHeight="1" x14ac:dyDescent="0.35">
      <c r="A357" s="9" t="s">
        <v>1695</v>
      </c>
      <c r="B357" s="1" t="s">
        <v>1696</v>
      </c>
      <c r="C357" s="2" t="s">
        <v>15</v>
      </c>
      <c r="D357" s="3" t="s">
        <v>16</v>
      </c>
      <c r="E357" s="3" t="s">
        <v>17</v>
      </c>
      <c r="F357" s="3" t="s">
        <v>18</v>
      </c>
      <c r="G357" s="3" t="s">
        <v>19</v>
      </c>
      <c r="H357" s="4" t="s">
        <v>19</v>
      </c>
      <c r="I357" s="1" t="s">
        <v>1697</v>
      </c>
      <c r="J357" s="1" t="s">
        <v>1693</v>
      </c>
      <c r="K357" s="1" t="s">
        <v>1698</v>
      </c>
      <c r="L357" s="3" t="str">
        <f t="shared" si="1"/>
        <v>Outstanding</v>
      </c>
      <c r="M357" s="11" t="s">
        <v>19</v>
      </c>
    </row>
    <row r="358" spans="1:13" ht="60" customHeight="1" x14ac:dyDescent="0.35">
      <c r="A358" s="9" t="s">
        <v>1699</v>
      </c>
      <c r="B358" s="1" t="s">
        <v>1700</v>
      </c>
      <c r="C358" s="2" t="s">
        <v>15</v>
      </c>
      <c r="D358" s="3" t="s">
        <v>16</v>
      </c>
      <c r="E358" s="3" t="s">
        <v>17</v>
      </c>
      <c r="F358" s="3" t="s">
        <v>18</v>
      </c>
      <c r="G358" s="3" t="s">
        <v>19</v>
      </c>
      <c r="H358" s="4" t="s">
        <v>19</v>
      </c>
      <c r="I358" s="1" t="s">
        <v>1701</v>
      </c>
      <c r="J358" s="1" t="s">
        <v>1693</v>
      </c>
      <c r="K358" s="1" t="s">
        <v>1702</v>
      </c>
      <c r="L358" s="3" t="str">
        <f t="shared" si="1"/>
        <v>Outstanding</v>
      </c>
      <c r="M358" s="11" t="s">
        <v>19</v>
      </c>
    </row>
    <row r="359" spans="1:13" ht="60" customHeight="1" x14ac:dyDescent="0.35">
      <c r="A359" s="9" t="s">
        <v>1703</v>
      </c>
      <c r="B359" s="1" t="s">
        <v>1704</v>
      </c>
      <c r="C359" s="2" t="s">
        <v>15</v>
      </c>
      <c r="D359" s="3" t="s">
        <v>16</v>
      </c>
      <c r="E359" s="3" t="s">
        <v>17</v>
      </c>
      <c r="F359" s="3" t="s">
        <v>18</v>
      </c>
      <c r="G359" s="3" t="s">
        <v>19</v>
      </c>
      <c r="H359" s="4" t="s">
        <v>19</v>
      </c>
      <c r="I359" s="1" t="s">
        <v>1705</v>
      </c>
      <c r="J359" s="1" t="s">
        <v>1706</v>
      </c>
      <c r="K359" s="1" t="s">
        <v>1707</v>
      </c>
      <c r="L359" s="3" t="str">
        <f t="shared" si="1"/>
        <v>Outstanding</v>
      </c>
      <c r="M359" s="11" t="s">
        <v>19</v>
      </c>
    </row>
    <row r="360" spans="1:13" ht="60" customHeight="1" x14ac:dyDescent="0.35">
      <c r="A360" s="9" t="s">
        <v>1708</v>
      </c>
      <c r="B360" s="1" t="s">
        <v>1709</v>
      </c>
      <c r="C360" s="2" t="s">
        <v>15</v>
      </c>
      <c r="D360" s="3" t="s">
        <v>16</v>
      </c>
      <c r="E360" s="3" t="s">
        <v>17</v>
      </c>
      <c r="F360" s="3" t="s">
        <v>18</v>
      </c>
      <c r="G360" s="3" t="s">
        <v>19</v>
      </c>
      <c r="H360" s="4" t="s">
        <v>19</v>
      </c>
      <c r="I360" s="1" t="s">
        <v>1710</v>
      </c>
      <c r="J360" s="1" t="s">
        <v>1711</v>
      </c>
      <c r="K360" s="1" t="s">
        <v>1712</v>
      </c>
      <c r="L360" s="3" t="str">
        <f t="shared" si="1"/>
        <v>Outstanding</v>
      </c>
      <c r="M360" s="11" t="s">
        <v>19</v>
      </c>
    </row>
    <row r="361" spans="1:13" ht="60" customHeight="1" x14ac:dyDescent="0.35">
      <c r="A361" s="9" t="s">
        <v>1713</v>
      </c>
      <c r="B361" s="1" t="s">
        <v>1714</v>
      </c>
      <c r="C361" s="2" t="s">
        <v>15</v>
      </c>
      <c r="D361" s="3" t="s">
        <v>16</v>
      </c>
      <c r="E361" s="3" t="s">
        <v>17</v>
      </c>
      <c r="F361" s="3" t="s">
        <v>18</v>
      </c>
      <c r="G361" s="3" t="s">
        <v>19</v>
      </c>
      <c r="H361" s="4" t="s">
        <v>19</v>
      </c>
      <c r="I361" s="1" t="s">
        <v>1715</v>
      </c>
      <c r="J361" s="1" t="s">
        <v>1716</v>
      </c>
      <c r="K361" s="1" t="s">
        <v>1717</v>
      </c>
      <c r="L361" s="3" t="str">
        <f t="shared" si="1"/>
        <v>Outstanding</v>
      </c>
      <c r="M361" s="11" t="s">
        <v>19</v>
      </c>
    </row>
    <row r="362" spans="1:13" ht="60" customHeight="1" x14ac:dyDescent="0.35">
      <c r="A362" s="9" t="s">
        <v>1718</v>
      </c>
      <c r="B362" s="1" t="s">
        <v>1719</v>
      </c>
      <c r="C362" s="2" t="s">
        <v>15</v>
      </c>
      <c r="D362" s="3" t="s">
        <v>16</v>
      </c>
      <c r="E362" s="3" t="s">
        <v>17</v>
      </c>
      <c r="F362" s="3" t="s">
        <v>18</v>
      </c>
      <c r="G362" s="3" t="s">
        <v>19</v>
      </c>
      <c r="H362" s="4" t="s">
        <v>19</v>
      </c>
      <c r="I362" s="1" t="s">
        <v>1720</v>
      </c>
      <c r="J362" s="1" t="s">
        <v>1721</v>
      </c>
      <c r="K362" s="1" t="s">
        <v>1722</v>
      </c>
      <c r="L362" s="3" t="str">
        <f t="shared" si="1"/>
        <v>Outstanding</v>
      </c>
      <c r="M362" s="11" t="s">
        <v>19</v>
      </c>
    </row>
    <row r="363" spans="1:13" ht="60" customHeight="1" x14ac:dyDescent="0.35">
      <c r="A363" s="9" t="s">
        <v>1723</v>
      </c>
      <c r="B363" s="1" t="s">
        <v>1724</v>
      </c>
      <c r="C363" s="2" t="s">
        <v>15</v>
      </c>
      <c r="D363" s="3" t="s">
        <v>16</v>
      </c>
      <c r="E363" s="3" t="s">
        <v>17</v>
      </c>
      <c r="F363" s="3" t="s">
        <v>18</v>
      </c>
      <c r="G363" s="3" t="s">
        <v>19</v>
      </c>
      <c r="H363" s="4" t="s">
        <v>19</v>
      </c>
      <c r="I363" s="1" t="s">
        <v>1725</v>
      </c>
      <c r="J363" s="1" t="s">
        <v>1726</v>
      </c>
      <c r="K363" s="1" t="s">
        <v>1727</v>
      </c>
      <c r="L363" s="3" t="str">
        <f t="shared" si="1"/>
        <v>Outstanding</v>
      </c>
      <c r="M363" s="11" t="s">
        <v>19</v>
      </c>
    </row>
    <row r="364" spans="1:13" ht="60" customHeight="1" x14ac:dyDescent="0.35">
      <c r="A364" s="9" t="s">
        <v>1728</v>
      </c>
      <c r="B364" s="1" t="s">
        <v>1729</v>
      </c>
      <c r="C364" s="2" t="s">
        <v>15</v>
      </c>
      <c r="D364" s="3" t="s">
        <v>16</v>
      </c>
      <c r="E364" s="3" t="s">
        <v>17</v>
      </c>
      <c r="F364" s="3" t="s">
        <v>18</v>
      </c>
      <c r="G364" s="3" t="s">
        <v>19</v>
      </c>
      <c r="H364" s="4" t="s">
        <v>19</v>
      </c>
      <c r="I364" s="1" t="s">
        <v>1730</v>
      </c>
      <c r="J364" s="1" t="s">
        <v>1731</v>
      </c>
      <c r="K364" s="1" t="s">
        <v>1732</v>
      </c>
      <c r="L364" s="3" t="str">
        <f t="shared" si="1"/>
        <v>Outstanding</v>
      </c>
      <c r="M364" s="11" t="s">
        <v>19</v>
      </c>
    </row>
    <row r="365" spans="1:13" ht="60" customHeight="1" x14ac:dyDescent="0.35">
      <c r="A365" s="9" t="s">
        <v>1733</v>
      </c>
      <c r="B365" s="1" t="s">
        <v>1734</v>
      </c>
      <c r="C365" s="2" t="s">
        <v>15</v>
      </c>
      <c r="D365" s="3" t="s">
        <v>16</v>
      </c>
      <c r="E365" s="3" t="s">
        <v>17</v>
      </c>
      <c r="F365" s="3" t="s">
        <v>18</v>
      </c>
      <c r="G365" s="3" t="s">
        <v>19</v>
      </c>
      <c r="H365" s="4" t="s">
        <v>19</v>
      </c>
      <c r="I365" s="1" t="s">
        <v>1735</v>
      </c>
      <c r="J365" s="1" t="s">
        <v>1736</v>
      </c>
      <c r="K365" s="1" t="s">
        <v>1737</v>
      </c>
      <c r="L365" s="3" t="str">
        <f t="shared" si="1"/>
        <v>Outstanding</v>
      </c>
      <c r="M365" s="11" t="s">
        <v>19</v>
      </c>
    </row>
    <row r="366" spans="1:13" ht="60" customHeight="1" x14ac:dyDescent="0.35">
      <c r="A366" s="9" t="s">
        <v>1738</v>
      </c>
      <c r="B366" s="1" t="s">
        <v>1739</v>
      </c>
      <c r="C366" s="2" t="s">
        <v>29</v>
      </c>
      <c r="D366" s="3" t="s">
        <v>16</v>
      </c>
      <c r="E366" s="3" t="s">
        <v>17</v>
      </c>
      <c r="F366" s="3" t="s">
        <v>18</v>
      </c>
      <c r="G366" s="3" t="s">
        <v>19</v>
      </c>
      <c r="H366" s="4" t="s">
        <v>19</v>
      </c>
      <c r="I366" s="1" t="s">
        <v>1740</v>
      </c>
      <c r="J366" s="1" t="s">
        <v>1741</v>
      </c>
      <c r="K366" s="1" t="s">
        <v>1742</v>
      </c>
      <c r="L366" s="3" t="str">
        <f t="shared" si="1"/>
        <v>Outstanding</v>
      </c>
      <c r="M366" s="11" t="s">
        <v>19</v>
      </c>
    </row>
    <row r="367" spans="1:13" ht="60" customHeight="1" x14ac:dyDescent="0.35">
      <c r="A367" s="9" t="s">
        <v>1743</v>
      </c>
      <c r="B367" s="1" t="s">
        <v>1744</v>
      </c>
      <c r="C367" s="2" t="s">
        <v>29</v>
      </c>
      <c r="D367" s="3" t="s">
        <v>16</v>
      </c>
      <c r="E367" s="3" t="s">
        <v>17</v>
      </c>
      <c r="F367" s="3" t="s">
        <v>18</v>
      </c>
      <c r="G367" s="3" t="s">
        <v>19</v>
      </c>
      <c r="H367" s="4" t="s">
        <v>19</v>
      </c>
      <c r="I367" s="1" t="s">
        <v>1745</v>
      </c>
      <c r="J367" s="1" t="s">
        <v>1741</v>
      </c>
      <c r="K367" s="1" t="s">
        <v>1746</v>
      </c>
      <c r="L367" s="3" t="str">
        <f t="shared" si="1"/>
        <v>Outstanding</v>
      </c>
      <c r="M367" s="11" t="s">
        <v>19</v>
      </c>
    </row>
    <row r="368" spans="1:13" ht="60" customHeight="1" x14ac:dyDescent="0.35">
      <c r="A368" s="9" t="s">
        <v>1747</v>
      </c>
      <c r="B368" s="1" t="s">
        <v>39</v>
      </c>
      <c r="C368" s="2" t="s">
        <v>29</v>
      </c>
      <c r="D368" s="3" t="s">
        <v>16</v>
      </c>
      <c r="E368" s="3" t="s">
        <v>17</v>
      </c>
      <c r="F368" s="3" t="s">
        <v>18</v>
      </c>
      <c r="G368" s="3" t="s">
        <v>19</v>
      </c>
      <c r="H368" s="4" t="s">
        <v>19</v>
      </c>
      <c r="I368" s="1" t="s">
        <v>1748</v>
      </c>
      <c r="J368" s="1" t="s">
        <v>1749</v>
      </c>
      <c r="K368" s="1" t="s">
        <v>1750</v>
      </c>
      <c r="L368" s="3" t="str">
        <f t="shared" si="1"/>
        <v>Outstanding</v>
      </c>
      <c r="M368" s="11" t="s">
        <v>19</v>
      </c>
    </row>
    <row r="369" spans="1:13" ht="60" customHeight="1" x14ac:dyDescent="0.35">
      <c r="A369" s="9" t="s">
        <v>1751</v>
      </c>
      <c r="B369" s="1" t="s">
        <v>1752</v>
      </c>
      <c r="C369" s="2" t="s">
        <v>29</v>
      </c>
      <c r="D369" s="3" t="s">
        <v>16</v>
      </c>
      <c r="E369" s="3" t="s">
        <v>17</v>
      </c>
      <c r="F369" s="3" t="s">
        <v>18</v>
      </c>
      <c r="G369" s="3" t="s">
        <v>19</v>
      </c>
      <c r="H369" s="4" t="s">
        <v>19</v>
      </c>
      <c r="I369" s="1" t="s">
        <v>1753</v>
      </c>
      <c r="J369" s="1" t="s">
        <v>1741</v>
      </c>
      <c r="K369" s="1" t="s">
        <v>1754</v>
      </c>
      <c r="L369" s="3" t="str">
        <f t="shared" si="1"/>
        <v>Outstanding</v>
      </c>
      <c r="M369" s="11" t="s">
        <v>19</v>
      </c>
    </row>
    <row r="370" spans="1:13" ht="60" customHeight="1" x14ac:dyDescent="0.35">
      <c r="A370" s="9" t="s">
        <v>1755</v>
      </c>
      <c r="B370" s="1" t="s">
        <v>1756</v>
      </c>
      <c r="C370" s="2" t="s">
        <v>29</v>
      </c>
      <c r="D370" s="3" t="s">
        <v>16</v>
      </c>
      <c r="E370" s="3" t="s">
        <v>17</v>
      </c>
      <c r="F370" s="3" t="s">
        <v>18</v>
      </c>
      <c r="G370" s="3" t="s">
        <v>19</v>
      </c>
      <c r="H370" s="4" t="s">
        <v>19</v>
      </c>
      <c r="I370" s="1" t="s">
        <v>1757</v>
      </c>
      <c r="J370" s="1" t="s">
        <v>1758</v>
      </c>
      <c r="K370" s="1" t="s">
        <v>1759</v>
      </c>
      <c r="L370" s="3" t="str">
        <f t="shared" si="1"/>
        <v>Outstanding</v>
      </c>
      <c r="M370" s="11" t="s">
        <v>19</v>
      </c>
    </row>
    <row r="371" spans="1:13" ht="60" customHeight="1" x14ac:dyDescent="0.35">
      <c r="A371" s="9" t="s">
        <v>1760</v>
      </c>
      <c r="B371" s="1" t="s">
        <v>1761</v>
      </c>
      <c r="C371" s="2" t="s">
        <v>29</v>
      </c>
      <c r="D371" s="3" t="s">
        <v>16</v>
      </c>
      <c r="E371" s="3" t="s">
        <v>17</v>
      </c>
      <c r="F371" s="3" t="s">
        <v>18</v>
      </c>
      <c r="G371" s="3" t="s">
        <v>19</v>
      </c>
      <c r="H371" s="4" t="s">
        <v>19</v>
      </c>
      <c r="I371" s="1" t="s">
        <v>1762</v>
      </c>
      <c r="J371" s="1" t="s">
        <v>1758</v>
      </c>
      <c r="K371" s="1" t="s">
        <v>1763</v>
      </c>
      <c r="L371" s="3" t="str">
        <f t="shared" si="1"/>
        <v>Outstanding</v>
      </c>
      <c r="M371" s="11" t="s">
        <v>19</v>
      </c>
    </row>
    <row r="372" spans="1:13" ht="60" customHeight="1" x14ac:dyDescent="0.35">
      <c r="A372" s="9" t="s">
        <v>1764</v>
      </c>
      <c r="B372" s="1" t="s">
        <v>1765</v>
      </c>
      <c r="C372" s="2" t="s">
        <v>29</v>
      </c>
      <c r="D372" s="3" t="s">
        <v>16</v>
      </c>
      <c r="E372" s="3" t="s">
        <v>17</v>
      </c>
      <c r="F372" s="3" t="s">
        <v>18</v>
      </c>
      <c r="G372" s="3" t="s">
        <v>19</v>
      </c>
      <c r="H372" s="4" t="s">
        <v>19</v>
      </c>
      <c r="I372" s="1" t="s">
        <v>1766</v>
      </c>
      <c r="J372" s="1" t="s">
        <v>1767</v>
      </c>
      <c r="K372" s="1" t="s">
        <v>1768</v>
      </c>
      <c r="L372" s="3" t="str">
        <f t="shared" si="1"/>
        <v>Outstanding</v>
      </c>
      <c r="M372" s="11" t="s">
        <v>19</v>
      </c>
    </row>
    <row r="373" spans="1:13" ht="60" customHeight="1" x14ac:dyDescent="0.35">
      <c r="A373" s="9" t="s">
        <v>1769</v>
      </c>
      <c r="B373" s="1" t="s">
        <v>1770</v>
      </c>
      <c r="C373" s="2" t="s">
        <v>29</v>
      </c>
      <c r="D373" s="3" t="s">
        <v>16</v>
      </c>
      <c r="E373" s="3" t="s">
        <v>17</v>
      </c>
      <c r="F373" s="3" t="s">
        <v>18</v>
      </c>
      <c r="G373" s="3" t="s">
        <v>19</v>
      </c>
      <c r="H373" s="4" t="s">
        <v>19</v>
      </c>
      <c r="I373" s="1" t="s">
        <v>1771</v>
      </c>
      <c r="J373" s="1" t="s">
        <v>1772</v>
      </c>
      <c r="K373" s="1" t="s">
        <v>1773</v>
      </c>
      <c r="L373" s="3" t="str">
        <f t="shared" si="1"/>
        <v>Outstanding</v>
      </c>
      <c r="M373" s="11" t="s">
        <v>19</v>
      </c>
    </row>
    <row r="374" spans="1:13" ht="60" customHeight="1" x14ac:dyDescent="0.35">
      <c r="A374" s="9" t="s">
        <v>1774</v>
      </c>
      <c r="B374" s="1" t="s">
        <v>1775</v>
      </c>
      <c r="C374" s="2" t="s">
        <v>29</v>
      </c>
      <c r="D374" s="3" t="s">
        <v>16</v>
      </c>
      <c r="E374" s="3" t="s">
        <v>17</v>
      </c>
      <c r="F374" s="3" t="s">
        <v>18</v>
      </c>
      <c r="G374" s="3" t="s">
        <v>19</v>
      </c>
      <c r="H374" s="4" t="s">
        <v>19</v>
      </c>
      <c r="I374" s="1" t="s">
        <v>1776</v>
      </c>
      <c r="J374" s="1" t="s">
        <v>1777</v>
      </c>
      <c r="K374" s="1" t="s">
        <v>1778</v>
      </c>
      <c r="L374" s="3" t="str">
        <f t="shared" si="1"/>
        <v>Outstanding</v>
      </c>
      <c r="M374" s="11" t="s">
        <v>19</v>
      </c>
    </row>
    <row r="375" spans="1:13" ht="60" customHeight="1" x14ac:dyDescent="0.35">
      <c r="A375" s="9" t="s">
        <v>1779</v>
      </c>
      <c r="B375" s="1" t="s">
        <v>1780</v>
      </c>
      <c r="C375" s="2" t="s">
        <v>29</v>
      </c>
      <c r="D375" s="3" t="s">
        <v>16</v>
      </c>
      <c r="E375" s="3" t="s">
        <v>17</v>
      </c>
      <c r="F375" s="3" t="s">
        <v>18</v>
      </c>
      <c r="G375" s="3" t="s">
        <v>19</v>
      </c>
      <c r="H375" s="4" t="s">
        <v>19</v>
      </c>
      <c r="I375" s="1" t="s">
        <v>1781</v>
      </c>
      <c r="J375" s="1" t="s">
        <v>1777</v>
      </c>
      <c r="K375" s="1" t="s">
        <v>1782</v>
      </c>
      <c r="L375" s="3" t="str">
        <f t="shared" si="1"/>
        <v>Outstanding</v>
      </c>
      <c r="M375" s="11" t="s">
        <v>19</v>
      </c>
    </row>
    <row r="376" spans="1:13" ht="60" customHeight="1" x14ac:dyDescent="0.35">
      <c r="A376" s="10" t="s">
        <v>1783</v>
      </c>
      <c r="B376" s="5" t="s">
        <v>1784</v>
      </c>
      <c r="C376" s="6" t="s">
        <v>15</v>
      </c>
      <c r="D376" s="7" t="s">
        <v>16</v>
      </c>
      <c r="E376" s="7" t="s">
        <v>17</v>
      </c>
      <c r="F376" s="7" t="s">
        <v>18</v>
      </c>
      <c r="G376" s="7" t="s">
        <v>19</v>
      </c>
      <c r="H376" s="8" t="s">
        <v>19</v>
      </c>
      <c r="I376" s="5" t="s">
        <v>1785</v>
      </c>
      <c r="J376" s="5" t="s">
        <v>810</v>
      </c>
      <c r="K376" s="5" t="s">
        <v>1786</v>
      </c>
      <c r="L376" s="7" t="str">
        <f t="shared" si="1"/>
        <v>Outstanding</v>
      </c>
      <c r="M376" s="12" t="s">
        <v>19</v>
      </c>
    </row>
    <row r="380" spans="1:13" ht="32" customHeight="1" x14ac:dyDescent="0.35">
      <c r="A380" s="288" t="s">
        <v>1787</v>
      </c>
      <c r="B380" s="288"/>
      <c r="C380" s="288"/>
      <c r="D380" s="288"/>
    </row>
  </sheetData>
  <mergeCells count="1">
    <mergeCell ref="A380:D380"/>
  </mergeCells>
  <conditionalFormatting sqref="C2:C376">
    <cfRule type="expression" dxfId="73" priority="14">
      <formula>LEFT($C2,7)="CAT III"</formula>
    </cfRule>
    <cfRule type="expression" dxfId="72" priority="15">
      <formula>LEFT($C2,6)="CAT II"</formula>
    </cfRule>
    <cfRule type="expression" dxfId="71" priority="16">
      <formula>LEFT($C2,5)="CAT I"</formula>
    </cfRule>
  </conditionalFormatting>
  <conditionalFormatting sqref="D2:D376">
    <cfRule type="cellIs" dxfId="70" priority="1" operator="equal">
      <formula>"Must"</formula>
    </cfRule>
    <cfRule type="cellIs" dxfId="69" priority="2" operator="equal">
      <formula>"Should"</formula>
    </cfRule>
    <cfRule type="cellIs" dxfId="68" priority="3" operator="equal">
      <formula>"Could"</formula>
    </cfRule>
    <cfRule type="cellIs" dxfId="67" priority="4" operator="equal">
      <formula>"Won't"</formula>
    </cfRule>
  </conditionalFormatting>
  <conditionalFormatting sqref="E2:E376">
    <cfRule type="cellIs" dxfId="66" priority="5" operator="equal">
      <formula>"Low"</formula>
    </cfRule>
    <cfRule type="cellIs" dxfId="65" priority="6" operator="equal">
      <formula>"Medium"</formula>
    </cfRule>
    <cfRule type="cellIs" dxfId="64" priority="7" operator="equal">
      <formula>"High"</formula>
    </cfRule>
  </conditionalFormatting>
  <conditionalFormatting sqref="G2:G376">
    <cfRule type="cellIs" dxfId="63" priority="8" operator="equal">
      <formula>"Implemented"</formula>
    </cfRule>
    <cfRule type="cellIs" dxfId="62" priority="9" operator="equal">
      <formula>"Compensated"</formula>
    </cfRule>
    <cfRule type="cellIs" dxfId="61" priority="10" operator="equal">
      <formula>"Testing"</formula>
    </cfRule>
    <cfRule type="cellIs" dxfId="60" priority="11" operator="equal">
      <formula>"Failed"</formula>
    </cfRule>
    <cfRule type="cellIs" dxfId="59" priority="12" operator="equal">
      <formula>"Risk Accepted"</formula>
    </cfRule>
    <cfRule type="cellIs" dxfId="58" priority="13" operator="equal">
      <formula>"N/A"</formula>
    </cfRule>
  </conditionalFormatting>
  <dataValidations count="4">
    <dataValidation type="list" showErrorMessage="1" errorTitle="Invalid Value" error="Please select a value from the list: Must, Should, Could, Won't, Unassigned." sqref="D2:D376" xr:uid="{00000000-0002-0000-0200-000000000000}">
      <formula1>"Must,Should,Could,Won't,Unassigned"</formula1>
    </dataValidation>
    <dataValidation type="list" showErrorMessage="1" errorTitle="Invalid Value" error="Please select a value from the list: Low, Medium, High, Unassessed." sqref="E2:E376" xr:uid="{00000000-0002-0000-0200-000001000000}">
      <formula1>"Low,Medium,High,Unassessed"</formula1>
    </dataValidation>
    <dataValidation type="list" showErrorMessage="1" errorTitle="Invalid Value" error="Please select a value from the list: Phase1, Phase2, Phase3, Phase4, Phase5, Pending." sqref="F2:F376"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376" xr:uid="{00000000-0002-0000-0200-000003000000}">
      <formula1>"Implemented,Testing,Failed,Compensated,Risk Accepted,N/A"</formula1>
    </dataValidation>
  </dataValidations>
  <hyperlinks>
    <hyperlink ref="A380"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305" t="s">
        <v>1936</v>
      </c>
      <c r="C2" s="305" t="s">
        <v>1936</v>
      </c>
      <c r="D2" s="305" t="s">
        <v>1936</v>
      </c>
      <c r="E2" s="305" t="s">
        <v>1936</v>
      </c>
      <c r="F2" s="305" t="s">
        <v>1936</v>
      </c>
      <c r="G2" s="305" t="s">
        <v>1936</v>
      </c>
      <c r="H2" s="309" t="s">
        <v>1937</v>
      </c>
      <c r="I2" s="309" t="s">
        <v>1937</v>
      </c>
      <c r="J2" s="309" t="s">
        <v>1937</v>
      </c>
      <c r="K2" s="309" t="s">
        <v>1937</v>
      </c>
      <c r="L2" s="309" t="s">
        <v>1937</v>
      </c>
      <c r="M2" s="308" t="s">
        <v>1938</v>
      </c>
      <c r="N2" s="308" t="s">
        <v>1938</v>
      </c>
      <c r="O2" s="310" t="s">
        <v>1939</v>
      </c>
      <c r="P2" s="310" t="s">
        <v>1939</v>
      </c>
      <c r="Q2" s="306" t="s">
        <v>11</v>
      </c>
      <c r="R2" s="306" t="s">
        <v>11</v>
      </c>
      <c r="S2" s="306" t="s">
        <v>11</v>
      </c>
      <c r="T2" s="307" t="s">
        <v>1940</v>
      </c>
    </row>
    <row r="3" spans="2:20" ht="35" customHeight="1" x14ac:dyDescent="0.35">
      <c r="B3" s="70" t="s">
        <v>1941</v>
      </c>
      <c r="C3" s="70" t="s">
        <v>1942</v>
      </c>
      <c r="D3" s="70" t="s">
        <v>1943</v>
      </c>
      <c r="E3" s="70" t="s">
        <v>1944</v>
      </c>
      <c r="F3" s="70" t="s">
        <v>1945</v>
      </c>
      <c r="G3" s="70" t="s">
        <v>9</v>
      </c>
      <c r="H3" s="71" t="s">
        <v>1946</v>
      </c>
      <c r="I3" s="71" t="s">
        <v>1947</v>
      </c>
      <c r="J3" s="71" t="s">
        <v>1948</v>
      </c>
      <c r="K3" s="71" t="s">
        <v>1949</v>
      </c>
      <c r="L3" s="71" t="s">
        <v>1881</v>
      </c>
      <c r="M3" s="72" t="s">
        <v>1950</v>
      </c>
      <c r="N3" s="72" t="s">
        <v>1951</v>
      </c>
      <c r="O3" s="73" t="s">
        <v>1952</v>
      </c>
      <c r="P3" s="73" t="s">
        <v>1953</v>
      </c>
      <c r="Q3" s="74" t="s">
        <v>11</v>
      </c>
      <c r="R3" s="74" t="s">
        <v>1954</v>
      </c>
      <c r="S3" s="74" t="s">
        <v>1955</v>
      </c>
      <c r="T3" s="75" t="s">
        <v>1956</v>
      </c>
    </row>
    <row r="4" spans="2:20" ht="60" customHeight="1" x14ac:dyDescent="0.35">
      <c r="B4" s="76" t="s">
        <v>1957</v>
      </c>
      <c r="C4" s="76" t="s">
        <v>1958</v>
      </c>
      <c r="D4" s="76" t="s">
        <v>1959</v>
      </c>
      <c r="E4" s="76" t="s">
        <v>1960</v>
      </c>
      <c r="F4" s="76" t="s">
        <v>1961</v>
      </c>
      <c r="G4" s="76" t="s">
        <v>1962</v>
      </c>
      <c r="H4" s="76" t="s">
        <v>1963</v>
      </c>
      <c r="I4" s="76" t="s">
        <v>1964</v>
      </c>
      <c r="J4" s="76" t="s">
        <v>1965</v>
      </c>
      <c r="K4" s="76" t="s">
        <v>1966</v>
      </c>
      <c r="L4" s="76" t="s">
        <v>1967</v>
      </c>
      <c r="M4" s="76" t="s">
        <v>1968</v>
      </c>
      <c r="N4" s="76" t="s">
        <v>1969</v>
      </c>
      <c r="O4" s="76" t="s">
        <v>1970</v>
      </c>
      <c r="P4" s="76" t="s">
        <v>1971</v>
      </c>
      <c r="Q4" s="76" t="s">
        <v>1972</v>
      </c>
      <c r="R4" s="76" t="s">
        <v>1973</v>
      </c>
      <c r="S4" s="76" t="s">
        <v>1974</v>
      </c>
      <c r="T4" s="76" t="s">
        <v>1975</v>
      </c>
    </row>
    <row r="5" spans="2:20" ht="60" customHeight="1" x14ac:dyDescent="0.35">
      <c r="B5" s="38" t="s">
        <v>1976</v>
      </c>
      <c r="C5" s="77"/>
      <c r="D5" s="78"/>
      <c r="E5" s="78" t="s">
        <v>19</v>
      </c>
      <c r="F5" s="78" t="str">
        <f>IF(E5&lt;&gt;"", IFERROR(VLOOKUP(E5, Dashboard!$B29:$F34, 5, FALSE), ""), "")</f>
        <v/>
      </c>
      <c r="G5" s="79"/>
      <c r="H5" s="66"/>
      <c r="I5" s="66"/>
      <c r="J5" s="79"/>
      <c r="K5" s="79"/>
      <c r="L5" s="40"/>
      <c r="M5" s="40"/>
      <c r="N5" s="79"/>
      <c r="O5" s="79"/>
      <c r="P5" s="40"/>
      <c r="Q5" s="40" t="s">
        <v>19</v>
      </c>
      <c r="R5" s="79"/>
      <c r="S5" s="66"/>
      <c r="T5" s="79"/>
    </row>
    <row r="6" spans="2:20" ht="60" customHeight="1" x14ac:dyDescent="0.35">
      <c r="B6" s="38" t="s">
        <v>1977</v>
      </c>
      <c r="C6" s="77"/>
      <c r="D6" s="78"/>
      <c r="E6" s="78" t="s">
        <v>19</v>
      </c>
      <c r="F6" s="78" t="str">
        <f>IF(E6&lt;&gt;"", IFERROR(VLOOKUP(E6, Dashboard!$B29:$F34, 5, FALSE), ""), "")</f>
        <v/>
      </c>
      <c r="G6" s="79"/>
      <c r="H6" s="66"/>
      <c r="I6" s="66"/>
      <c r="J6" s="79"/>
      <c r="K6" s="79"/>
      <c r="L6" s="40"/>
      <c r="M6" s="40"/>
      <c r="N6" s="79"/>
      <c r="O6" s="79"/>
      <c r="P6" s="40"/>
      <c r="Q6" s="40" t="s">
        <v>19</v>
      </c>
      <c r="R6" s="79"/>
      <c r="S6" s="66"/>
      <c r="T6" s="79"/>
    </row>
    <row r="7" spans="2:20" ht="60" customHeight="1" x14ac:dyDescent="0.35">
      <c r="B7" s="38" t="s">
        <v>1978</v>
      </c>
      <c r="C7" s="77"/>
      <c r="D7" s="78"/>
      <c r="E7" s="78" t="s">
        <v>19</v>
      </c>
      <c r="F7" s="78" t="str">
        <f>IF(E7&lt;&gt;"", IFERROR(VLOOKUP(E7, Dashboard!$B29:$F34, 5, FALSE), ""), "")</f>
        <v/>
      </c>
      <c r="G7" s="79"/>
      <c r="H7" s="66"/>
      <c r="I7" s="66"/>
      <c r="J7" s="79"/>
      <c r="K7" s="79"/>
      <c r="L7" s="40"/>
      <c r="M7" s="40"/>
      <c r="N7" s="79"/>
      <c r="O7" s="79"/>
      <c r="P7" s="40"/>
      <c r="Q7" s="40" t="s">
        <v>19</v>
      </c>
      <c r="R7" s="79"/>
      <c r="S7" s="66"/>
      <c r="T7" s="79"/>
    </row>
    <row r="8" spans="2:20" ht="60" customHeight="1" x14ac:dyDescent="0.35">
      <c r="B8" s="38" t="s">
        <v>1979</v>
      </c>
      <c r="C8" s="77"/>
      <c r="D8" s="78"/>
      <c r="E8" s="78" t="s">
        <v>19</v>
      </c>
      <c r="F8" s="78" t="str">
        <f>IF(E8&lt;&gt;"", IFERROR(VLOOKUP(E8, Dashboard!$B29:$F34, 5, FALSE), ""), "")</f>
        <v/>
      </c>
      <c r="G8" s="79"/>
      <c r="H8" s="66"/>
      <c r="I8" s="66"/>
      <c r="J8" s="79"/>
      <c r="K8" s="79"/>
      <c r="L8" s="40"/>
      <c r="M8" s="40"/>
      <c r="N8" s="79"/>
      <c r="O8" s="79"/>
      <c r="P8" s="40"/>
      <c r="Q8" s="40" t="s">
        <v>19</v>
      </c>
      <c r="R8" s="79"/>
      <c r="S8" s="66"/>
      <c r="T8" s="79"/>
    </row>
    <row r="9" spans="2:20" ht="60" customHeight="1" x14ac:dyDescent="0.35">
      <c r="B9" s="38" t="s">
        <v>1980</v>
      </c>
      <c r="C9" s="77"/>
      <c r="D9" s="78"/>
      <c r="E9" s="78" t="s">
        <v>19</v>
      </c>
      <c r="F9" s="78" t="str">
        <f>IF(E9&lt;&gt;"", IFERROR(VLOOKUP(E9, Dashboard!$B29:$F34, 5, FALSE), ""), "")</f>
        <v/>
      </c>
      <c r="G9" s="79"/>
      <c r="H9" s="66"/>
      <c r="I9" s="66"/>
      <c r="J9" s="79"/>
      <c r="K9" s="79"/>
      <c r="L9" s="40"/>
      <c r="M9" s="40"/>
      <c r="N9" s="79"/>
      <c r="O9" s="79"/>
      <c r="P9" s="40"/>
      <c r="Q9" s="40" t="s">
        <v>19</v>
      </c>
      <c r="R9" s="79"/>
      <c r="S9" s="66"/>
      <c r="T9" s="79"/>
    </row>
    <row r="10" spans="2:20" ht="60" customHeight="1" x14ac:dyDescent="0.35">
      <c r="B10" s="38" t="s">
        <v>1981</v>
      </c>
      <c r="C10" s="77"/>
      <c r="D10" s="78"/>
      <c r="E10" s="78" t="s">
        <v>19</v>
      </c>
      <c r="F10" s="78" t="str">
        <f>IF(E10&lt;&gt;"", IFERROR(VLOOKUP(E10, Dashboard!$B29:$F34, 5, FALSE), ""), "")</f>
        <v/>
      </c>
      <c r="G10" s="79"/>
      <c r="H10" s="66"/>
      <c r="I10" s="66"/>
      <c r="J10" s="79"/>
      <c r="K10" s="79"/>
      <c r="L10" s="40"/>
      <c r="M10" s="40"/>
      <c r="N10" s="79"/>
      <c r="O10" s="79"/>
      <c r="P10" s="40"/>
      <c r="Q10" s="40" t="s">
        <v>19</v>
      </c>
      <c r="R10" s="79"/>
      <c r="S10" s="66"/>
      <c r="T10" s="79"/>
    </row>
    <row r="11" spans="2:20" ht="60" customHeight="1" x14ac:dyDescent="0.35">
      <c r="B11" s="38" t="s">
        <v>1982</v>
      </c>
      <c r="C11" s="77"/>
      <c r="D11" s="78"/>
      <c r="E11" s="78" t="s">
        <v>19</v>
      </c>
      <c r="F11" s="78" t="str">
        <f>IF(E11&lt;&gt;"", IFERROR(VLOOKUP(E11, Dashboard!$B29:$F34, 5, FALSE), ""), "")</f>
        <v/>
      </c>
      <c r="G11" s="79"/>
      <c r="H11" s="66"/>
      <c r="I11" s="66"/>
      <c r="J11" s="79"/>
      <c r="K11" s="79"/>
      <c r="L11" s="40"/>
      <c r="M11" s="40"/>
      <c r="N11" s="79"/>
      <c r="O11" s="79"/>
      <c r="P11" s="40"/>
      <c r="Q11" s="40" t="s">
        <v>19</v>
      </c>
      <c r="R11" s="79"/>
      <c r="S11" s="66"/>
      <c r="T11" s="79"/>
    </row>
    <row r="12" spans="2:20" ht="60" customHeight="1" x14ac:dyDescent="0.35">
      <c r="B12" s="38" t="s">
        <v>1983</v>
      </c>
      <c r="C12" s="77"/>
      <c r="D12" s="78"/>
      <c r="E12" s="78" t="s">
        <v>19</v>
      </c>
      <c r="F12" s="78" t="str">
        <f>IF(E12&lt;&gt;"", IFERROR(VLOOKUP(E12, Dashboard!$B29:$F34, 5, FALSE), ""), "")</f>
        <v/>
      </c>
      <c r="G12" s="79"/>
      <c r="H12" s="66"/>
      <c r="I12" s="66"/>
      <c r="J12" s="79"/>
      <c r="K12" s="79"/>
      <c r="L12" s="40"/>
      <c r="M12" s="40"/>
      <c r="N12" s="79"/>
      <c r="O12" s="79"/>
      <c r="P12" s="40"/>
      <c r="Q12" s="40" t="s">
        <v>19</v>
      </c>
      <c r="R12" s="79"/>
      <c r="S12" s="66"/>
      <c r="T12" s="79"/>
    </row>
    <row r="13" spans="2:20" ht="60" customHeight="1" x14ac:dyDescent="0.35">
      <c r="B13" s="38" t="s">
        <v>1984</v>
      </c>
      <c r="C13" s="77"/>
      <c r="D13" s="78"/>
      <c r="E13" s="78" t="s">
        <v>19</v>
      </c>
      <c r="F13" s="78" t="str">
        <f>IF(E13&lt;&gt;"", IFERROR(VLOOKUP(E13, Dashboard!$B29:$F34, 5, FALSE), ""), "")</f>
        <v/>
      </c>
      <c r="G13" s="79"/>
      <c r="H13" s="66"/>
      <c r="I13" s="66"/>
      <c r="J13" s="79"/>
      <c r="K13" s="79"/>
      <c r="L13" s="40"/>
      <c r="M13" s="40"/>
      <c r="N13" s="79"/>
      <c r="O13" s="79"/>
      <c r="P13" s="40"/>
      <c r="Q13" s="40" t="s">
        <v>19</v>
      </c>
      <c r="R13" s="79"/>
      <c r="S13" s="66"/>
      <c r="T13" s="79"/>
    </row>
    <row r="14" spans="2:20" ht="60" customHeight="1" x14ac:dyDescent="0.35">
      <c r="B14" s="38" t="s">
        <v>1985</v>
      </c>
      <c r="C14" s="77"/>
      <c r="D14" s="78"/>
      <c r="E14" s="78" t="s">
        <v>19</v>
      </c>
      <c r="F14" s="78" t="str">
        <f>IF(E14&lt;&gt;"", IFERROR(VLOOKUP(E14, Dashboard!$B29:$F34, 5, FALSE), ""), "")</f>
        <v/>
      </c>
      <c r="G14" s="79"/>
      <c r="H14" s="66"/>
      <c r="I14" s="66"/>
      <c r="J14" s="79"/>
      <c r="K14" s="79"/>
      <c r="L14" s="40"/>
      <c r="M14" s="40"/>
      <c r="N14" s="79"/>
      <c r="O14" s="79"/>
      <c r="P14" s="40"/>
      <c r="Q14" s="40" t="s">
        <v>19</v>
      </c>
      <c r="R14" s="79"/>
      <c r="S14" s="66"/>
      <c r="T14" s="79"/>
    </row>
    <row r="15" spans="2:20" ht="60" customHeight="1" x14ac:dyDescent="0.35">
      <c r="B15" s="38" t="s">
        <v>1986</v>
      </c>
      <c r="C15" s="77"/>
      <c r="D15" s="78"/>
      <c r="E15" s="78" t="s">
        <v>19</v>
      </c>
      <c r="F15" s="78" t="str">
        <f>IF(E15&lt;&gt;"", IFERROR(VLOOKUP(E15, Dashboard!$B29:$F34, 5, FALSE), ""), "")</f>
        <v/>
      </c>
      <c r="G15" s="79"/>
      <c r="H15" s="66"/>
      <c r="I15" s="66"/>
      <c r="J15" s="79"/>
      <c r="K15" s="79"/>
      <c r="L15" s="40"/>
      <c r="M15" s="40"/>
      <c r="N15" s="79"/>
      <c r="O15" s="79"/>
      <c r="P15" s="40"/>
      <c r="Q15" s="40" t="s">
        <v>19</v>
      </c>
      <c r="R15" s="79"/>
      <c r="S15" s="66"/>
      <c r="T15" s="79"/>
    </row>
    <row r="16" spans="2:20" ht="60" customHeight="1" x14ac:dyDescent="0.35">
      <c r="B16" s="38" t="s">
        <v>1987</v>
      </c>
      <c r="C16" s="77"/>
      <c r="D16" s="78"/>
      <c r="E16" s="78" t="s">
        <v>19</v>
      </c>
      <c r="F16" s="78" t="str">
        <f>IF(E16&lt;&gt;"", IFERROR(VLOOKUP(E16, Dashboard!$B29:$F34, 5, FALSE), ""), "")</f>
        <v/>
      </c>
      <c r="G16" s="79"/>
      <c r="H16" s="66"/>
      <c r="I16" s="66"/>
      <c r="J16" s="79"/>
      <c r="K16" s="79"/>
      <c r="L16" s="40"/>
      <c r="M16" s="40"/>
      <c r="N16" s="79"/>
      <c r="O16" s="79"/>
      <c r="P16" s="40"/>
      <c r="Q16" s="40" t="s">
        <v>19</v>
      </c>
      <c r="R16" s="79"/>
      <c r="S16" s="66"/>
      <c r="T16" s="79"/>
    </row>
    <row r="17" spans="2:20" ht="60" customHeight="1" x14ac:dyDescent="0.35">
      <c r="B17" s="38" t="s">
        <v>1988</v>
      </c>
      <c r="C17" s="77"/>
      <c r="D17" s="78"/>
      <c r="E17" s="78" t="s">
        <v>19</v>
      </c>
      <c r="F17" s="78" t="str">
        <f>IF(E17&lt;&gt;"", IFERROR(VLOOKUP(E17, Dashboard!$B29:$F34, 5, FALSE), ""), "")</f>
        <v/>
      </c>
      <c r="G17" s="79"/>
      <c r="H17" s="66"/>
      <c r="I17" s="66"/>
      <c r="J17" s="79"/>
      <c r="K17" s="79"/>
      <c r="L17" s="40"/>
      <c r="M17" s="40"/>
      <c r="N17" s="79"/>
      <c r="O17" s="79"/>
      <c r="P17" s="40"/>
      <c r="Q17" s="40" t="s">
        <v>19</v>
      </c>
      <c r="R17" s="79"/>
      <c r="S17" s="66"/>
      <c r="T17" s="79"/>
    </row>
    <row r="18" spans="2:20" ht="60" customHeight="1" x14ac:dyDescent="0.35">
      <c r="B18" s="38" t="s">
        <v>1989</v>
      </c>
      <c r="C18" s="77"/>
      <c r="D18" s="78"/>
      <c r="E18" s="78" t="s">
        <v>19</v>
      </c>
      <c r="F18" s="78" t="str">
        <f>IF(E18&lt;&gt;"", IFERROR(VLOOKUP(E18, Dashboard!$B29:$F34, 5, FALSE), ""), "")</f>
        <v/>
      </c>
      <c r="G18" s="79"/>
      <c r="H18" s="66"/>
      <c r="I18" s="66"/>
      <c r="J18" s="79"/>
      <c r="K18" s="79"/>
      <c r="L18" s="40"/>
      <c r="M18" s="40"/>
      <c r="N18" s="79"/>
      <c r="O18" s="79"/>
      <c r="P18" s="40"/>
      <c r="Q18" s="40" t="s">
        <v>19</v>
      </c>
      <c r="R18" s="79"/>
      <c r="S18" s="66"/>
      <c r="T18" s="79"/>
    </row>
    <row r="19" spans="2:20" ht="60" customHeight="1" x14ac:dyDescent="0.35">
      <c r="B19" s="38" t="s">
        <v>1990</v>
      </c>
      <c r="C19" s="77"/>
      <c r="D19" s="78"/>
      <c r="E19" s="78" t="s">
        <v>19</v>
      </c>
      <c r="F19" s="78" t="str">
        <f>IF(E19&lt;&gt;"", IFERROR(VLOOKUP(E19, Dashboard!$B29:$F34, 5, FALSE), ""), "")</f>
        <v/>
      </c>
      <c r="G19" s="79"/>
      <c r="H19" s="66"/>
      <c r="I19" s="66"/>
      <c r="J19" s="79"/>
      <c r="K19" s="79"/>
      <c r="L19" s="40"/>
      <c r="M19" s="40"/>
      <c r="N19" s="79"/>
      <c r="O19" s="79"/>
      <c r="P19" s="40"/>
      <c r="Q19" s="40" t="s">
        <v>19</v>
      </c>
      <c r="R19" s="79"/>
      <c r="S19" s="66"/>
      <c r="T19" s="79"/>
    </row>
    <row r="20" spans="2:20" ht="60" customHeight="1" x14ac:dyDescent="0.35">
      <c r="B20" s="38" t="s">
        <v>1991</v>
      </c>
      <c r="C20" s="77"/>
      <c r="D20" s="78"/>
      <c r="E20" s="78" t="s">
        <v>19</v>
      </c>
      <c r="F20" s="78" t="str">
        <f>IF(E20&lt;&gt;"", IFERROR(VLOOKUP(E20, Dashboard!$B29:$F34, 5, FALSE), ""), "")</f>
        <v/>
      </c>
      <c r="G20" s="79"/>
      <c r="H20" s="66"/>
      <c r="I20" s="66"/>
      <c r="J20" s="79"/>
      <c r="K20" s="79"/>
      <c r="L20" s="40"/>
      <c r="M20" s="40"/>
      <c r="N20" s="79"/>
      <c r="O20" s="79"/>
      <c r="P20" s="40"/>
      <c r="Q20" s="40" t="s">
        <v>19</v>
      </c>
      <c r="R20" s="79"/>
      <c r="S20" s="66"/>
      <c r="T20" s="79"/>
    </row>
    <row r="21" spans="2:20" ht="60" customHeight="1" x14ac:dyDescent="0.35">
      <c r="B21" s="38" t="s">
        <v>1992</v>
      </c>
      <c r="C21" s="77"/>
      <c r="D21" s="78"/>
      <c r="E21" s="78" t="s">
        <v>19</v>
      </c>
      <c r="F21" s="78" t="str">
        <f>IF(E21&lt;&gt;"", IFERROR(VLOOKUP(E21, Dashboard!$B29:$F34, 5, FALSE), ""), "")</f>
        <v/>
      </c>
      <c r="G21" s="79"/>
      <c r="H21" s="66"/>
      <c r="I21" s="66"/>
      <c r="J21" s="79"/>
      <c r="K21" s="79"/>
      <c r="L21" s="40"/>
      <c r="M21" s="40"/>
      <c r="N21" s="79"/>
      <c r="O21" s="79"/>
      <c r="P21" s="40"/>
      <c r="Q21" s="40" t="s">
        <v>19</v>
      </c>
      <c r="R21" s="79"/>
      <c r="S21" s="66"/>
      <c r="T21" s="79"/>
    </row>
    <row r="22" spans="2:20" ht="60" customHeight="1" x14ac:dyDescent="0.35">
      <c r="B22" s="38" t="s">
        <v>1993</v>
      </c>
      <c r="C22" s="77"/>
      <c r="D22" s="78"/>
      <c r="E22" s="78" t="s">
        <v>19</v>
      </c>
      <c r="F22" s="78" t="str">
        <f>IF(E22&lt;&gt;"", IFERROR(VLOOKUP(E22, Dashboard!$B29:$F34, 5, FALSE), ""), "")</f>
        <v/>
      </c>
      <c r="G22" s="79"/>
      <c r="H22" s="66"/>
      <c r="I22" s="66"/>
      <c r="J22" s="79"/>
      <c r="K22" s="79"/>
      <c r="L22" s="40"/>
      <c r="M22" s="40"/>
      <c r="N22" s="79"/>
      <c r="O22" s="79"/>
      <c r="P22" s="40"/>
      <c r="Q22" s="40" t="s">
        <v>19</v>
      </c>
      <c r="R22" s="79"/>
      <c r="S22" s="66"/>
      <c r="T22" s="79"/>
    </row>
    <row r="23" spans="2:20" ht="60" customHeight="1" x14ac:dyDescent="0.35">
      <c r="B23" s="38" t="s">
        <v>1994</v>
      </c>
      <c r="C23" s="77"/>
      <c r="D23" s="78"/>
      <c r="E23" s="78" t="s">
        <v>19</v>
      </c>
      <c r="F23" s="78" t="str">
        <f>IF(E23&lt;&gt;"", IFERROR(VLOOKUP(E23, Dashboard!$B29:$F34, 5, FALSE), ""), "")</f>
        <v/>
      </c>
      <c r="G23" s="79"/>
      <c r="H23" s="66"/>
      <c r="I23" s="66"/>
      <c r="J23" s="79"/>
      <c r="K23" s="79"/>
      <c r="L23" s="40"/>
      <c r="M23" s="40"/>
      <c r="N23" s="79"/>
      <c r="O23" s="79"/>
      <c r="P23" s="40"/>
      <c r="Q23" s="40" t="s">
        <v>19</v>
      </c>
      <c r="R23" s="79"/>
      <c r="S23" s="66"/>
      <c r="T23" s="79"/>
    </row>
    <row r="24" spans="2:20" ht="60" customHeight="1" x14ac:dyDescent="0.35">
      <c r="B24" s="38" t="s">
        <v>1995</v>
      </c>
      <c r="C24" s="77"/>
      <c r="D24" s="78"/>
      <c r="E24" s="78" t="s">
        <v>19</v>
      </c>
      <c r="F24" s="78" t="str">
        <f>IF(E24&lt;&gt;"", IFERROR(VLOOKUP(E24, Dashboard!$B29:$F34, 5, FALSE), ""), "")</f>
        <v/>
      </c>
      <c r="G24" s="79"/>
      <c r="H24" s="66"/>
      <c r="I24" s="66"/>
      <c r="J24" s="79"/>
      <c r="K24" s="79"/>
      <c r="L24" s="40"/>
      <c r="M24" s="40"/>
      <c r="N24" s="79"/>
      <c r="O24" s="79"/>
      <c r="P24" s="40"/>
      <c r="Q24" s="40" t="s">
        <v>19</v>
      </c>
      <c r="R24" s="79"/>
      <c r="S24" s="66"/>
      <c r="T24" s="79"/>
    </row>
    <row r="25" spans="2:20" ht="60" customHeight="1" x14ac:dyDescent="0.35">
      <c r="B25" s="38" t="s">
        <v>1996</v>
      </c>
      <c r="C25" s="77"/>
      <c r="D25" s="78"/>
      <c r="E25" s="78" t="s">
        <v>19</v>
      </c>
      <c r="F25" s="78" t="str">
        <f>IF(E25&lt;&gt;"", IFERROR(VLOOKUP(E25, Dashboard!$B29:$F34, 5, FALSE), ""), "")</f>
        <v/>
      </c>
      <c r="G25" s="79"/>
      <c r="H25" s="66"/>
      <c r="I25" s="66"/>
      <c r="J25" s="79"/>
      <c r="K25" s="79"/>
      <c r="L25" s="40"/>
      <c r="M25" s="40"/>
      <c r="N25" s="79"/>
      <c r="O25" s="79"/>
      <c r="P25" s="40"/>
      <c r="Q25" s="40" t="s">
        <v>19</v>
      </c>
      <c r="R25" s="79"/>
      <c r="S25" s="66"/>
      <c r="T25" s="79"/>
    </row>
    <row r="26" spans="2:20" ht="60" customHeight="1" x14ac:dyDescent="0.35">
      <c r="B26" s="38" t="s">
        <v>1997</v>
      </c>
      <c r="C26" s="77"/>
      <c r="D26" s="78"/>
      <c r="E26" s="78" t="s">
        <v>19</v>
      </c>
      <c r="F26" s="78" t="str">
        <f>IF(E26&lt;&gt;"", IFERROR(VLOOKUP(E26, Dashboard!$B29:$F34, 5, FALSE), ""), "")</f>
        <v/>
      </c>
      <c r="G26" s="79"/>
      <c r="H26" s="66"/>
      <c r="I26" s="66"/>
      <c r="J26" s="79"/>
      <c r="K26" s="79"/>
      <c r="L26" s="40"/>
      <c r="M26" s="40"/>
      <c r="N26" s="79"/>
      <c r="O26" s="79"/>
      <c r="P26" s="40"/>
      <c r="Q26" s="40" t="s">
        <v>19</v>
      </c>
      <c r="R26" s="79"/>
      <c r="S26" s="66"/>
      <c r="T26" s="79"/>
    </row>
    <row r="27" spans="2:20" ht="60" customHeight="1" x14ac:dyDescent="0.35">
      <c r="B27" s="38" t="s">
        <v>1998</v>
      </c>
      <c r="C27" s="77"/>
      <c r="D27" s="78"/>
      <c r="E27" s="78" t="s">
        <v>19</v>
      </c>
      <c r="F27" s="78" t="str">
        <f>IF(E27&lt;&gt;"", IFERROR(VLOOKUP(E27, Dashboard!$B29:$F34, 5, FALSE), ""), "")</f>
        <v/>
      </c>
      <c r="G27" s="79"/>
      <c r="H27" s="66"/>
      <c r="I27" s="66"/>
      <c r="J27" s="79"/>
      <c r="K27" s="79"/>
      <c r="L27" s="40"/>
      <c r="M27" s="40"/>
      <c r="N27" s="79"/>
      <c r="O27" s="79"/>
      <c r="P27" s="40"/>
      <c r="Q27" s="40" t="s">
        <v>19</v>
      </c>
      <c r="R27" s="79"/>
      <c r="S27" s="66"/>
      <c r="T27" s="79"/>
    </row>
    <row r="28" spans="2:20" ht="60" customHeight="1" x14ac:dyDescent="0.35">
      <c r="B28" s="38" t="s">
        <v>1999</v>
      </c>
      <c r="C28" s="77"/>
      <c r="D28" s="78"/>
      <c r="E28" s="78" t="s">
        <v>19</v>
      </c>
      <c r="F28" s="78" t="str">
        <f>IF(E28&lt;&gt;"", IFERROR(VLOOKUP(E28, Dashboard!$B29:$F34, 5, FALSE), ""), "")</f>
        <v/>
      </c>
      <c r="G28" s="79"/>
      <c r="H28" s="66"/>
      <c r="I28" s="66"/>
      <c r="J28" s="79"/>
      <c r="K28" s="79"/>
      <c r="L28" s="40"/>
      <c r="M28" s="40"/>
      <c r="N28" s="79"/>
      <c r="O28" s="79"/>
      <c r="P28" s="40"/>
      <c r="Q28" s="40" t="s">
        <v>19</v>
      </c>
      <c r="R28" s="79"/>
      <c r="S28" s="66"/>
      <c r="T28" s="79"/>
    </row>
    <row r="29" spans="2:20" ht="60" customHeight="1" x14ac:dyDescent="0.35">
      <c r="B29" s="38" t="s">
        <v>2000</v>
      </c>
      <c r="C29" s="77"/>
      <c r="D29" s="78"/>
      <c r="E29" s="78" t="s">
        <v>19</v>
      </c>
      <c r="F29" s="78" t="str">
        <f>IF(E29&lt;&gt;"", IFERROR(VLOOKUP(E29, Dashboard!$B29:$F34, 5, FALSE), ""), "")</f>
        <v/>
      </c>
      <c r="G29" s="79"/>
      <c r="H29" s="66"/>
      <c r="I29" s="66"/>
      <c r="J29" s="79"/>
      <c r="K29" s="79"/>
      <c r="L29" s="40"/>
      <c r="M29" s="40"/>
      <c r="N29" s="79"/>
      <c r="O29" s="79"/>
      <c r="P29" s="40"/>
      <c r="Q29" s="40" t="s">
        <v>19</v>
      </c>
      <c r="R29" s="79"/>
      <c r="S29" s="66"/>
      <c r="T29" s="79"/>
    </row>
    <row r="30" spans="2:20" ht="60" customHeight="1" x14ac:dyDescent="0.35">
      <c r="B30" s="38" t="s">
        <v>2001</v>
      </c>
      <c r="C30" s="77"/>
      <c r="D30" s="78"/>
      <c r="E30" s="78" t="s">
        <v>19</v>
      </c>
      <c r="F30" s="78" t="str">
        <f>IF(E30&lt;&gt;"", IFERROR(VLOOKUP(E30, Dashboard!$B29:$F34, 5, FALSE), ""), "")</f>
        <v/>
      </c>
      <c r="G30" s="79"/>
      <c r="H30" s="66"/>
      <c r="I30" s="66"/>
      <c r="J30" s="79"/>
      <c r="K30" s="79"/>
      <c r="L30" s="40"/>
      <c r="M30" s="40"/>
      <c r="N30" s="79"/>
      <c r="O30" s="79"/>
      <c r="P30" s="40"/>
      <c r="Q30" s="40" t="s">
        <v>19</v>
      </c>
      <c r="R30" s="79"/>
      <c r="S30" s="66"/>
      <c r="T30" s="79"/>
    </row>
    <row r="31" spans="2:20" ht="60" customHeight="1" x14ac:dyDescent="0.35">
      <c r="B31" s="38" t="s">
        <v>2002</v>
      </c>
      <c r="C31" s="77"/>
      <c r="D31" s="78"/>
      <c r="E31" s="78" t="s">
        <v>19</v>
      </c>
      <c r="F31" s="78" t="str">
        <f>IF(E31&lt;&gt;"", IFERROR(VLOOKUP(E31, Dashboard!$B29:$F34, 5, FALSE), ""), "")</f>
        <v/>
      </c>
      <c r="G31" s="79"/>
      <c r="H31" s="66"/>
      <c r="I31" s="66"/>
      <c r="J31" s="79"/>
      <c r="K31" s="79"/>
      <c r="L31" s="40"/>
      <c r="M31" s="40"/>
      <c r="N31" s="79"/>
      <c r="O31" s="79"/>
      <c r="P31" s="40"/>
      <c r="Q31" s="40" t="s">
        <v>19</v>
      </c>
      <c r="R31" s="79"/>
      <c r="S31" s="66"/>
      <c r="T31" s="79"/>
    </row>
    <row r="32" spans="2:20" ht="60" customHeight="1" x14ac:dyDescent="0.35">
      <c r="B32" s="38" t="s">
        <v>2003</v>
      </c>
      <c r="C32" s="77"/>
      <c r="D32" s="78"/>
      <c r="E32" s="78" t="s">
        <v>19</v>
      </c>
      <c r="F32" s="78" t="str">
        <f>IF(E32&lt;&gt;"", IFERROR(VLOOKUP(E32, Dashboard!$B29:$F34, 5, FALSE), ""), "")</f>
        <v/>
      </c>
      <c r="G32" s="79"/>
      <c r="H32" s="66"/>
      <c r="I32" s="66"/>
      <c r="J32" s="79"/>
      <c r="K32" s="79"/>
      <c r="L32" s="40"/>
      <c r="M32" s="40"/>
      <c r="N32" s="79"/>
      <c r="O32" s="79"/>
      <c r="P32" s="40"/>
      <c r="Q32" s="40" t="s">
        <v>19</v>
      </c>
      <c r="R32" s="79"/>
      <c r="S32" s="66"/>
      <c r="T32" s="79"/>
    </row>
    <row r="33" spans="2:20" ht="60" customHeight="1" x14ac:dyDescent="0.35">
      <c r="B33" s="38" t="s">
        <v>2004</v>
      </c>
      <c r="C33" s="77"/>
      <c r="D33" s="78"/>
      <c r="E33" s="78" t="s">
        <v>19</v>
      </c>
      <c r="F33" s="78" t="str">
        <f>IF(E33&lt;&gt;"", IFERROR(VLOOKUP(E33, Dashboard!$B29:$F34, 5, FALSE), ""), "")</f>
        <v/>
      </c>
      <c r="G33" s="79"/>
      <c r="H33" s="66"/>
      <c r="I33" s="66"/>
      <c r="J33" s="79"/>
      <c r="K33" s="79"/>
      <c r="L33" s="40"/>
      <c r="M33" s="40"/>
      <c r="N33" s="79"/>
      <c r="O33" s="79"/>
      <c r="P33" s="40"/>
      <c r="Q33" s="40" t="s">
        <v>19</v>
      </c>
      <c r="R33" s="79"/>
      <c r="S33" s="66"/>
      <c r="T33" s="79"/>
    </row>
    <row r="34" spans="2:20" ht="60" customHeight="1" x14ac:dyDescent="0.35">
      <c r="B34" s="38" t="s">
        <v>2005</v>
      </c>
      <c r="C34" s="77"/>
      <c r="D34" s="78"/>
      <c r="E34" s="78" t="s">
        <v>19</v>
      </c>
      <c r="F34" s="78" t="str">
        <f>IF(E34&lt;&gt;"", IFERROR(VLOOKUP(E34, Dashboard!$B29:$F34, 5, FALSE), ""), "")</f>
        <v/>
      </c>
      <c r="G34" s="79"/>
      <c r="H34" s="66"/>
      <c r="I34" s="66"/>
      <c r="J34" s="79"/>
      <c r="K34" s="79"/>
      <c r="L34" s="40"/>
      <c r="M34" s="40"/>
      <c r="N34" s="79"/>
      <c r="O34" s="79"/>
      <c r="P34" s="40"/>
      <c r="Q34" s="40" t="s">
        <v>19</v>
      </c>
      <c r="R34" s="79"/>
      <c r="S34" s="66"/>
      <c r="T34" s="79"/>
    </row>
    <row r="35" spans="2:20" ht="60" customHeight="1" x14ac:dyDescent="0.35">
      <c r="B35" s="38" t="s">
        <v>2006</v>
      </c>
      <c r="C35" s="77"/>
      <c r="D35" s="78"/>
      <c r="E35" s="78" t="s">
        <v>19</v>
      </c>
      <c r="F35" s="78" t="str">
        <f>IF(E35&lt;&gt;"", IFERROR(VLOOKUP(E35, Dashboard!$B29:$F34, 5, FALSE), ""), "")</f>
        <v/>
      </c>
      <c r="G35" s="79"/>
      <c r="H35" s="66"/>
      <c r="I35" s="66"/>
      <c r="J35" s="79"/>
      <c r="K35" s="79"/>
      <c r="L35" s="40"/>
      <c r="M35" s="40"/>
      <c r="N35" s="79"/>
      <c r="O35" s="79"/>
      <c r="P35" s="40"/>
      <c r="Q35" s="40" t="s">
        <v>19</v>
      </c>
      <c r="R35" s="79"/>
      <c r="S35" s="66"/>
      <c r="T35" s="79"/>
    </row>
    <row r="36" spans="2:20" ht="60" customHeight="1" x14ac:dyDescent="0.35">
      <c r="B36" s="38" t="s">
        <v>2007</v>
      </c>
      <c r="C36" s="77"/>
      <c r="D36" s="78"/>
      <c r="E36" s="78" t="s">
        <v>19</v>
      </c>
      <c r="F36" s="78" t="str">
        <f>IF(E36&lt;&gt;"", IFERROR(VLOOKUP(E36, Dashboard!$B29:$F34, 5, FALSE), ""), "")</f>
        <v/>
      </c>
      <c r="G36" s="79"/>
      <c r="H36" s="66"/>
      <c r="I36" s="66"/>
      <c r="J36" s="79"/>
      <c r="K36" s="79"/>
      <c r="L36" s="40"/>
      <c r="M36" s="40"/>
      <c r="N36" s="79"/>
      <c r="O36" s="79"/>
      <c r="P36" s="40"/>
      <c r="Q36" s="40" t="s">
        <v>19</v>
      </c>
      <c r="R36" s="79"/>
      <c r="S36" s="66"/>
      <c r="T36" s="79"/>
    </row>
    <row r="37" spans="2:20" ht="60" customHeight="1" x14ac:dyDescent="0.35">
      <c r="B37" s="38" t="s">
        <v>2008</v>
      </c>
      <c r="C37" s="77"/>
      <c r="D37" s="78"/>
      <c r="E37" s="78" t="s">
        <v>19</v>
      </c>
      <c r="F37" s="78" t="str">
        <f>IF(E37&lt;&gt;"", IFERROR(VLOOKUP(E37, Dashboard!$B29:$F34, 5, FALSE), ""), "")</f>
        <v/>
      </c>
      <c r="G37" s="79"/>
      <c r="H37" s="66"/>
      <c r="I37" s="66"/>
      <c r="J37" s="79"/>
      <c r="K37" s="79"/>
      <c r="L37" s="40"/>
      <c r="M37" s="40"/>
      <c r="N37" s="79"/>
      <c r="O37" s="79"/>
      <c r="P37" s="40"/>
      <c r="Q37" s="40" t="s">
        <v>19</v>
      </c>
      <c r="R37" s="79"/>
      <c r="S37" s="66"/>
      <c r="T37" s="79"/>
    </row>
    <row r="38" spans="2:20" ht="60" customHeight="1" x14ac:dyDescent="0.35">
      <c r="B38" s="38" t="s">
        <v>2009</v>
      </c>
      <c r="C38" s="77"/>
      <c r="D38" s="78"/>
      <c r="E38" s="78" t="s">
        <v>19</v>
      </c>
      <c r="F38" s="78" t="str">
        <f>IF(E38&lt;&gt;"", IFERROR(VLOOKUP(E38, Dashboard!$B29:$F34, 5, FALSE), ""), "")</f>
        <v/>
      </c>
      <c r="G38" s="79"/>
      <c r="H38" s="66"/>
      <c r="I38" s="66"/>
      <c r="J38" s="79"/>
      <c r="K38" s="79"/>
      <c r="L38" s="40"/>
      <c r="M38" s="40"/>
      <c r="N38" s="79"/>
      <c r="O38" s="79"/>
      <c r="P38" s="40"/>
      <c r="Q38" s="40" t="s">
        <v>19</v>
      </c>
      <c r="R38" s="79"/>
      <c r="S38" s="66"/>
      <c r="T38" s="79"/>
    </row>
    <row r="39" spans="2:20" ht="60" customHeight="1" x14ac:dyDescent="0.35">
      <c r="B39" s="38" t="s">
        <v>2010</v>
      </c>
      <c r="C39" s="77"/>
      <c r="D39" s="78"/>
      <c r="E39" s="78" t="s">
        <v>19</v>
      </c>
      <c r="F39" s="78" t="str">
        <f>IF(E39&lt;&gt;"", IFERROR(VLOOKUP(E39, Dashboard!$B29:$F34, 5, FALSE), ""), "")</f>
        <v/>
      </c>
      <c r="G39" s="79"/>
      <c r="H39" s="66"/>
      <c r="I39" s="66"/>
      <c r="J39" s="79"/>
      <c r="K39" s="79"/>
      <c r="L39" s="40"/>
      <c r="M39" s="40"/>
      <c r="N39" s="79"/>
      <c r="O39" s="79"/>
      <c r="P39" s="40"/>
      <c r="Q39" s="40" t="s">
        <v>19</v>
      </c>
      <c r="R39" s="79"/>
      <c r="S39" s="66"/>
      <c r="T39" s="79"/>
    </row>
    <row r="40" spans="2:20" ht="60" customHeight="1" x14ac:dyDescent="0.35">
      <c r="B40" s="38" t="s">
        <v>2011</v>
      </c>
      <c r="C40" s="77"/>
      <c r="D40" s="78"/>
      <c r="E40" s="78" t="s">
        <v>19</v>
      </c>
      <c r="F40" s="78" t="str">
        <f>IF(E40&lt;&gt;"", IFERROR(VLOOKUP(E40, Dashboard!$B29:$F34, 5, FALSE), ""), "")</f>
        <v/>
      </c>
      <c r="G40" s="79"/>
      <c r="H40" s="66"/>
      <c r="I40" s="66"/>
      <c r="J40" s="79"/>
      <c r="K40" s="79"/>
      <c r="L40" s="40"/>
      <c r="M40" s="40"/>
      <c r="N40" s="79"/>
      <c r="O40" s="79"/>
      <c r="P40" s="40"/>
      <c r="Q40" s="40" t="s">
        <v>19</v>
      </c>
      <c r="R40" s="79"/>
      <c r="S40" s="66"/>
      <c r="T40" s="79"/>
    </row>
    <row r="41" spans="2:20" ht="60" customHeight="1" x14ac:dyDescent="0.35">
      <c r="B41" s="38" t="s">
        <v>2012</v>
      </c>
      <c r="C41" s="77"/>
      <c r="D41" s="78"/>
      <c r="E41" s="78" t="s">
        <v>19</v>
      </c>
      <c r="F41" s="78" t="str">
        <f>IF(E41&lt;&gt;"", IFERROR(VLOOKUP(E41, Dashboard!$B29:$F34, 5, FALSE), ""), "")</f>
        <v/>
      </c>
      <c r="G41" s="79"/>
      <c r="H41" s="66"/>
      <c r="I41" s="66"/>
      <c r="J41" s="79"/>
      <c r="K41" s="79"/>
      <c r="L41" s="40"/>
      <c r="M41" s="40"/>
      <c r="N41" s="79"/>
      <c r="O41" s="79"/>
      <c r="P41" s="40"/>
      <c r="Q41" s="40" t="s">
        <v>19</v>
      </c>
      <c r="R41" s="79"/>
      <c r="S41" s="66"/>
      <c r="T41" s="79"/>
    </row>
    <row r="42" spans="2:20" ht="60" customHeight="1" x14ac:dyDescent="0.35">
      <c r="B42" s="38" t="s">
        <v>2013</v>
      </c>
      <c r="C42" s="77"/>
      <c r="D42" s="78"/>
      <c r="E42" s="78" t="s">
        <v>19</v>
      </c>
      <c r="F42" s="78" t="str">
        <f>IF(E42&lt;&gt;"", IFERROR(VLOOKUP(E42, Dashboard!$B29:$F34, 5, FALSE), ""), "")</f>
        <v/>
      </c>
      <c r="G42" s="79"/>
      <c r="H42" s="66"/>
      <c r="I42" s="66"/>
      <c r="J42" s="79"/>
      <c r="K42" s="79"/>
      <c r="L42" s="40"/>
      <c r="M42" s="40"/>
      <c r="N42" s="79"/>
      <c r="O42" s="79"/>
      <c r="P42" s="40"/>
      <c r="Q42" s="40" t="s">
        <v>19</v>
      </c>
      <c r="R42" s="79"/>
      <c r="S42" s="66"/>
      <c r="T42" s="79"/>
    </row>
    <row r="43" spans="2:20" ht="60" customHeight="1" x14ac:dyDescent="0.35">
      <c r="B43" s="38" t="s">
        <v>2014</v>
      </c>
      <c r="C43" s="77"/>
      <c r="D43" s="78"/>
      <c r="E43" s="78" t="s">
        <v>19</v>
      </c>
      <c r="F43" s="78" t="str">
        <f>IF(E43&lt;&gt;"", IFERROR(VLOOKUP(E43, Dashboard!$B29:$F34, 5, FALSE), ""), "")</f>
        <v/>
      </c>
      <c r="G43" s="79"/>
      <c r="H43" s="66"/>
      <c r="I43" s="66"/>
      <c r="J43" s="79"/>
      <c r="K43" s="79"/>
      <c r="L43" s="40"/>
      <c r="M43" s="40"/>
      <c r="N43" s="79"/>
      <c r="O43" s="79"/>
      <c r="P43" s="40"/>
      <c r="Q43" s="40" t="s">
        <v>19</v>
      </c>
      <c r="R43" s="79"/>
      <c r="S43" s="66"/>
      <c r="T43" s="79"/>
    </row>
    <row r="44" spans="2:20" ht="60" customHeight="1" x14ac:dyDescent="0.35">
      <c r="B44" s="38" t="s">
        <v>2015</v>
      </c>
      <c r="C44" s="77"/>
      <c r="D44" s="78"/>
      <c r="E44" s="78" t="s">
        <v>19</v>
      </c>
      <c r="F44" s="78" t="str">
        <f>IF(E44&lt;&gt;"", IFERROR(VLOOKUP(E44, Dashboard!$B29:$F34, 5, FALSE), ""), "")</f>
        <v/>
      </c>
      <c r="G44" s="79"/>
      <c r="H44" s="66"/>
      <c r="I44" s="66"/>
      <c r="J44" s="79"/>
      <c r="K44" s="79"/>
      <c r="L44" s="40"/>
      <c r="M44" s="40"/>
      <c r="N44" s="79"/>
      <c r="O44" s="79"/>
      <c r="P44" s="40"/>
      <c r="Q44" s="40" t="s">
        <v>19</v>
      </c>
      <c r="R44" s="79"/>
      <c r="S44" s="66"/>
      <c r="T44" s="79"/>
    </row>
    <row r="45" spans="2:20" ht="60" customHeight="1" x14ac:dyDescent="0.35">
      <c r="B45" s="38" t="s">
        <v>2016</v>
      </c>
      <c r="C45" s="77"/>
      <c r="D45" s="78"/>
      <c r="E45" s="78" t="s">
        <v>19</v>
      </c>
      <c r="F45" s="78" t="str">
        <f>IF(E45&lt;&gt;"", IFERROR(VLOOKUP(E45, Dashboard!$B29:$F34, 5, FALSE), ""), "")</f>
        <v/>
      </c>
      <c r="G45" s="79"/>
      <c r="H45" s="66"/>
      <c r="I45" s="66"/>
      <c r="J45" s="79"/>
      <c r="K45" s="79"/>
      <c r="L45" s="40"/>
      <c r="M45" s="40"/>
      <c r="N45" s="79"/>
      <c r="O45" s="79"/>
      <c r="P45" s="40"/>
      <c r="Q45" s="40" t="s">
        <v>19</v>
      </c>
      <c r="R45" s="79"/>
      <c r="S45" s="66"/>
      <c r="T45" s="79"/>
    </row>
    <row r="46" spans="2:20" ht="60" customHeight="1" x14ac:dyDescent="0.35">
      <c r="B46" s="38" t="s">
        <v>2017</v>
      </c>
      <c r="C46" s="77"/>
      <c r="D46" s="78"/>
      <c r="E46" s="78" t="s">
        <v>19</v>
      </c>
      <c r="F46" s="78" t="str">
        <f>IF(E46&lt;&gt;"", IFERROR(VLOOKUP(E46, Dashboard!$B29:$F34, 5, FALSE), ""), "")</f>
        <v/>
      </c>
      <c r="G46" s="79"/>
      <c r="H46" s="66"/>
      <c r="I46" s="66"/>
      <c r="J46" s="79"/>
      <c r="K46" s="79"/>
      <c r="L46" s="40"/>
      <c r="M46" s="40"/>
      <c r="N46" s="79"/>
      <c r="O46" s="79"/>
      <c r="P46" s="40"/>
      <c r="Q46" s="40" t="s">
        <v>19</v>
      </c>
      <c r="R46" s="79"/>
      <c r="S46" s="66"/>
      <c r="T46" s="79"/>
    </row>
    <row r="47" spans="2:20" ht="60" customHeight="1" x14ac:dyDescent="0.35">
      <c r="B47" s="38" t="s">
        <v>2018</v>
      </c>
      <c r="C47" s="77"/>
      <c r="D47" s="78"/>
      <c r="E47" s="78" t="s">
        <v>19</v>
      </c>
      <c r="F47" s="78" t="str">
        <f>IF(E47&lt;&gt;"", IFERROR(VLOOKUP(E47, Dashboard!$B29:$F34, 5, FALSE), ""), "")</f>
        <v/>
      </c>
      <c r="G47" s="79"/>
      <c r="H47" s="66"/>
      <c r="I47" s="66"/>
      <c r="J47" s="79"/>
      <c r="K47" s="79"/>
      <c r="L47" s="40"/>
      <c r="M47" s="40"/>
      <c r="N47" s="79"/>
      <c r="O47" s="79"/>
      <c r="P47" s="40"/>
      <c r="Q47" s="40" t="s">
        <v>19</v>
      </c>
      <c r="R47" s="79"/>
      <c r="S47" s="66"/>
      <c r="T47" s="79"/>
    </row>
    <row r="48" spans="2:20" ht="60" customHeight="1" x14ac:dyDescent="0.35">
      <c r="B48" s="38" t="s">
        <v>2019</v>
      </c>
      <c r="C48" s="77"/>
      <c r="D48" s="78"/>
      <c r="E48" s="78" t="s">
        <v>19</v>
      </c>
      <c r="F48" s="78" t="str">
        <f>IF(E48&lt;&gt;"", IFERROR(VLOOKUP(E48, Dashboard!$B29:$F34, 5, FALSE), ""), "")</f>
        <v/>
      </c>
      <c r="G48" s="79"/>
      <c r="H48" s="66"/>
      <c r="I48" s="66"/>
      <c r="J48" s="79"/>
      <c r="K48" s="79"/>
      <c r="L48" s="40"/>
      <c r="M48" s="40"/>
      <c r="N48" s="79"/>
      <c r="O48" s="79"/>
      <c r="P48" s="40"/>
      <c r="Q48" s="40" t="s">
        <v>19</v>
      </c>
      <c r="R48" s="79"/>
      <c r="S48" s="66"/>
      <c r="T48" s="79"/>
    </row>
    <row r="49" spans="2:20" ht="60" customHeight="1" x14ac:dyDescent="0.35">
      <c r="B49" s="38" t="s">
        <v>2020</v>
      </c>
      <c r="C49" s="77"/>
      <c r="D49" s="78"/>
      <c r="E49" s="78" t="s">
        <v>19</v>
      </c>
      <c r="F49" s="78" t="str">
        <f>IF(E49&lt;&gt;"", IFERROR(VLOOKUP(E49, Dashboard!$B29:$F34, 5, FALSE), ""), "")</f>
        <v/>
      </c>
      <c r="G49" s="79"/>
      <c r="H49" s="66"/>
      <c r="I49" s="66"/>
      <c r="J49" s="79"/>
      <c r="K49" s="79"/>
      <c r="L49" s="40"/>
      <c r="M49" s="40"/>
      <c r="N49" s="79"/>
      <c r="O49" s="79"/>
      <c r="P49" s="40"/>
      <c r="Q49" s="40" t="s">
        <v>19</v>
      </c>
      <c r="R49" s="79"/>
      <c r="S49" s="66"/>
      <c r="T49" s="79"/>
    </row>
    <row r="50" spans="2:20" ht="60" customHeight="1" x14ac:dyDescent="0.35">
      <c r="B50" s="38" t="s">
        <v>2021</v>
      </c>
      <c r="C50" s="77"/>
      <c r="D50" s="78"/>
      <c r="E50" s="78" t="s">
        <v>19</v>
      </c>
      <c r="F50" s="78" t="str">
        <f>IF(E50&lt;&gt;"", IFERROR(VLOOKUP(E50, Dashboard!$B29:$F34, 5, FALSE), ""), "")</f>
        <v/>
      </c>
      <c r="G50" s="79"/>
      <c r="H50" s="66"/>
      <c r="I50" s="66"/>
      <c r="J50" s="79"/>
      <c r="K50" s="79"/>
      <c r="L50" s="40"/>
      <c r="M50" s="40"/>
      <c r="N50" s="79"/>
      <c r="O50" s="79"/>
      <c r="P50" s="40"/>
      <c r="Q50" s="40" t="s">
        <v>19</v>
      </c>
      <c r="R50" s="79"/>
      <c r="S50" s="66"/>
      <c r="T50" s="79"/>
    </row>
    <row r="51" spans="2:20" ht="60" customHeight="1" x14ac:dyDescent="0.35">
      <c r="B51" s="38" t="s">
        <v>2022</v>
      </c>
      <c r="C51" s="77"/>
      <c r="D51" s="78"/>
      <c r="E51" s="78" t="s">
        <v>19</v>
      </c>
      <c r="F51" s="78" t="str">
        <f>IF(E51&lt;&gt;"", IFERROR(VLOOKUP(E51, Dashboard!$B29:$F34, 5, FALSE), ""), "")</f>
        <v/>
      </c>
      <c r="G51" s="79"/>
      <c r="H51" s="66"/>
      <c r="I51" s="66"/>
      <c r="J51" s="79"/>
      <c r="K51" s="79"/>
      <c r="L51" s="40"/>
      <c r="M51" s="40"/>
      <c r="N51" s="79"/>
      <c r="O51" s="79"/>
      <c r="P51" s="40"/>
      <c r="Q51" s="40" t="s">
        <v>19</v>
      </c>
      <c r="R51" s="79"/>
      <c r="S51" s="66"/>
      <c r="T51" s="79"/>
    </row>
    <row r="52" spans="2:20" ht="60" customHeight="1" x14ac:dyDescent="0.35">
      <c r="B52" s="38" t="s">
        <v>2023</v>
      </c>
      <c r="C52" s="77"/>
      <c r="D52" s="78"/>
      <c r="E52" s="78" t="s">
        <v>19</v>
      </c>
      <c r="F52" s="78" t="str">
        <f>IF(E52&lt;&gt;"", IFERROR(VLOOKUP(E52, Dashboard!$B29:$F34, 5, FALSE), ""), "")</f>
        <v/>
      </c>
      <c r="G52" s="79"/>
      <c r="H52" s="66"/>
      <c r="I52" s="66"/>
      <c r="J52" s="79"/>
      <c r="K52" s="79"/>
      <c r="L52" s="40"/>
      <c r="M52" s="40"/>
      <c r="N52" s="79"/>
      <c r="O52" s="79"/>
      <c r="P52" s="40"/>
      <c r="Q52" s="40" t="s">
        <v>19</v>
      </c>
      <c r="R52" s="79"/>
      <c r="S52" s="66"/>
      <c r="T52" s="79"/>
    </row>
    <row r="53" spans="2:20" ht="60" customHeight="1" x14ac:dyDescent="0.35">
      <c r="B53" s="38" t="s">
        <v>2024</v>
      </c>
      <c r="C53" s="77"/>
      <c r="D53" s="78"/>
      <c r="E53" s="78" t="s">
        <v>19</v>
      </c>
      <c r="F53" s="78" t="str">
        <f>IF(E53&lt;&gt;"", IFERROR(VLOOKUP(E53, Dashboard!$B29:$F34, 5, FALSE), ""), "")</f>
        <v/>
      </c>
      <c r="G53" s="79"/>
      <c r="H53" s="66"/>
      <c r="I53" s="66"/>
      <c r="J53" s="79"/>
      <c r="K53" s="79"/>
      <c r="L53" s="40"/>
      <c r="M53" s="40"/>
      <c r="N53" s="79"/>
      <c r="O53" s="79"/>
      <c r="P53" s="40"/>
      <c r="Q53" s="40" t="s">
        <v>19</v>
      </c>
      <c r="R53" s="79"/>
      <c r="S53" s="66"/>
      <c r="T53" s="79"/>
    </row>
    <row r="54" spans="2:20" ht="60" customHeight="1" x14ac:dyDescent="0.35">
      <c r="B54" s="38" t="s">
        <v>2025</v>
      </c>
      <c r="C54" s="77"/>
      <c r="D54" s="78"/>
      <c r="E54" s="78" t="s">
        <v>19</v>
      </c>
      <c r="F54" s="78" t="str">
        <f>IF(E54&lt;&gt;"", IFERROR(VLOOKUP(E54, Dashboard!$B29:$F34, 5, FALSE), ""), "")</f>
        <v/>
      </c>
      <c r="G54" s="79"/>
      <c r="H54" s="66"/>
      <c r="I54" s="66"/>
      <c r="J54" s="79"/>
      <c r="K54" s="79"/>
      <c r="L54" s="40"/>
      <c r="M54" s="40"/>
      <c r="N54" s="79"/>
      <c r="O54" s="79"/>
      <c r="P54" s="40"/>
      <c r="Q54" s="40" t="s">
        <v>19</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288" t="s">
        <v>1787</v>
      </c>
      <c r="C58" s="288"/>
      <c r="D58" s="288"/>
      <c r="E58" s="288"/>
      <c r="F58" s="288"/>
      <c r="G58" s="288"/>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57" priority="8">
      <formula>AND(OR($Q5="In Progress",$Q5="Testing"),ISBLANK($H5))</formula>
    </cfRule>
  </conditionalFormatting>
  <conditionalFormatting sqref="I5:I1000">
    <cfRule type="expression" dxfId="56" priority="10">
      <formula>AND(NOT(ISBLANK($I5)),$I5&lt;TODAY(),NOT(OR($Q5="Completed",$Q5="Cancelled")))</formula>
    </cfRule>
  </conditionalFormatting>
  <conditionalFormatting sqref="P5:P1000">
    <cfRule type="expression" dxfId="55" priority="9">
      <formula>AND($L5="Prod",ISBLANK($P5))</formula>
    </cfRule>
  </conditionalFormatting>
  <conditionalFormatting sqref="Q5:Q1000">
    <cfRule type="containsText" dxfId="54" priority="1" operator="containsText" text="Planning">
      <formula>NOT(ISERROR(SEARCH("Planning",Q5)))</formula>
    </cfRule>
    <cfRule type="containsText" dxfId="53" priority="2" operator="containsText" text="In Progress">
      <formula>NOT(ISERROR(SEARCH("In Progress",Q5)))</formula>
    </cfRule>
    <cfRule type="containsText" dxfId="52" priority="3" operator="containsText" text="Testing">
      <formula>NOT(ISERROR(SEARCH("Testing",Q5)))</formula>
    </cfRule>
    <cfRule type="containsText" dxfId="51" priority="4" operator="containsText" text="Completed">
      <formula>NOT(ISERROR(SEARCH("Completed",Q5)))</formula>
    </cfRule>
    <cfRule type="containsText" dxfId="50" priority="5" operator="containsText" text="On Hold">
      <formula>NOT(ISERROR(SEARCH("On Hold",Q5)))</formula>
    </cfRule>
    <cfRule type="containsText" dxfId="49" priority="6" operator="containsText" text="Cancelled">
      <formula>NOT(ISERROR(SEARCH("Cancelled",Q5)))</formula>
    </cfRule>
  </conditionalFormatting>
  <conditionalFormatting sqref="S5:S1000">
    <cfRule type="expression" dxfId="48"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2026</v>
      </c>
      <c r="B1" s="104" t="s">
        <v>0</v>
      </c>
      <c r="C1" s="104" t="s">
        <v>2027</v>
      </c>
      <c r="D1" s="104" t="s">
        <v>9</v>
      </c>
      <c r="E1" s="104" t="s">
        <v>2028</v>
      </c>
      <c r="F1" s="104" t="s">
        <v>2029</v>
      </c>
      <c r="G1" s="104" t="s">
        <v>2030</v>
      </c>
      <c r="H1" s="104" t="s">
        <v>2031</v>
      </c>
      <c r="I1" s="104" t="s">
        <v>2032</v>
      </c>
      <c r="J1" s="104" t="s">
        <v>2033</v>
      </c>
      <c r="K1" s="104" t="s">
        <v>2034</v>
      </c>
      <c r="L1" s="104" t="s">
        <v>2035</v>
      </c>
      <c r="M1" s="104" t="s">
        <v>2036</v>
      </c>
      <c r="N1" s="104" t="s">
        <v>2037</v>
      </c>
      <c r="O1" s="104" t="s">
        <v>2038</v>
      </c>
      <c r="P1" s="104" t="s">
        <v>2039</v>
      </c>
      <c r="Q1" s="104" t="s">
        <v>2040</v>
      </c>
      <c r="R1" s="104" t="s">
        <v>2041</v>
      </c>
      <c r="S1" s="104" t="s">
        <v>2042</v>
      </c>
      <c r="T1" s="104" t="s">
        <v>2043</v>
      </c>
      <c r="U1" s="104" t="s">
        <v>2044</v>
      </c>
      <c r="V1" s="104" t="s">
        <v>2045</v>
      </c>
      <c r="W1" s="104" t="s">
        <v>2046</v>
      </c>
      <c r="X1" s="104" t="s">
        <v>2047</v>
      </c>
      <c r="Y1" s="104" t="s">
        <v>2048</v>
      </c>
      <c r="Z1" s="104" t="s">
        <v>2049</v>
      </c>
      <c r="AA1" s="104" t="s">
        <v>2050</v>
      </c>
      <c r="AB1" s="104" t="s">
        <v>2051</v>
      </c>
      <c r="AC1" s="104" t="s">
        <v>2052</v>
      </c>
      <c r="AD1" s="104" t="s">
        <v>2053</v>
      </c>
      <c r="AE1" s="104" t="s">
        <v>2054</v>
      </c>
      <c r="AF1" s="104" t="s">
        <v>2055</v>
      </c>
      <c r="AG1" s="104" t="s">
        <v>2056</v>
      </c>
      <c r="AH1" s="104" t="s">
        <v>2057</v>
      </c>
      <c r="AI1" s="104" t="s">
        <v>2058</v>
      </c>
      <c r="AJ1" s="104" t="s">
        <v>2059</v>
      </c>
      <c r="AK1" s="104" t="s">
        <v>2060</v>
      </c>
      <c r="AL1" s="104" t="s">
        <v>2061</v>
      </c>
      <c r="AM1" s="104" t="s">
        <v>2062</v>
      </c>
      <c r="AN1" s="104" t="s">
        <v>2063</v>
      </c>
      <c r="AO1" s="104" t="s">
        <v>2064</v>
      </c>
      <c r="AP1" s="104" t="s">
        <v>2065</v>
      </c>
      <c r="AQ1" s="104" t="s">
        <v>2066</v>
      </c>
      <c r="AR1" s="104" t="s">
        <v>2067</v>
      </c>
      <c r="AS1" s="104" t="s">
        <v>2068</v>
      </c>
      <c r="AT1" s="104" t="s">
        <v>2069</v>
      </c>
      <c r="AU1" s="104" t="s">
        <v>2070</v>
      </c>
      <c r="AV1" s="104" t="s">
        <v>2071</v>
      </c>
      <c r="AW1" s="105" t="s">
        <v>2072</v>
      </c>
    </row>
    <row r="2" spans="1:49" ht="60" customHeight="1" outlineLevel="1" x14ac:dyDescent="0.35">
      <c r="A2" s="97" t="s">
        <v>2073</v>
      </c>
      <c r="B2" s="80">
        <v>1</v>
      </c>
      <c r="C2" s="82" t="s">
        <v>19</v>
      </c>
      <c r="D2" s="84" t="s">
        <v>2074</v>
      </c>
      <c r="E2" s="84" t="s">
        <v>19</v>
      </c>
      <c r="F2" s="80" t="s">
        <v>19</v>
      </c>
      <c r="G2" s="80" t="s">
        <v>19</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2073</v>
      </c>
      <c r="B3" s="81" t="s">
        <v>2075</v>
      </c>
      <c r="C3" s="83" t="s">
        <v>2076</v>
      </c>
      <c r="D3" s="85" t="s">
        <v>2077</v>
      </c>
      <c r="E3" s="85" t="s">
        <v>2078</v>
      </c>
      <c r="F3" s="86" t="s">
        <v>2079</v>
      </c>
      <c r="G3" s="86" t="s">
        <v>2080</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2073</v>
      </c>
      <c r="B4" s="81" t="s">
        <v>2081</v>
      </c>
      <c r="C4" s="83" t="s">
        <v>2082</v>
      </c>
      <c r="D4" s="85" t="s">
        <v>2083</v>
      </c>
      <c r="E4" s="85" t="s">
        <v>2084</v>
      </c>
      <c r="F4" s="86" t="s">
        <v>2079</v>
      </c>
      <c r="G4" s="86" t="s">
        <v>2085</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2073</v>
      </c>
      <c r="B5" s="81" t="s">
        <v>2086</v>
      </c>
      <c r="C5" s="83" t="s">
        <v>2087</v>
      </c>
      <c r="D5" s="85" t="s">
        <v>2088</v>
      </c>
      <c r="E5" s="85" t="s">
        <v>2089</v>
      </c>
      <c r="F5" s="86" t="s">
        <v>2079</v>
      </c>
      <c r="G5" s="86" t="s">
        <v>2090</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2073</v>
      </c>
      <c r="B6" s="81" t="s">
        <v>2091</v>
      </c>
      <c r="C6" s="83" t="s">
        <v>2092</v>
      </c>
      <c r="D6" s="85" t="s">
        <v>2093</v>
      </c>
      <c r="E6" s="85" t="s">
        <v>2094</v>
      </c>
      <c r="F6" s="86" t="s">
        <v>2079</v>
      </c>
      <c r="G6" s="86" t="s">
        <v>2080</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2073</v>
      </c>
      <c r="B7" s="81" t="s">
        <v>2095</v>
      </c>
      <c r="C7" s="83" t="s">
        <v>2096</v>
      </c>
      <c r="D7" s="85" t="s">
        <v>2097</v>
      </c>
      <c r="E7" s="85" t="s">
        <v>2098</v>
      </c>
      <c r="F7" s="86" t="s">
        <v>2079</v>
      </c>
      <c r="G7" s="86" t="s">
        <v>2090</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2099</v>
      </c>
      <c r="B8" s="80">
        <v>2</v>
      </c>
      <c r="C8" s="82" t="s">
        <v>19</v>
      </c>
      <c r="D8" s="84" t="s">
        <v>2100</v>
      </c>
      <c r="E8" s="84" t="s">
        <v>19</v>
      </c>
      <c r="F8" s="80" t="s">
        <v>19</v>
      </c>
      <c r="G8" s="80" t="s">
        <v>19</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2099</v>
      </c>
      <c r="B9" s="81" t="s">
        <v>2101</v>
      </c>
      <c r="C9" s="83" t="s">
        <v>2102</v>
      </c>
      <c r="D9" s="85" t="s">
        <v>2103</v>
      </c>
      <c r="E9" s="85" t="s">
        <v>2104</v>
      </c>
      <c r="F9" s="86" t="s">
        <v>2105</v>
      </c>
      <c r="G9" s="86" t="s">
        <v>2080</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2099</v>
      </c>
      <c r="B10" s="81" t="s">
        <v>2106</v>
      </c>
      <c r="C10" s="83" t="s">
        <v>2107</v>
      </c>
      <c r="D10" s="85" t="s">
        <v>2108</v>
      </c>
      <c r="E10" s="85" t="s">
        <v>2109</v>
      </c>
      <c r="F10" s="86" t="s">
        <v>2105</v>
      </c>
      <c r="G10" s="86" t="s">
        <v>2080</v>
      </c>
      <c r="H10" s="86">
        <v>1</v>
      </c>
      <c r="I10" s="88">
        <f>IF(COUNTIF(J10:AW10,"&lt;&gt;")=0,"",SUMPRODUCT(((Recommendations[ImplStatus]="Implemented")+(Recommendations[ImplStatus]="Compensated"))*ISNUMBER(MATCH(Recommendations[Id],J10:AW10,0)))/COUNTIF(J10:AW10,"&lt;&gt;"))</f>
        <v>0</v>
      </c>
      <c r="J10" s="90" t="s">
        <v>27</v>
      </c>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2099</v>
      </c>
      <c r="B11" s="81" t="s">
        <v>2110</v>
      </c>
      <c r="C11" s="83" t="s">
        <v>2111</v>
      </c>
      <c r="D11" s="85" t="s">
        <v>2112</v>
      </c>
      <c r="E11" s="85" t="s">
        <v>2113</v>
      </c>
      <c r="F11" s="86" t="s">
        <v>2105</v>
      </c>
      <c r="G11" s="86" t="s">
        <v>2085</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2099</v>
      </c>
      <c r="B12" s="81" t="s">
        <v>2114</v>
      </c>
      <c r="C12" s="83" t="s">
        <v>2115</v>
      </c>
      <c r="D12" s="85" t="s">
        <v>2116</v>
      </c>
      <c r="E12" s="85" t="s">
        <v>2117</v>
      </c>
      <c r="F12" s="86" t="s">
        <v>2105</v>
      </c>
      <c r="G12" s="86" t="s">
        <v>2090</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2099</v>
      </c>
      <c r="B13" s="81" t="s">
        <v>2118</v>
      </c>
      <c r="C13" s="83" t="s">
        <v>2119</v>
      </c>
      <c r="D13" s="85" t="s">
        <v>2120</v>
      </c>
      <c r="E13" s="85" t="s">
        <v>2121</v>
      </c>
      <c r="F13" s="86" t="s">
        <v>2105</v>
      </c>
      <c r="G13" s="86" t="s">
        <v>2122</v>
      </c>
      <c r="H13" s="86">
        <v>2</v>
      </c>
      <c r="I13" s="88" t="str">
        <f>IF(COUNTIF(J13:AW13,"&lt;&gt;")=0,"",SUMPRODUCT(((Recommendations[ImplStatus]="Implemented")+(Recommendations[ImplStatus]="Compensated"))*ISNUMBER(MATCH(Recommendations[Id],J13:AW13,0)))/COUNTIF(J13:AW13,"&lt;&gt;"))</f>
        <v/>
      </c>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2099</v>
      </c>
      <c r="B14" s="81" t="s">
        <v>2123</v>
      </c>
      <c r="C14" s="83" t="s">
        <v>2124</v>
      </c>
      <c r="D14" s="85" t="s">
        <v>2125</v>
      </c>
      <c r="E14" s="85" t="s">
        <v>2126</v>
      </c>
      <c r="F14" s="86" t="s">
        <v>2105</v>
      </c>
      <c r="G14" s="86" t="s">
        <v>2122</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2099</v>
      </c>
      <c r="B15" s="81" t="s">
        <v>2127</v>
      </c>
      <c r="C15" s="83" t="s">
        <v>2128</v>
      </c>
      <c r="D15" s="85" t="s">
        <v>2129</v>
      </c>
      <c r="E15" s="85" t="s">
        <v>2130</v>
      </c>
      <c r="F15" s="86" t="s">
        <v>2105</v>
      </c>
      <c r="G15" s="86" t="s">
        <v>2122</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2131</v>
      </c>
      <c r="B16" s="80">
        <v>3</v>
      </c>
      <c r="C16" s="82" t="s">
        <v>19</v>
      </c>
      <c r="D16" s="84" t="s">
        <v>2132</v>
      </c>
      <c r="E16" s="84" t="s">
        <v>19</v>
      </c>
      <c r="F16" s="80" t="s">
        <v>19</v>
      </c>
      <c r="G16" s="80" t="s">
        <v>19</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2131</v>
      </c>
      <c r="B17" s="81" t="s">
        <v>2133</v>
      </c>
      <c r="C17" s="83" t="s">
        <v>2134</v>
      </c>
      <c r="D17" s="85" t="s">
        <v>2135</v>
      </c>
      <c r="E17" s="85" t="s">
        <v>2136</v>
      </c>
      <c r="F17" s="86" t="s">
        <v>2137</v>
      </c>
      <c r="G17" s="86" t="s">
        <v>2138</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2131</v>
      </c>
      <c r="B18" s="81" t="s">
        <v>2139</v>
      </c>
      <c r="C18" s="83" t="s">
        <v>2140</v>
      </c>
      <c r="D18" s="85" t="s">
        <v>2141</v>
      </c>
      <c r="E18" s="85" t="s">
        <v>2142</v>
      </c>
      <c r="F18" s="86" t="s">
        <v>2137</v>
      </c>
      <c r="G18" s="86" t="s">
        <v>2080</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2131</v>
      </c>
      <c r="B19" s="81" t="s">
        <v>2143</v>
      </c>
      <c r="C19" s="83" t="s">
        <v>2144</v>
      </c>
      <c r="D19" s="85" t="s">
        <v>2145</v>
      </c>
      <c r="E19" s="85" t="s">
        <v>2146</v>
      </c>
      <c r="F19" s="86" t="s">
        <v>2137</v>
      </c>
      <c r="G19" s="86" t="s">
        <v>2122</v>
      </c>
      <c r="H19" s="86">
        <v>1</v>
      </c>
      <c r="I19" s="88">
        <f>IF(COUNTIF(J19:AW19,"&lt;&gt;")=0,"",SUMPRODUCT(((Recommendations[ImplStatus]="Implemented")+(Recommendations[ImplStatus]="Compensated"))*ISNUMBER(MATCH(Recommendations[Id],J19:AW19,0)))/COUNTIF(J19:AW19,"&lt;&gt;"))</f>
        <v>0</v>
      </c>
      <c r="J19" s="90" t="s">
        <v>148</v>
      </c>
      <c r="K19" s="90" t="s">
        <v>159</v>
      </c>
      <c r="L19" s="90" t="s">
        <v>204</v>
      </c>
      <c r="M19" s="90" t="s">
        <v>209</v>
      </c>
      <c r="N19" s="90" t="s">
        <v>213</v>
      </c>
      <c r="O19" s="90" t="s">
        <v>217</v>
      </c>
      <c r="P19" s="90" t="s">
        <v>221</v>
      </c>
      <c r="Q19" s="90" t="s">
        <v>225</v>
      </c>
      <c r="R19" s="90" t="s">
        <v>378</v>
      </c>
      <c r="S19" s="90" t="s">
        <v>427</v>
      </c>
      <c r="T19" s="90" t="s">
        <v>446</v>
      </c>
      <c r="U19" s="90" t="s">
        <v>511</v>
      </c>
      <c r="V19" s="90" t="s">
        <v>516</v>
      </c>
      <c r="W19" s="90" t="s">
        <v>521</v>
      </c>
      <c r="X19" s="90" t="s">
        <v>526</v>
      </c>
      <c r="Y19" s="90" t="s">
        <v>531</v>
      </c>
      <c r="Z19" s="90" t="s">
        <v>536</v>
      </c>
      <c r="AA19" s="90" t="s">
        <v>540</v>
      </c>
      <c r="AB19" s="90" t="s">
        <v>545</v>
      </c>
      <c r="AC19" s="90" t="s">
        <v>550</v>
      </c>
      <c r="AD19" s="90" t="s">
        <v>555</v>
      </c>
      <c r="AE19" s="90" t="s">
        <v>559</v>
      </c>
      <c r="AF19" s="90" t="s">
        <v>564</v>
      </c>
      <c r="AG19" s="90" t="s">
        <v>569</v>
      </c>
      <c r="AH19" s="90" t="s">
        <v>574</v>
      </c>
      <c r="AI19" s="90" t="s">
        <v>864</v>
      </c>
      <c r="AJ19" s="90" t="s">
        <v>869</v>
      </c>
      <c r="AK19" s="90" t="s">
        <v>874</v>
      </c>
      <c r="AL19" s="90" t="s">
        <v>1657</v>
      </c>
      <c r="AM19" s="90" t="s">
        <v>1662</v>
      </c>
      <c r="AN19" s="90" t="s">
        <v>1666</v>
      </c>
      <c r="AO19" s="90"/>
      <c r="AP19" s="90"/>
      <c r="AQ19" s="90"/>
      <c r="AR19" s="90"/>
      <c r="AS19" s="90"/>
      <c r="AT19" s="90"/>
      <c r="AU19" s="90"/>
      <c r="AV19" s="90"/>
      <c r="AW19" s="101"/>
    </row>
    <row r="20" spans="1:49" ht="60" customHeight="1" x14ac:dyDescent="0.35">
      <c r="A20" s="98" t="s">
        <v>2131</v>
      </c>
      <c r="B20" s="81" t="s">
        <v>2147</v>
      </c>
      <c r="C20" s="83" t="s">
        <v>2148</v>
      </c>
      <c r="D20" s="85" t="s">
        <v>2149</v>
      </c>
      <c r="E20" s="85" t="s">
        <v>2150</v>
      </c>
      <c r="F20" s="86" t="s">
        <v>2137</v>
      </c>
      <c r="G20" s="86" t="s">
        <v>2122</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2131</v>
      </c>
      <c r="B21" s="81" t="s">
        <v>2151</v>
      </c>
      <c r="C21" s="83" t="s">
        <v>2152</v>
      </c>
      <c r="D21" s="85" t="s">
        <v>2153</v>
      </c>
      <c r="E21" s="85" t="s">
        <v>2154</v>
      </c>
      <c r="F21" s="86" t="s">
        <v>2137</v>
      </c>
      <c r="G21" s="86" t="s">
        <v>2122</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2131</v>
      </c>
      <c r="B22" s="81" t="s">
        <v>2155</v>
      </c>
      <c r="C22" s="83" t="s">
        <v>2156</v>
      </c>
      <c r="D22" s="85" t="s">
        <v>2157</v>
      </c>
      <c r="E22" s="85" t="s">
        <v>2158</v>
      </c>
      <c r="F22" s="86" t="s">
        <v>2137</v>
      </c>
      <c r="G22" s="86" t="s">
        <v>2122</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2131</v>
      </c>
      <c r="B23" s="81" t="s">
        <v>2159</v>
      </c>
      <c r="C23" s="83" t="s">
        <v>2160</v>
      </c>
      <c r="D23" s="85" t="s">
        <v>2161</v>
      </c>
      <c r="E23" s="85" t="s">
        <v>2162</v>
      </c>
      <c r="F23" s="86" t="s">
        <v>2137</v>
      </c>
      <c r="G23" s="86" t="s">
        <v>2080</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2131</v>
      </c>
      <c r="B24" s="81" t="s">
        <v>2163</v>
      </c>
      <c r="C24" s="83" t="s">
        <v>2164</v>
      </c>
      <c r="D24" s="85" t="s">
        <v>2165</v>
      </c>
      <c r="E24" s="85" t="s">
        <v>2166</v>
      </c>
      <c r="F24" s="86" t="s">
        <v>2137</v>
      </c>
      <c r="G24" s="86" t="s">
        <v>2080</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2131</v>
      </c>
      <c r="B25" s="81" t="s">
        <v>2167</v>
      </c>
      <c r="C25" s="83" t="s">
        <v>2168</v>
      </c>
      <c r="D25" s="85" t="s">
        <v>2169</v>
      </c>
      <c r="E25" s="85" t="s">
        <v>2170</v>
      </c>
      <c r="F25" s="86" t="s">
        <v>2137</v>
      </c>
      <c r="G25" s="86" t="s">
        <v>2122</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2131</v>
      </c>
      <c r="B26" s="81" t="s">
        <v>2171</v>
      </c>
      <c r="C26" s="83" t="s">
        <v>2172</v>
      </c>
      <c r="D26" s="85" t="s">
        <v>2173</v>
      </c>
      <c r="E26" s="85" t="s">
        <v>2174</v>
      </c>
      <c r="F26" s="86" t="s">
        <v>2137</v>
      </c>
      <c r="G26" s="86" t="s">
        <v>2122</v>
      </c>
      <c r="H26" s="86">
        <v>2</v>
      </c>
      <c r="I26" s="88" t="str">
        <f>IF(COUNTIF(J26:AW26,"&lt;&gt;")=0,"",SUMPRODUCT(((Recommendations[ImplStatus]="Implemented")+(Recommendations[ImplStatus]="Compensated"))*ISNUMBER(MATCH(Recommendations[Id],J26:AW26,0)))/COUNTIF(J26:AW26,"&lt;&gt;"))</f>
        <v/>
      </c>
      <c r="J26" s="90"/>
      <c r="K26" s="90"/>
      <c r="L26" s="90"/>
      <c r="M26" s="90"/>
      <c r="N26" s="90"/>
      <c r="O26" s="90"/>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2131</v>
      </c>
      <c r="B27" s="81" t="s">
        <v>2175</v>
      </c>
      <c r="C27" s="83" t="s">
        <v>2176</v>
      </c>
      <c r="D27" s="85" t="s">
        <v>2177</v>
      </c>
      <c r="E27" s="85" t="s">
        <v>2178</v>
      </c>
      <c r="F27" s="86" t="s">
        <v>2137</v>
      </c>
      <c r="G27" s="86" t="s">
        <v>2122</v>
      </c>
      <c r="H27" s="86">
        <v>2</v>
      </c>
      <c r="I27" s="88">
        <f>IF(COUNTIF(J27:AW27,"&lt;&gt;")=0,"",SUMPRODUCT(((Recommendations[ImplStatus]="Implemented")+(Recommendations[ImplStatus]="Compensated"))*ISNUMBER(MATCH(Recommendations[Id],J27:AW27,0)))/COUNTIF(J27:AW27,"&lt;&gt;"))</f>
        <v>0</v>
      </c>
      <c r="J27" s="90" t="s">
        <v>43</v>
      </c>
      <c r="K27" s="90"/>
      <c r="L27" s="90"/>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2131</v>
      </c>
      <c r="B28" s="81" t="s">
        <v>2179</v>
      </c>
      <c r="C28" s="83" t="s">
        <v>2180</v>
      </c>
      <c r="D28" s="85" t="s">
        <v>2181</v>
      </c>
      <c r="E28" s="85" t="s">
        <v>2182</v>
      </c>
      <c r="F28" s="86" t="s">
        <v>2137</v>
      </c>
      <c r="G28" s="86" t="s">
        <v>2122</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2131</v>
      </c>
      <c r="B29" s="81" t="s">
        <v>2183</v>
      </c>
      <c r="C29" s="83" t="s">
        <v>2184</v>
      </c>
      <c r="D29" s="85" t="s">
        <v>2185</v>
      </c>
      <c r="E29" s="85" t="s">
        <v>2186</v>
      </c>
      <c r="F29" s="86" t="s">
        <v>2137</v>
      </c>
      <c r="G29" s="86" t="s">
        <v>2122</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2131</v>
      </c>
      <c r="B30" s="81" t="s">
        <v>2187</v>
      </c>
      <c r="C30" s="83" t="s">
        <v>2188</v>
      </c>
      <c r="D30" s="85" t="s">
        <v>2189</v>
      </c>
      <c r="E30" s="85" t="s">
        <v>2190</v>
      </c>
      <c r="F30" s="86" t="s">
        <v>2137</v>
      </c>
      <c r="G30" s="86" t="s">
        <v>2090</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2191</v>
      </c>
      <c r="B31" s="80">
        <v>4</v>
      </c>
      <c r="C31" s="82" t="s">
        <v>19</v>
      </c>
      <c r="D31" s="84" t="s">
        <v>2192</v>
      </c>
      <c r="E31" s="84" t="s">
        <v>19</v>
      </c>
      <c r="F31" s="80" t="s">
        <v>19</v>
      </c>
      <c r="G31" s="80" t="s">
        <v>19</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2191</v>
      </c>
      <c r="B32" s="81" t="s">
        <v>2193</v>
      </c>
      <c r="C32" s="83" t="s">
        <v>2194</v>
      </c>
      <c r="D32" s="85" t="s">
        <v>2195</v>
      </c>
      <c r="E32" s="85" t="s">
        <v>2196</v>
      </c>
      <c r="F32" s="86" t="s">
        <v>2197</v>
      </c>
      <c r="G32" s="86" t="s">
        <v>2138</v>
      </c>
      <c r="H32" s="86">
        <v>1</v>
      </c>
      <c r="I32" s="88">
        <f>IF(COUNTIF(J32:AW32,"&lt;&gt;")=0,"",SUMPRODUCT(((Recommendations[ImplStatus]="Implemented")+(Recommendations[ImplStatus]="Compensated"))*ISNUMBER(MATCH(Recommendations[Id],J32:AW32,0)))/COUNTIF(J32:AW32,"&lt;&gt;"))</f>
        <v>0</v>
      </c>
      <c r="J32" s="90" t="s">
        <v>38</v>
      </c>
      <c r="K32" s="90" t="s">
        <v>48</v>
      </c>
      <c r="L32" s="90" t="s">
        <v>58</v>
      </c>
      <c r="M32" s="90" t="s">
        <v>63</v>
      </c>
      <c r="N32" s="90" t="s">
        <v>82</v>
      </c>
      <c r="O32" s="90" t="s">
        <v>87</v>
      </c>
      <c r="P32" s="90" t="s">
        <v>92</v>
      </c>
      <c r="Q32" s="90" t="s">
        <v>97</v>
      </c>
      <c r="R32" s="90" t="s">
        <v>112</v>
      </c>
      <c r="S32" s="90" t="s">
        <v>121</v>
      </c>
      <c r="T32" s="90" t="s">
        <v>125</v>
      </c>
      <c r="U32" s="90" t="s">
        <v>130</v>
      </c>
      <c r="V32" s="90" t="s">
        <v>148</v>
      </c>
      <c r="W32" s="90" t="s">
        <v>153</v>
      </c>
      <c r="X32" s="90" t="s">
        <v>164</v>
      </c>
      <c r="Y32" s="90" t="s">
        <v>169</v>
      </c>
      <c r="Z32" s="90" t="s">
        <v>199</v>
      </c>
      <c r="AA32" s="90" t="s">
        <v>235</v>
      </c>
      <c r="AB32" s="90" t="s">
        <v>343</v>
      </c>
      <c r="AC32" s="90" t="s">
        <v>348</v>
      </c>
      <c r="AD32" s="90" t="s">
        <v>353</v>
      </c>
      <c r="AE32" s="90" t="s">
        <v>358</v>
      </c>
      <c r="AF32" s="90" t="s">
        <v>363</v>
      </c>
      <c r="AG32" s="90" t="s">
        <v>368</v>
      </c>
      <c r="AH32" s="90" t="s">
        <v>373</v>
      </c>
      <c r="AI32" s="90" t="s">
        <v>383</v>
      </c>
      <c r="AJ32" s="90" t="s">
        <v>388</v>
      </c>
      <c r="AK32" s="90" t="s">
        <v>392</v>
      </c>
      <c r="AL32" s="90" t="s">
        <v>396</v>
      </c>
      <c r="AM32" s="90" t="s">
        <v>401</v>
      </c>
      <c r="AN32" s="90" t="s">
        <v>409</v>
      </c>
      <c r="AO32" s="90" t="s">
        <v>413</v>
      </c>
      <c r="AP32" s="90" t="s">
        <v>464</v>
      </c>
      <c r="AQ32" s="90" t="s">
        <v>469</v>
      </c>
      <c r="AR32" s="90" t="s">
        <v>506</v>
      </c>
      <c r="AS32" s="90" t="s">
        <v>583</v>
      </c>
      <c r="AT32" s="90" t="s">
        <v>593</v>
      </c>
      <c r="AU32" s="90" t="s">
        <v>598</v>
      </c>
      <c r="AV32" s="90" t="s">
        <v>603</v>
      </c>
      <c r="AW32" s="101" t="s">
        <v>607</v>
      </c>
    </row>
    <row r="33" spans="1:49" ht="60" customHeight="1" x14ac:dyDescent="0.35">
      <c r="A33" s="98" t="s">
        <v>2191</v>
      </c>
      <c r="B33" s="81" t="s">
        <v>2198</v>
      </c>
      <c r="C33" s="83" t="s">
        <v>2199</v>
      </c>
      <c r="D33" s="85" t="s">
        <v>2200</v>
      </c>
      <c r="E33" s="85" t="s">
        <v>2201</v>
      </c>
      <c r="F33" s="86" t="s">
        <v>2197</v>
      </c>
      <c r="G33" s="86" t="s">
        <v>2138</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2191</v>
      </c>
      <c r="B34" s="81" t="s">
        <v>2202</v>
      </c>
      <c r="C34" s="83" t="s">
        <v>2203</v>
      </c>
      <c r="D34" s="85" t="s">
        <v>2204</v>
      </c>
      <c r="E34" s="85" t="s">
        <v>2205</v>
      </c>
      <c r="F34" s="86" t="s">
        <v>2079</v>
      </c>
      <c r="G34" s="86" t="s">
        <v>2122</v>
      </c>
      <c r="H34" s="86">
        <v>1</v>
      </c>
      <c r="I34" s="88">
        <f>IF(COUNTIF(J34:AW34,"&lt;&gt;")=0,"",SUMPRODUCT(((Recommendations[ImplStatus]="Implemented")+(Recommendations[ImplStatus]="Compensated"))*ISNUMBER(MATCH(Recommendations[Id],J34:AW34,0)))/COUNTIF(J34:AW34,"&lt;&gt;"))</f>
        <v>0</v>
      </c>
      <c r="J34" s="90" t="s">
        <v>417</v>
      </c>
      <c r="K34" s="90" t="s">
        <v>677</v>
      </c>
      <c r="L34" s="90" t="s">
        <v>682</v>
      </c>
      <c r="M34" s="90" t="s">
        <v>692</v>
      </c>
      <c r="N34" s="90" t="s">
        <v>697</v>
      </c>
      <c r="O34" s="90" t="s">
        <v>702</v>
      </c>
      <c r="P34" s="90" t="s">
        <v>707</v>
      </c>
      <c r="Q34" s="90" t="s">
        <v>712</v>
      </c>
      <c r="R34" s="90" t="s">
        <v>716</v>
      </c>
      <c r="S34" s="90" t="s">
        <v>859</v>
      </c>
      <c r="T34" s="90" t="s">
        <v>1493</v>
      </c>
      <c r="U34" s="90" t="s">
        <v>1723</v>
      </c>
      <c r="V34" s="90" t="s">
        <v>1733</v>
      </c>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2191</v>
      </c>
      <c r="B35" s="81" t="s">
        <v>2206</v>
      </c>
      <c r="C35" s="83" t="s">
        <v>2207</v>
      </c>
      <c r="D35" s="85" t="s">
        <v>2208</v>
      </c>
      <c r="E35" s="85" t="s">
        <v>2209</v>
      </c>
      <c r="F35" s="86" t="s">
        <v>2079</v>
      </c>
      <c r="G35" s="86" t="s">
        <v>2122</v>
      </c>
      <c r="H35" s="86">
        <v>1</v>
      </c>
      <c r="I35" s="88">
        <f>IF(COUNTIF(J35:AW35,"&lt;&gt;")=0,"",SUMPRODUCT(((Recommendations[ImplStatus]="Implemented")+(Recommendations[ImplStatus]="Compensated"))*ISNUMBER(MATCH(Recommendations[Id],J35:AW35,0)))/COUNTIF(J35:AW35,"&lt;&gt;"))</f>
        <v>0</v>
      </c>
      <c r="J35" s="90" t="s">
        <v>1337</v>
      </c>
      <c r="K35" s="90" t="s">
        <v>1342</v>
      </c>
      <c r="L35" s="90" t="s">
        <v>1347</v>
      </c>
      <c r="M35" s="90" t="s">
        <v>1449</v>
      </c>
      <c r="N35" s="90" t="s">
        <v>1608</v>
      </c>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2191</v>
      </c>
      <c r="B36" s="81" t="s">
        <v>2210</v>
      </c>
      <c r="C36" s="83" t="s">
        <v>2211</v>
      </c>
      <c r="D36" s="85" t="s">
        <v>2212</v>
      </c>
      <c r="E36" s="85" t="s">
        <v>2213</v>
      </c>
      <c r="F36" s="86" t="s">
        <v>2079</v>
      </c>
      <c r="G36" s="86" t="s">
        <v>2122</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2191</v>
      </c>
      <c r="B37" s="81" t="s">
        <v>2214</v>
      </c>
      <c r="C37" s="83" t="s">
        <v>2215</v>
      </c>
      <c r="D37" s="85" t="s">
        <v>2216</v>
      </c>
      <c r="E37" s="85" t="s">
        <v>2217</v>
      </c>
      <c r="F37" s="86" t="s">
        <v>2079</v>
      </c>
      <c r="G37" s="86" t="s">
        <v>2122</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2191</v>
      </c>
      <c r="B38" s="81" t="s">
        <v>2218</v>
      </c>
      <c r="C38" s="83" t="s">
        <v>2219</v>
      </c>
      <c r="D38" s="85" t="s">
        <v>2220</v>
      </c>
      <c r="E38" s="85" t="s">
        <v>2221</v>
      </c>
      <c r="F38" s="86" t="s">
        <v>2222</v>
      </c>
      <c r="G38" s="86" t="s">
        <v>2122</v>
      </c>
      <c r="H38" s="86">
        <v>1</v>
      </c>
      <c r="I38" s="88" t="str">
        <f>IF(COUNTIF(J38:AW38,"&lt;&gt;")=0,"",SUMPRODUCT(((Recommendations[ImplStatus]="Implemented")+(Recommendations[ImplStatus]="Compensated"))*ISNUMBER(MATCH(Recommendations[Id],J38:AW38,0)))/COUNTIF(J38:AW38,"&lt;&gt;"))</f>
        <v/>
      </c>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2191</v>
      </c>
      <c r="B39" s="81" t="s">
        <v>2223</v>
      </c>
      <c r="C39" s="83" t="s">
        <v>2224</v>
      </c>
      <c r="D39" s="85" t="s">
        <v>2225</v>
      </c>
      <c r="E39" s="85" t="s">
        <v>2226</v>
      </c>
      <c r="F39" s="86" t="s">
        <v>2079</v>
      </c>
      <c r="G39" s="86" t="s">
        <v>2122</v>
      </c>
      <c r="H39" s="86">
        <v>2</v>
      </c>
      <c r="I39" s="88">
        <f>IF(COUNTIF(J39:AW39,"&lt;&gt;")=0,"",SUMPRODUCT(((Recommendations[ImplStatus]="Implemented")+(Recommendations[ImplStatus]="Compensated"))*ISNUMBER(MATCH(Recommendations[Id],J39:AW39,0)))/COUNTIF(J39:AW39,"&lt;&gt;"))</f>
        <v>0</v>
      </c>
      <c r="J39" s="90" t="s">
        <v>134</v>
      </c>
      <c r="K39" s="90" t="s">
        <v>244</v>
      </c>
      <c r="L39" s="90" t="s">
        <v>249</v>
      </c>
      <c r="M39" s="90" t="s">
        <v>254</v>
      </c>
      <c r="N39" s="90" t="s">
        <v>259</v>
      </c>
      <c r="O39" s="90" t="s">
        <v>264</v>
      </c>
      <c r="P39" s="90" t="s">
        <v>338</v>
      </c>
      <c r="Q39" s="90" t="s">
        <v>432</v>
      </c>
      <c r="R39" s="90" t="s">
        <v>436</v>
      </c>
      <c r="S39" s="90" t="s">
        <v>460</v>
      </c>
      <c r="T39" s="90" t="s">
        <v>474</v>
      </c>
      <c r="U39" s="90" t="s">
        <v>483</v>
      </c>
      <c r="V39" s="90" t="s">
        <v>488</v>
      </c>
      <c r="W39" s="90" t="s">
        <v>493</v>
      </c>
      <c r="X39" s="90" t="s">
        <v>498</v>
      </c>
      <c r="Y39" s="90" t="s">
        <v>502</v>
      </c>
      <c r="Z39" s="90" t="s">
        <v>578</v>
      </c>
      <c r="AA39" s="90" t="s">
        <v>687</v>
      </c>
      <c r="AB39" s="90" t="s">
        <v>1263</v>
      </c>
      <c r="AC39" s="90" t="s">
        <v>1282</v>
      </c>
      <c r="AD39" s="90" t="s">
        <v>1287</v>
      </c>
      <c r="AE39" s="90" t="s">
        <v>1292</v>
      </c>
      <c r="AF39" s="90" t="s">
        <v>1297</v>
      </c>
      <c r="AG39" s="90" t="s">
        <v>1302</v>
      </c>
      <c r="AH39" s="90" t="s">
        <v>1307</v>
      </c>
      <c r="AI39" s="90" t="s">
        <v>1312</v>
      </c>
      <c r="AJ39" s="90" t="s">
        <v>1317</v>
      </c>
      <c r="AK39" s="90" t="s">
        <v>1327</v>
      </c>
      <c r="AL39" s="90" t="s">
        <v>1332</v>
      </c>
      <c r="AM39" s="90" t="s">
        <v>1351</v>
      </c>
      <c r="AN39" s="90" t="s">
        <v>1356</v>
      </c>
      <c r="AO39" s="90" t="s">
        <v>1361</v>
      </c>
      <c r="AP39" s="90" t="s">
        <v>1366</v>
      </c>
      <c r="AQ39" s="90" t="s">
        <v>1370</v>
      </c>
      <c r="AR39" s="90" t="s">
        <v>1374</v>
      </c>
      <c r="AS39" s="90" t="s">
        <v>1378</v>
      </c>
      <c r="AT39" s="90" t="s">
        <v>1382</v>
      </c>
      <c r="AU39" s="90" t="s">
        <v>1386</v>
      </c>
      <c r="AV39" s="90" t="s">
        <v>1390</v>
      </c>
      <c r="AW39" s="101" t="s">
        <v>1394</v>
      </c>
    </row>
    <row r="40" spans="1:49" ht="60" customHeight="1" x14ac:dyDescent="0.35">
      <c r="A40" s="98" t="s">
        <v>2191</v>
      </c>
      <c r="B40" s="81" t="s">
        <v>2227</v>
      </c>
      <c r="C40" s="83" t="s">
        <v>2228</v>
      </c>
      <c r="D40" s="85" t="s">
        <v>2229</v>
      </c>
      <c r="E40" s="85" t="s">
        <v>2230</v>
      </c>
      <c r="F40" s="86" t="s">
        <v>2079</v>
      </c>
      <c r="G40" s="86" t="s">
        <v>2122</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2191</v>
      </c>
      <c r="B41" s="81" t="s">
        <v>2231</v>
      </c>
      <c r="C41" s="83" t="s">
        <v>2232</v>
      </c>
      <c r="D41" s="85" t="s">
        <v>2233</v>
      </c>
      <c r="E41" s="85" t="s">
        <v>2234</v>
      </c>
      <c r="F41" s="86" t="s">
        <v>2079</v>
      </c>
      <c r="G41" s="86" t="s">
        <v>2122</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2191</v>
      </c>
      <c r="B42" s="81" t="s">
        <v>2235</v>
      </c>
      <c r="C42" s="83" t="s">
        <v>2236</v>
      </c>
      <c r="D42" s="85" t="s">
        <v>2237</v>
      </c>
      <c r="E42" s="85" t="s">
        <v>2238</v>
      </c>
      <c r="F42" s="86" t="s">
        <v>2137</v>
      </c>
      <c r="G42" s="86" t="s">
        <v>2122</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2191</v>
      </c>
      <c r="B43" s="81" t="s">
        <v>2239</v>
      </c>
      <c r="C43" s="83" t="s">
        <v>2240</v>
      </c>
      <c r="D43" s="85" t="s">
        <v>2241</v>
      </c>
      <c r="E43" s="85" t="s">
        <v>2242</v>
      </c>
      <c r="F43" s="86" t="s">
        <v>2137</v>
      </c>
      <c r="G43" s="86" t="s">
        <v>2122</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2243</v>
      </c>
      <c r="B44" s="80">
        <v>5</v>
      </c>
      <c r="C44" s="82" t="s">
        <v>19</v>
      </c>
      <c r="D44" s="84" t="s">
        <v>2244</v>
      </c>
      <c r="E44" s="84" t="s">
        <v>19</v>
      </c>
      <c r="F44" s="80" t="s">
        <v>19</v>
      </c>
      <c r="G44" s="80" t="s">
        <v>19</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2243</v>
      </c>
      <c r="B45" s="81" t="s">
        <v>2245</v>
      </c>
      <c r="C45" s="83" t="s">
        <v>2246</v>
      </c>
      <c r="D45" s="85" t="s">
        <v>2247</v>
      </c>
      <c r="E45" s="85" t="s">
        <v>2248</v>
      </c>
      <c r="F45" s="86" t="s">
        <v>2222</v>
      </c>
      <c r="G45" s="86" t="s">
        <v>2080</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2243</v>
      </c>
      <c r="B46" s="81" t="s">
        <v>2249</v>
      </c>
      <c r="C46" s="83" t="s">
        <v>2250</v>
      </c>
      <c r="D46" s="85" t="s">
        <v>2251</v>
      </c>
      <c r="E46" s="85" t="s">
        <v>2252</v>
      </c>
      <c r="F46" s="86" t="s">
        <v>2222</v>
      </c>
      <c r="G46" s="86" t="s">
        <v>2122</v>
      </c>
      <c r="H46" s="86">
        <v>1</v>
      </c>
      <c r="I46" s="88">
        <f>IF(COUNTIF(J46:AW46,"&lt;&gt;")=0,"",SUMPRODUCT(((Recommendations[ImplStatus]="Implemented")+(Recommendations[ImplStatus]="Compensated"))*ISNUMBER(MATCH(Recommendations[Id],J46:AW46,0)))/COUNTIF(J46:AW46,"&lt;&gt;"))</f>
        <v>0</v>
      </c>
      <c r="J46" s="90" t="s">
        <v>653</v>
      </c>
      <c r="K46" s="90"/>
      <c r="L46" s="90"/>
      <c r="M46" s="90"/>
      <c r="N46" s="90"/>
      <c r="O46" s="90"/>
      <c r="P46" s="90"/>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2243</v>
      </c>
      <c r="B47" s="81" t="s">
        <v>2253</v>
      </c>
      <c r="C47" s="83" t="s">
        <v>2254</v>
      </c>
      <c r="D47" s="85" t="s">
        <v>2255</v>
      </c>
      <c r="E47" s="85" t="s">
        <v>2256</v>
      </c>
      <c r="F47" s="86" t="s">
        <v>2222</v>
      </c>
      <c r="G47" s="86" t="s">
        <v>2122</v>
      </c>
      <c r="H47" s="86">
        <v>1</v>
      </c>
      <c r="I47" s="88">
        <f>IF(COUNTIF(J47:AW47,"&lt;&gt;")=0,"",SUMPRODUCT(((Recommendations[ImplStatus]="Implemented")+(Recommendations[ImplStatus]="Compensated"))*ISNUMBER(MATCH(Recommendations[Id],J47:AW47,0)))/COUNTIF(J47:AW47,"&lt;&gt;"))</f>
        <v>0</v>
      </c>
      <c r="J47" s="90" t="s">
        <v>588</v>
      </c>
      <c r="K47" s="90" t="s">
        <v>788</v>
      </c>
      <c r="L47" s="90" t="s">
        <v>798</v>
      </c>
      <c r="M47" s="90" t="s">
        <v>803</v>
      </c>
      <c r="N47" s="90" t="s">
        <v>816</v>
      </c>
      <c r="O47" s="90" t="s">
        <v>841</v>
      </c>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2243</v>
      </c>
      <c r="B48" s="81" t="s">
        <v>2257</v>
      </c>
      <c r="C48" s="83" t="s">
        <v>2258</v>
      </c>
      <c r="D48" s="85" t="s">
        <v>2259</v>
      </c>
      <c r="E48" s="85" t="s">
        <v>2260</v>
      </c>
      <c r="F48" s="86" t="s">
        <v>2222</v>
      </c>
      <c r="G48" s="86" t="s">
        <v>2122</v>
      </c>
      <c r="H48" s="86">
        <v>1</v>
      </c>
      <c r="I48" s="88">
        <f>IF(COUNTIF(J48:AW48,"&lt;&gt;")=0,"",SUMPRODUCT(((Recommendations[ImplStatus]="Implemented")+(Recommendations[ImplStatus]="Compensated"))*ISNUMBER(MATCH(Recommendations[Id],J48:AW48,0)))/COUNTIF(J48:AW48,"&lt;&gt;"))</f>
        <v>0</v>
      </c>
      <c r="J48" s="90" t="s">
        <v>269</v>
      </c>
      <c r="K48" s="90" t="s">
        <v>274</v>
      </c>
      <c r="L48" s="90" t="s">
        <v>278</v>
      </c>
      <c r="M48" s="90" t="s">
        <v>283</v>
      </c>
      <c r="N48" s="90" t="s">
        <v>417</v>
      </c>
      <c r="O48" s="90" t="s">
        <v>1493</v>
      </c>
      <c r="P48" s="90" t="s">
        <v>1648</v>
      </c>
      <c r="Q48" s="90" t="s">
        <v>1680</v>
      </c>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2243</v>
      </c>
      <c r="B49" s="81" t="s">
        <v>2261</v>
      </c>
      <c r="C49" s="83" t="s">
        <v>2262</v>
      </c>
      <c r="D49" s="85" t="s">
        <v>2263</v>
      </c>
      <c r="E49" s="85" t="s">
        <v>2264</v>
      </c>
      <c r="F49" s="86" t="s">
        <v>2222</v>
      </c>
      <c r="G49" s="86" t="s">
        <v>2080</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2243</v>
      </c>
      <c r="B50" s="81" t="s">
        <v>2265</v>
      </c>
      <c r="C50" s="83" t="s">
        <v>2266</v>
      </c>
      <c r="D50" s="85" t="s">
        <v>2267</v>
      </c>
      <c r="E50" s="85" t="s">
        <v>2268</v>
      </c>
      <c r="F50" s="86" t="s">
        <v>2222</v>
      </c>
      <c r="G50" s="86" t="s">
        <v>2138</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2269</v>
      </c>
      <c r="B51" s="80">
        <v>6</v>
      </c>
      <c r="C51" s="82" t="s">
        <v>19</v>
      </c>
      <c r="D51" s="84" t="s">
        <v>2270</v>
      </c>
      <c r="E51" s="84" t="s">
        <v>19</v>
      </c>
      <c r="F51" s="80" t="s">
        <v>19</v>
      </c>
      <c r="G51" s="80" t="s">
        <v>19</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2269</v>
      </c>
      <c r="B52" s="81" t="s">
        <v>2271</v>
      </c>
      <c r="C52" s="83" t="s">
        <v>2272</v>
      </c>
      <c r="D52" s="85" t="s">
        <v>2273</v>
      </c>
      <c r="E52" s="85" t="s">
        <v>2274</v>
      </c>
      <c r="F52" s="86" t="s">
        <v>2197</v>
      </c>
      <c r="G52" s="86" t="s">
        <v>2138</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2269</v>
      </c>
      <c r="B53" s="81" t="s">
        <v>2275</v>
      </c>
      <c r="C53" s="83" t="s">
        <v>2276</v>
      </c>
      <c r="D53" s="85" t="s">
        <v>2277</v>
      </c>
      <c r="E53" s="85" t="s">
        <v>2278</v>
      </c>
      <c r="F53" s="86" t="s">
        <v>2197</v>
      </c>
      <c r="G53" s="86" t="s">
        <v>2138</v>
      </c>
      <c r="H53" s="86">
        <v>1</v>
      </c>
      <c r="I53" s="88" t="str">
        <f>IF(COUNTIF(J53:AW53,"&lt;&gt;")=0,"",SUMPRODUCT(((Recommendations[ImplStatus]="Implemented")+(Recommendations[ImplStatus]="Compensated"))*ISNUMBER(MATCH(Recommendations[Id],J53:AW53,0)))/COUNTIF(J53:AW53,"&lt;&gt;"))</f>
        <v/>
      </c>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2269</v>
      </c>
      <c r="B54" s="81" t="s">
        <v>2279</v>
      </c>
      <c r="C54" s="83" t="s">
        <v>2280</v>
      </c>
      <c r="D54" s="85" t="s">
        <v>2281</v>
      </c>
      <c r="E54" s="85" t="s">
        <v>2282</v>
      </c>
      <c r="F54" s="86" t="s">
        <v>2222</v>
      </c>
      <c r="G54" s="86" t="s">
        <v>2122</v>
      </c>
      <c r="H54" s="86">
        <v>1</v>
      </c>
      <c r="I54" s="88">
        <f>IF(COUNTIF(J54:AW54,"&lt;&gt;")=0,"",SUMPRODUCT(((Recommendations[ImplStatus]="Implemented")+(Recommendations[ImplStatus]="Compensated"))*ISNUMBER(MATCH(Recommendations[Id],J54:AW54,0)))/COUNTIF(J54:AW54,"&lt;&gt;"))</f>
        <v>0</v>
      </c>
      <c r="J54" s="90" t="s">
        <v>240</v>
      </c>
      <c r="K54" s="90" t="s">
        <v>293</v>
      </c>
      <c r="L54" s="90" t="s">
        <v>298</v>
      </c>
      <c r="M54" s="90" t="s">
        <v>303</v>
      </c>
      <c r="N54" s="90" t="s">
        <v>720</v>
      </c>
      <c r="O54" s="90" t="s">
        <v>793</v>
      </c>
      <c r="P54" s="90" t="s">
        <v>826</v>
      </c>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2269</v>
      </c>
      <c r="B55" s="81" t="s">
        <v>2283</v>
      </c>
      <c r="C55" s="83" t="s">
        <v>2284</v>
      </c>
      <c r="D55" s="85" t="s">
        <v>2285</v>
      </c>
      <c r="E55" s="85" t="s">
        <v>2286</v>
      </c>
      <c r="F55" s="86" t="s">
        <v>2222</v>
      </c>
      <c r="G55" s="86" t="s">
        <v>2122</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2269</v>
      </c>
      <c r="B56" s="81" t="s">
        <v>2287</v>
      </c>
      <c r="C56" s="83" t="s">
        <v>2288</v>
      </c>
      <c r="D56" s="85" t="s">
        <v>2289</v>
      </c>
      <c r="E56" s="85" t="s">
        <v>2290</v>
      </c>
      <c r="F56" s="86" t="s">
        <v>2222</v>
      </c>
      <c r="G56" s="86" t="s">
        <v>2122</v>
      </c>
      <c r="H56" s="86">
        <v>1</v>
      </c>
      <c r="I56" s="88" t="str">
        <f>IF(COUNTIF(J56:AW56,"&lt;&gt;")=0,"",SUMPRODUCT(((Recommendations[ImplStatus]="Implemented")+(Recommendations[ImplStatus]="Compensated"))*ISNUMBER(MATCH(Recommendations[Id],J56:AW56,0)))/COUNTIF(J56:AW56,"&lt;&gt;"))</f>
        <v/>
      </c>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2269</v>
      </c>
      <c r="B57" s="81" t="s">
        <v>2291</v>
      </c>
      <c r="C57" s="83" t="s">
        <v>2292</v>
      </c>
      <c r="D57" s="85" t="s">
        <v>2293</v>
      </c>
      <c r="E57" s="85" t="s">
        <v>2294</v>
      </c>
      <c r="F57" s="86" t="s">
        <v>2105</v>
      </c>
      <c r="G57" s="86" t="s">
        <v>2080</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2269</v>
      </c>
      <c r="B58" s="81" t="s">
        <v>2295</v>
      </c>
      <c r="C58" s="83" t="s">
        <v>2296</v>
      </c>
      <c r="D58" s="85" t="s">
        <v>2297</v>
      </c>
      <c r="E58" s="85" t="s">
        <v>2298</v>
      </c>
      <c r="F58" s="86" t="s">
        <v>2222</v>
      </c>
      <c r="G58" s="86" t="s">
        <v>2122</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2269</v>
      </c>
      <c r="B59" s="81" t="s">
        <v>2299</v>
      </c>
      <c r="C59" s="83" t="s">
        <v>2300</v>
      </c>
      <c r="D59" s="85" t="s">
        <v>2301</v>
      </c>
      <c r="E59" s="85" t="s">
        <v>2302</v>
      </c>
      <c r="F59" s="86" t="s">
        <v>2222</v>
      </c>
      <c r="G59" s="86" t="s">
        <v>2138</v>
      </c>
      <c r="H59" s="86">
        <v>3</v>
      </c>
      <c r="I59" s="88" t="str">
        <f>IF(COUNTIF(J59:AW59,"&lt;&gt;")=0,"",SUMPRODUCT(((Recommendations[ImplStatus]="Implemented")+(Recommendations[ImplStatus]="Compensated"))*ISNUMBER(MATCH(Recommendations[Id],J59:AW59,0)))/COUNTIF(J59:AW59,"&lt;&gt;"))</f>
        <v/>
      </c>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2303</v>
      </c>
      <c r="B60" s="80">
        <v>7</v>
      </c>
      <c r="C60" s="82" t="s">
        <v>19</v>
      </c>
      <c r="D60" s="84" t="s">
        <v>2304</v>
      </c>
      <c r="E60" s="84" t="s">
        <v>19</v>
      </c>
      <c r="F60" s="80" t="s">
        <v>19</v>
      </c>
      <c r="G60" s="80" t="s">
        <v>19</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2303</v>
      </c>
      <c r="B61" s="81" t="s">
        <v>2305</v>
      </c>
      <c r="C61" s="83" t="s">
        <v>2306</v>
      </c>
      <c r="D61" s="85" t="s">
        <v>2307</v>
      </c>
      <c r="E61" s="85" t="s">
        <v>2308</v>
      </c>
      <c r="F61" s="86" t="s">
        <v>2197</v>
      </c>
      <c r="G61" s="86" t="s">
        <v>2138</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2303</v>
      </c>
      <c r="B62" s="81" t="s">
        <v>2309</v>
      </c>
      <c r="C62" s="83" t="s">
        <v>2310</v>
      </c>
      <c r="D62" s="85" t="s">
        <v>2311</v>
      </c>
      <c r="E62" s="85" t="s">
        <v>2312</v>
      </c>
      <c r="F62" s="86" t="s">
        <v>2197</v>
      </c>
      <c r="G62" s="86" t="s">
        <v>2138</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2303</v>
      </c>
      <c r="B63" s="81" t="s">
        <v>2313</v>
      </c>
      <c r="C63" s="83" t="s">
        <v>2314</v>
      </c>
      <c r="D63" s="85" t="s">
        <v>2315</v>
      </c>
      <c r="E63" s="85" t="s">
        <v>2316</v>
      </c>
      <c r="F63" s="86" t="s">
        <v>2105</v>
      </c>
      <c r="G63" s="86" t="s">
        <v>2122</v>
      </c>
      <c r="H63" s="86">
        <v>1</v>
      </c>
      <c r="I63" s="88">
        <f>IF(COUNTIF(J63:AW63,"&lt;&gt;")=0,"",SUMPRODUCT(((Recommendations[ImplStatus]="Implemented")+(Recommendations[ImplStatus]="Compensated"))*ISNUMBER(MATCH(Recommendations[Id],J63:AW63,0)))/COUNTIF(J63:AW63,"&lt;&gt;"))</f>
        <v>0</v>
      </c>
      <c r="J63" s="90" t="s">
        <v>33</v>
      </c>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2303</v>
      </c>
      <c r="B64" s="81" t="s">
        <v>2317</v>
      </c>
      <c r="C64" s="83" t="s">
        <v>2318</v>
      </c>
      <c r="D64" s="85" t="s">
        <v>2319</v>
      </c>
      <c r="E64" s="85" t="s">
        <v>2320</v>
      </c>
      <c r="F64" s="86" t="s">
        <v>2105</v>
      </c>
      <c r="G64" s="86" t="s">
        <v>2122</v>
      </c>
      <c r="H64" s="86">
        <v>1</v>
      </c>
      <c r="I64" s="88" t="str">
        <f>IF(COUNTIF(J64:AW64,"&lt;&gt;")=0,"",SUMPRODUCT(((Recommendations[ImplStatus]="Implemented")+(Recommendations[ImplStatus]="Compensated"))*ISNUMBER(MATCH(Recommendations[Id],J64:AW64,0)))/COUNTIF(J64:AW64,"&lt;&gt;"))</f>
        <v/>
      </c>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2303</v>
      </c>
      <c r="B65" s="81" t="s">
        <v>2321</v>
      </c>
      <c r="C65" s="83" t="s">
        <v>2322</v>
      </c>
      <c r="D65" s="85" t="s">
        <v>2323</v>
      </c>
      <c r="E65" s="85" t="s">
        <v>2324</v>
      </c>
      <c r="F65" s="86" t="s">
        <v>2105</v>
      </c>
      <c r="G65" s="86" t="s">
        <v>2080</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2303</v>
      </c>
      <c r="B66" s="81" t="s">
        <v>2325</v>
      </c>
      <c r="C66" s="83" t="s">
        <v>2326</v>
      </c>
      <c r="D66" s="85" t="s">
        <v>2327</v>
      </c>
      <c r="E66" s="85" t="s">
        <v>2328</v>
      </c>
      <c r="F66" s="86" t="s">
        <v>2105</v>
      </c>
      <c r="G66" s="86" t="s">
        <v>2080</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2303</v>
      </c>
      <c r="B67" s="81" t="s">
        <v>2329</v>
      </c>
      <c r="C67" s="83" t="s">
        <v>2330</v>
      </c>
      <c r="D67" s="85" t="s">
        <v>2331</v>
      </c>
      <c r="E67" s="85" t="s">
        <v>2332</v>
      </c>
      <c r="F67" s="86" t="s">
        <v>2105</v>
      </c>
      <c r="G67" s="86" t="s">
        <v>2085</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2333</v>
      </c>
      <c r="B68" s="80">
        <v>8</v>
      </c>
      <c r="C68" s="82" t="s">
        <v>19</v>
      </c>
      <c r="D68" s="84" t="s">
        <v>2334</v>
      </c>
      <c r="E68" s="84" t="s">
        <v>19</v>
      </c>
      <c r="F68" s="80" t="s">
        <v>19</v>
      </c>
      <c r="G68" s="80" t="s">
        <v>19</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2333</v>
      </c>
      <c r="B69" s="81" t="s">
        <v>2335</v>
      </c>
      <c r="C69" s="83" t="s">
        <v>2336</v>
      </c>
      <c r="D69" s="85" t="s">
        <v>2337</v>
      </c>
      <c r="E69" s="85" t="s">
        <v>2338</v>
      </c>
      <c r="F69" s="86" t="s">
        <v>2197</v>
      </c>
      <c r="G69" s="86" t="s">
        <v>2138</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2333</v>
      </c>
      <c r="B70" s="81" t="s">
        <v>2339</v>
      </c>
      <c r="C70" s="83" t="s">
        <v>2340</v>
      </c>
      <c r="D70" s="85" t="s">
        <v>2341</v>
      </c>
      <c r="E70" s="85" t="s">
        <v>2342</v>
      </c>
      <c r="F70" s="86" t="s">
        <v>2137</v>
      </c>
      <c r="G70" s="86" t="s">
        <v>2090</v>
      </c>
      <c r="H70" s="86">
        <v>1</v>
      </c>
      <c r="I70" s="88">
        <f>IF(COUNTIF(J70:AW70,"&lt;&gt;")=0,"",SUMPRODUCT(((Recommendations[ImplStatus]="Implemented")+(Recommendations[ImplStatus]="Compensated"))*ISNUMBER(MATCH(Recommendations[Id],J70:AW70,0)))/COUNTIF(J70:AW70,"&lt;&gt;"))</f>
        <v>0</v>
      </c>
      <c r="J70" s="90" t="s">
        <v>13</v>
      </c>
      <c r="K70" s="90" t="s">
        <v>23</v>
      </c>
      <c r="L70" s="90" t="s">
        <v>53</v>
      </c>
      <c r="M70" s="90" t="s">
        <v>67</v>
      </c>
      <c r="N70" s="90" t="s">
        <v>72</v>
      </c>
      <c r="O70" s="90" t="s">
        <v>77</v>
      </c>
      <c r="P70" s="90" t="s">
        <v>102</v>
      </c>
      <c r="Q70" s="90" t="s">
        <v>107</v>
      </c>
      <c r="R70" s="90" t="s">
        <v>116</v>
      </c>
      <c r="S70" s="90" t="s">
        <v>139</v>
      </c>
      <c r="T70" s="90" t="s">
        <v>144</v>
      </c>
      <c r="U70" s="90" t="s">
        <v>174</v>
      </c>
      <c r="V70" s="90" t="s">
        <v>179</v>
      </c>
      <c r="W70" s="90" t="s">
        <v>183</v>
      </c>
      <c r="X70" s="90" t="s">
        <v>187</v>
      </c>
      <c r="Y70" s="90" t="s">
        <v>191</v>
      </c>
      <c r="Z70" s="90" t="s">
        <v>195</v>
      </c>
      <c r="AA70" s="90" t="s">
        <v>288</v>
      </c>
      <c r="AB70" s="90" t="s">
        <v>318</v>
      </c>
      <c r="AC70" s="90" t="s">
        <v>328</v>
      </c>
      <c r="AD70" s="90" t="s">
        <v>405</v>
      </c>
      <c r="AE70" s="90" t="s">
        <v>422</v>
      </c>
      <c r="AF70" s="90" t="s">
        <v>441</v>
      </c>
      <c r="AG70" s="90" t="s">
        <v>451</v>
      </c>
      <c r="AH70" s="90" t="s">
        <v>456</v>
      </c>
      <c r="AI70" s="90" t="s">
        <v>478</v>
      </c>
      <c r="AJ70" s="90" t="s">
        <v>627</v>
      </c>
      <c r="AK70" s="90" t="s">
        <v>631</v>
      </c>
      <c r="AL70" s="90" t="s">
        <v>636</v>
      </c>
      <c r="AM70" s="90" t="s">
        <v>640</v>
      </c>
      <c r="AN70" s="90" t="s">
        <v>807</v>
      </c>
      <c r="AO70" s="90" t="s">
        <v>812</v>
      </c>
      <c r="AP70" s="90" t="s">
        <v>883</v>
      </c>
      <c r="AQ70" s="90" t="s">
        <v>906</v>
      </c>
      <c r="AR70" s="90" t="s">
        <v>916</v>
      </c>
      <c r="AS70" s="90" t="s">
        <v>921</v>
      </c>
      <c r="AT70" s="90" t="s">
        <v>926</v>
      </c>
      <c r="AU70" s="90" t="s">
        <v>930</v>
      </c>
      <c r="AV70" s="90" t="s">
        <v>934</v>
      </c>
      <c r="AW70" s="101" t="s">
        <v>938</v>
      </c>
    </row>
    <row r="71" spans="1:49" ht="60" customHeight="1" x14ac:dyDescent="0.35">
      <c r="A71" s="98" t="s">
        <v>2333</v>
      </c>
      <c r="B71" s="81" t="s">
        <v>2343</v>
      </c>
      <c r="C71" s="83" t="s">
        <v>2344</v>
      </c>
      <c r="D71" s="85" t="s">
        <v>2345</v>
      </c>
      <c r="E71" s="85" t="s">
        <v>2346</v>
      </c>
      <c r="F71" s="86" t="s">
        <v>2137</v>
      </c>
      <c r="G71" s="86" t="s">
        <v>2122</v>
      </c>
      <c r="H71" s="86">
        <v>1</v>
      </c>
      <c r="I71" s="88">
        <f>IF(COUNTIF(J71:AW71,"&lt;&gt;")=0,"",SUMPRODUCT(((Recommendations[ImplStatus]="Implemented")+(Recommendations[ImplStatus]="Compensated"))*ISNUMBER(MATCH(Recommendations[Id],J71:AW71,0)))/COUNTIF(J71:AW71,"&lt;&gt;"))</f>
        <v>0</v>
      </c>
      <c r="J71" s="90" t="s">
        <v>888</v>
      </c>
      <c r="K71" s="90" t="s">
        <v>893</v>
      </c>
      <c r="L71" s="90" t="s">
        <v>897</v>
      </c>
      <c r="M71" s="90" t="s">
        <v>901</v>
      </c>
      <c r="N71" s="90" t="s">
        <v>1204</v>
      </c>
      <c r="O71" s="90" t="s">
        <v>1239</v>
      </c>
      <c r="P71" s="90" t="s">
        <v>1244</v>
      </c>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2333</v>
      </c>
      <c r="B72" s="81" t="s">
        <v>2347</v>
      </c>
      <c r="C72" s="83" t="s">
        <v>2348</v>
      </c>
      <c r="D72" s="85" t="s">
        <v>2349</v>
      </c>
      <c r="E72" s="85" t="s">
        <v>2350</v>
      </c>
      <c r="F72" s="86" t="s">
        <v>2351</v>
      </c>
      <c r="G72" s="86" t="s">
        <v>2122</v>
      </c>
      <c r="H72" s="86">
        <v>2</v>
      </c>
      <c r="I72" s="88">
        <f>IF(COUNTIF(J72:AW72,"&lt;&gt;")=0,"",SUMPRODUCT(((Recommendations[ImplStatus]="Implemented")+(Recommendations[ImplStatus]="Compensated"))*ISNUMBER(MATCH(Recommendations[Id],J72:AW72,0)))/COUNTIF(J72:AW72,"&lt;&gt;"))</f>
        <v>0</v>
      </c>
      <c r="J72" s="90" t="s">
        <v>1080</v>
      </c>
      <c r="K72" s="90" t="s">
        <v>1249</v>
      </c>
      <c r="L72" s="90" t="s">
        <v>1254</v>
      </c>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2333</v>
      </c>
      <c r="B73" s="81" t="s">
        <v>2352</v>
      </c>
      <c r="C73" s="83" t="s">
        <v>2353</v>
      </c>
      <c r="D73" s="85" t="s">
        <v>2354</v>
      </c>
      <c r="E73" s="85" t="s">
        <v>2355</v>
      </c>
      <c r="F73" s="86" t="s">
        <v>2137</v>
      </c>
      <c r="G73" s="86" t="s">
        <v>2090</v>
      </c>
      <c r="H73" s="86">
        <v>2</v>
      </c>
      <c r="I73" s="88">
        <f>IF(COUNTIF(J73:AW73,"&lt;&gt;")=0,"",SUMPRODUCT(((Recommendations[ImplStatus]="Implemented")+(Recommendations[ImplStatus]="Compensated"))*ISNUMBER(MATCH(Recommendations[Id],J73:AW73,0)))/COUNTIF(J73:AW73,"&lt;&gt;"))</f>
        <v>0</v>
      </c>
      <c r="J73" s="90" t="s">
        <v>878</v>
      </c>
      <c r="K73" s="90" t="s">
        <v>956</v>
      </c>
      <c r="L73" s="90" t="s">
        <v>961</v>
      </c>
      <c r="M73" s="90" t="s">
        <v>965</v>
      </c>
      <c r="N73" s="90" t="s">
        <v>970</v>
      </c>
      <c r="O73" s="90" t="s">
        <v>975</v>
      </c>
      <c r="P73" s="90" t="s">
        <v>979</v>
      </c>
      <c r="Q73" s="90" t="s">
        <v>983</v>
      </c>
      <c r="R73" s="90" t="s">
        <v>992</v>
      </c>
      <c r="S73" s="90" t="s">
        <v>997</v>
      </c>
      <c r="T73" s="90" t="s">
        <v>1002</v>
      </c>
      <c r="U73" s="90" t="s">
        <v>1007</v>
      </c>
      <c r="V73" s="90" t="s">
        <v>1017</v>
      </c>
      <c r="W73" s="90" t="s">
        <v>1022</v>
      </c>
      <c r="X73" s="90" t="s">
        <v>1030</v>
      </c>
      <c r="Y73" s="90" t="s">
        <v>1035</v>
      </c>
      <c r="Z73" s="90" t="s">
        <v>1040</v>
      </c>
      <c r="AA73" s="90" t="s">
        <v>1045</v>
      </c>
      <c r="AB73" s="90" t="s">
        <v>1050</v>
      </c>
      <c r="AC73" s="90" t="s">
        <v>1055</v>
      </c>
      <c r="AD73" s="90" t="s">
        <v>1060</v>
      </c>
      <c r="AE73" s="90" t="s">
        <v>1065</v>
      </c>
      <c r="AF73" s="90" t="s">
        <v>1070</v>
      </c>
      <c r="AG73" s="90" t="s">
        <v>1075</v>
      </c>
      <c r="AH73" s="90" t="s">
        <v>1085</v>
      </c>
      <c r="AI73" s="90" t="s">
        <v>1090</v>
      </c>
      <c r="AJ73" s="90" t="s">
        <v>1095</v>
      </c>
      <c r="AK73" s="90" t="s">
        <v>1100</v>
      </c>
      <c r="AL73" s="90" t="s">
        <v>1105</v>
      </c>
      <c r="AM73" s="90" t="s">
        <v>1110</v>
      </c>
      <c r="AN73" s="90" t="s">
        <v>1115</v>
      </c>
      <c r="AO73" s="90" t="s">
        <v>1120</v>
      </c>
      <c r="AP73" s="90" t="s">
        <v>1125</v>
      </c>
      <c r="AQ73" s="90" t="s">
        <v>1130</v>
      </c>
      <c r="AR73" s="90" t="s">
        <v>1140</v>
      </c>
      <c r="AS73" s="90" t="s">
        <v>1145</v>
      </c>
      <c r="AT73" s="90" t="s">
        <v>1150</v>
      </c>
      <c r="AU73" s="90" t="s">
        <v>1155</v>
      </c>
      <c r="AV73" s="90" t="s">
        <v>1160</v>
      </c>
      <c r="AW73" s="101" t="s">
        <v>1174</v>
      </c>
    </row>
    <row r="74" spans="1:49" ht="60" customHeight="1" x14ac:dyDescent="0.35">
      <c r="A74" s="98" t="s">
        <v>2333</v>
      </c>
      <c r="B74" s="81" t="s">
        <v>2356</v>
      </c>
      <c r="C74" s="83" t="s">
        <v>2357</v>
      </c>
      <c r="D74" s="85" t="s">
        <v>2358</v>
      </c>
      <c r="E74" s="85" t="s">
        <v>2359</v>
      </c>
      <c r="F74" s="86" t="s">
        <v>2137</v>
      </c>
      <c r="G74" s="86" t="s">
        <v>2090</v>
      </c>
      <c r="H74" s="86">
        <v>2</v>
      </c>
      <c r="I74" s="88">
        <f>IF(COUNTIF(J74:AW74,"&lt;&gt;")=0,"",SUMPRODUCT(((Recommendations[ImplStatus]="Implemented")+(Recommendations[ImplStatus]="Compensated"))*ISNUMBER(MATCH(Recommendations[Id],J74:AW74,0)))/COUNTIF(J74:AW74,"&lt;&gt;"))</f>
        <v>0</v>
      </c>
      <c r="J74" s="90" t="s">
        <v>947</v>
      </c>
      <c r="K74" s="90" t="s">
        <v>952</v>
      </c>
      <c r="L74" s="90" t="s">
        <v>1184</v>
      </c>
      <c r="M74" s="90" t="s">
        <v>1189</v>
      </c>
      <c r="N74" s="90" t="s">
        <v>1194</v>
      </c>
      <c r="O74" s="90" t="s">
        <v>1199</v>
      </c>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2333</v>
      </c>
      <c r="B75" s="81" t="s">
        <v>2360</v>
      </c>
      <c r="C75" s="83" t="s">
        <v>2361</v>
      </c>
      <c r="D75" s="85" t="s">
        <v>2362</v>
      </c>
      <c r="E75" s="85" t="s">
        <v>2363</v>
      </c>
      <c r="F75" s="86" t="s">
        <v>2137</v>
      </c>
      <c r="G75" s="86" t="s">
        <v>2090</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2333</v>
      </c>
      <c r="B76" s="81" t="s">
        <v>2364</v>
      </c>
      <c r="C76" s="83" t="s">
        <v>2365</v>
      </c>
      <c r="D76" s="85" t="s">
        <v>2366</v>
      </c>
      <c r="E76" s="85" t="s">
        <v>2367</v>
      </c>
      <c r="F76" s="86" t="s">
        <v>2137</v>
      </c>
      <c r="G76" s="86" t="s">
        <v>2090</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2333</v>
      </c>
      <c r="B77" s="81" t="s">
        <v>2368</v>
      </c>
      <c r="C77" s="83" t="s">
        <v>2369</v>
      </c>
      <c r="D77" s="85" t="s">
        <v>2370</v>
      </c>
      <c r="E77" s="85" t="s">
        <v>2371</v>
      </c>
      <c r="F77" s="86" t="s">
        <v>2137</v>
      </c>
      <c r="G77" s="86" t="s">
        <v>2090</v>
      </c>
      <c r="H77" s="86">
        <v>2</v>
      </c>
      <c r="I77" s="88">
        <f>IF(COUNTIF(J77:AW77,"&lt;&gt;")=0,"",SUMPRODUCT(((Recommendations[ImplStatus]="Implemented")+(Recommendations[ImplStatus]="Compensated"))*ISNUMBER(MATCH(Recommendations[Id],J77:AW77,0)))/COUNTIF(J77:AW77,"&lt;&gt;"))</f>
        <v>0</v>
      </c>
      <c r="J77" s="90" t="s">
        <v>911</v>
      </c>
      <c r="K77" s="90" t="s">
        <v>1209</v>
      </c>
      <c r="L77" s="90" t="s">
        <v>1214</v>
      </c>
      <c r="M77" s="90" t="s">
        <v>1229</v>
      </c>
      <c r="N77" s="90" t="s">
        <v>1234</v>
      </c>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2333</v>
      </c>
      <c r="B78" s="81" t="s">
        <v>2372</v>
      </c>
      <c r="C78" s="83" t="s">
        <v>2373</v>
      </c>
      <c r="D78" s="85" t="s">
        <v>2374</v>
      </c>
      <c r="E78" s="85" t="s">
        <v>2375</v>
      </c>
      <c r="F78" s="86" t="s">
        <v>2137</v>
      </c>
      <c r="G78" s="86" t="s">
        <v>2122</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2333</v>
      </c>
      <c r="B79" s="81" t="s">
        <v>2376</v>
      </c>
      <c r="C79" s="83" t="s">
        <v>2377</v>
      </c>
      <c r="D79" s="85" t="s">
        <v>2378</v>
      </c>
      <c r="E79" s="85" t="s">
        <v>2379</v>
      </c>
      <c r="F79" s="86" t="s">
        <v>2137</v>
      </c>
      <c r="G79" s="86" t="s">
        <v>2090</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2333</v>
      </c>
      <c r="B80" s="81" t="s">
        <v>2380</v>
      </c>
      <c r="C80" s="83" t="s">
        <v>2381</v>
      </c>
      <c r="D80" s="85" t="s">
        <v>2382</v>
      </c>
      <c r="E80" s="85" t="s">
        <v>2383</v>
      </c>
      <c r="F80" s="86" t="s">
        <v>2137</v>
      </c>
      <c r="G80" s="86" t="s">
        <v>2090</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2384</v>
      </c>
      <c r="B81" s="80">
        <v>9</v>
      </c>
      <c r="C81" s="82" t="s">
        <v>19</v>
      </c>
      <c r="D81" s="84" t="s">
        <v>2385</v>
      </c>
      <c r="E81" s="84" t="s">
        <v>19</v>
      </c>
      <c r="F81" s="80" t="s">
        <v>19</v>
      </c>
      <c r="G81" s="80" t="s">
        <v>19</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2384</v>
      </c>
      <c r="B82" s="81" t="s">
        <v>2386</v>
      </c>
      <c r="C82" s="83" t="s">
        <v>2387</v>
      </c>
      <c r="D82" s="85" t="s">
        <v>2388</v>
      </c>
      <c r="E82" s="85" t="s">
        <v>2389</v>
      </c>
      <c r="F82" s="86" t="s">
        <v>2105</v>
      </c>
      <c r="G82" s="86" t="s">
        <v>2122</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2384</v>
      </c>
      <c r="B83" s="81" t="s">
        <v>2390</v>
      </c>
      <c r="C83" s="83" t="s">
        <v>2391</v>
      </c>
      <c r="D83" s="85" t="s">
        <v>2392</v>
      </c>
      <c r="E83" s="85" t="s">
        <v>2393</v>
      </c>
      <c r="F83" s="86" t="s">
        <v>2079</v>
      </c>
      <c r="G83" s="86" t="s">
        <v>2122</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2384</v>
      </c>
      <c r="B84" s="81" t="s">
        <v>2394</v>
      </c>
      <c r="C84" s="83" t="s">
        <v>2395</v>
      </c>
      <c r="D84" s="85" t="s">
        <v>2396</v>
      </c>
      <c r="E84" s="85" t="s">
        <v>2397</v>
      </c>
      <c r="F84" s="86" t="s">
        <v>2351</v>
      </c>
      <c r="G84" s="86" t="s">
        <v>2122</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2384</v>
      </c>
      <c r="B85" s="81" t="s">
        <v>2398</v>
      </c>
      <c r="C85" s="83" t="s">
        <v>2399</v>
      </c>
      <c r="D85" s="85" t="s">
        <v>2400</v>
      </c>
      <c r="E85" s="85" t="s">
        <v>2401</v>
      </c>
      <c r="F85" s="86" t="s">
        <v>2105</v>
      </c>
      <c r="G85" s="86" t="s">
        <v>2122</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2384</v>
      </c>
      <c r="B86" s="81" t="s">
        <v>2402</v>
      </c>
      <c r="C86" s="83" t="s">
        <v>2403</v>
      </c>
      <c r="D86" s="85" t="s">
        <v>2404</v>
      </c>
      <c r="E86" s="85" t="s">
        <v>2405</v>
      </c>
      <c r="F86" s="86" t="s">
        <v>2351</v>
      </c>
      <c r="G86" s="86" t="s">
        <v>2122</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2384</v>
      </c>
      <c r="B87" s="81" t="s">
        <v>2406</v>
      </c>
      <c r="C87" s="83" t="s">
        <v>2407</v>
      </c>
      <c r="D87" s="85" t="s">
        <v>2408</v>
      </c>
      <c r="E87" s="85" t="s">
        <v>2409</v>
      </c>
      <c r="F87" s="86" t="s">
        <v>2351</v>
      </c>
      <c r="G87" s="86" t="s">
        <v>2122</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2384</v>
      </c>
      <c r="B88" s="81" t="s">
        <v>2410</v>
      </c>
      <c r="C88" s="83" t="s">
        <v>2411</v>
      </c>
      <c r="D88" s="85" t="s">
        <v>2412</v>
      </c>
      <c r="E88" s="85" t="s">
        <v>2413</v>
      </c>
      <c r="F88" s="86" t="s">
        <v>2351</v>
      </c>
      <c r="G88" s="86" t="s">
        <v>2122</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2414</v>
      </c>
      <c r="B89" s="80">
        <v>10</v>
      </c>
      <c r="C89" s="82" t="s">
        <v>19</v>
      </c>
      <c r="D89" s="84" t="s">
        <v>2415</v>
      </c>
      <c r="E89" s="84" t="s">
        <v>19</v>
      </c>
      <c r="F89" s="80" t="s">
        <v>19</v>
      </c>
      <c r="G89" s="80" t="s">
        <v>19</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2414</v>
      </c>
      <c r="B90" s="81" t="s">
        <v>2416</v>
      </c>
      <c r="C90" s="83" t="s">
        <v>2417</v>
      </c>
      <c r="D90" s="85" t="s">
        <v>2418</v>
      </c>
      <c r="E90" s="85" t="s">
        <v>2419</v>
      </c>
      <c r="F90" s="86" t="s">
        <v>2079</v>
      </c>
      <c r="G90" s="86" t="s">
        <v>2090</v>
      </c>
      <c r="H90" s="86">
        <v>1</v>
      </c>
      <c r="I90" s="88" t="str">
        <f>IF(COUNTIF(J90:AW90,"&lt;&gt;")=0,"",SUMPRODUCT(((Recommendations[ImplStatus]="Implemented")+(Recommendations[ImplStatus]="Compensated"))*ISNUMBER(MATCH(Recommendations[Id],J90:AW90,0)))/COUNTIF(J90:AW90,"&lt;&gt;"))</f>
        <v/>
      </c>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2414</v>
      </c>
      <c r="B91" s="81" t="s">
        <v>2420</v>
      </c>
      <c r="C91" s="83" t="s">
        <v>2421</v>
      </c>
      <c r="D91" s="85" t="s">
        <v>2422</v>
      </c>
      <c r="E91" s="85" t="s">
        <v>2423</v>
      </c>
      <c r="F91" s="86" t="s">
        <v>2079</v>
      </c>
      <c r="G91" s="86" t="s">
        <v>2122</v>
      </c>
      <c r="H91" s="86">
        <v>1</v>
      </c>
      <c r="I91" s="88">
        <f>IF(COUNTIF(J91:AW91,"&lt;&gt;")=0,"",SUMPRODUCT(((Recommendations[ImplStatus]="Implemented")+(Recommendations[ImplStatus]="Compensated"))*ISNUMBER(MATCH(Recommendations[Id],J91:AW91,0)))/COUNTIF(J91:AW91,"&lt;&gt;"))</f>
        <v>0</v>
      </c>
      <c r="J91" s="90" t="s">
        <v>1422</v>
      </c>
      <c r="K91" s="90" t="s">
        <v>1427</v>
      </c>
      <c r="L91" s="90" t="s">
        <v>1431</v>
      </c>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2414</v>
      </c>
      <c r="B92" s="81" t="s">
        <v>2424</v>
      </c>
      <c r="C92" s="83" t="s">
        <v>2425</v>
      </c>
      <c r="D92" s="85" t="s">
        <v>2426</v>
      </c>
      <c r="E92" s="85" t="s">
        <v>2427</v>
      </c>
      <c r="F92" s="86" t="s">
        <v>2079</v>
      </c>
      <c r="G92" s="86" t="s">
        <v>2122</v>
      </c>
      <c r="H92" s="86">
        <v>1</v>
      </c>
      <c r="I92" s="88" t="str">
        <f>IF(COUNTIF(J92:AW92,"&lt;&gt;")=0,"",SUMPRODUCT(((Recommendations[ImplStatus]="Implemented")+(Recommendations[ImplStatus]="Compensated"))*ISNUMBER(MATCH(Recommendations[Id],J92:AW92,0)))/COUNTIF(J92:AW92,"&lt;&gt;"))</f>
        <v/>
      </c>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2414</v>
      </c>
      <c r="B93" s="81" t="s">
        <v>2428</v>
      </c>
      <c r="C93" s="83" t="s">
        <v>2429</v>
      </c>
      <c r="D93" s="85" t="s">
        <v>2430</v>
      </c>
      <c r="E93" s="85" t="s">
        <v>2431</v>
      </c>
      <c r="F93" s="86" t="s">
        <v>2079</v>
      </c>
      <c r="G93" s="86" t="s">
        <v>2090</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2414</v>
      </c>
      <c r="B94" s="81" t="s">
        <v>2432</v>
      </c>
      <c r="C94" s="83" t="s">
        <v>2433</v>
      </c>
      <c r="D94" s="85" t="s">
        <v>2434</v>
      </c>
      <c r="E94" s="85" t="s">
        <v>2435</v>
      </c>
      <c r="F94" s="86" t="s">
        <v>2079</v>
      </c>
      <c r="G94" s="86" t="s">
        <v>2122</v>
      </c>
      <c r="H94" s="86">
        <v>2</v>
      </c>
      <c r="I94" s="88">
        <f>IF(COUNTIF(J94:AW94,"&lt;&gt;")=0,"",SUMPRODUCT(((Recommendations[ImplStatus]="Implemented")+(Recommendations[ImplStatus]="Compensated"))*ISNUMBER(MATCH(Recommendations[Id],J94:AW94,0)))/COUNTIF(J94:AW94,"&lt;&gt;"))</f>
        <v>0</v>
      </c>
      <c r="J94" s="90" t="s">
        <v>308</v>
      </c>
      <c r="K94" s="90" t="s">
        <v>313</v>
      </c>
      <c r="L94" s="90" t="s">
        <v>323</v>
      </c>
      <c r="M94" s="90" t="s">
        <v>333</v>
      </c>
      <c r="N94" s="90" t="s">
        <v>1277</v>
      </c>
      <c r="O94" s="90" t="s">
        <v>1565</v>
      </c>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2414</v>
      </c>
      <c r="B95" s="81" t="s">
        <v>2436</v>
      </c>
      <c r="C95" s="83" t="s">
        <v>2437</v>
      </c>
      <c r="D95" s="85" t="s">
        <v>2438</v>
      </c>
      <c r="E95" s="85" t="s">
        <v>2439</v>
      </c>
      <c r="F95" s="86" t="s">
        <v>2079</v>
      </c>
      <c r="G95" s="86" t="s">
        <v>2122</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2414</v>
      </c>
      <c r="B96" s="81" t="s">
        <v>2440</v>
      </c>
      <c r="C96" s="83" t="s">
        <v>2441</v>
      </c>
      <c r="D96" s="85" t="s">
        <v>2442</v>
      </c>
      <c r="E96" s="85" t="s">
        <v>2443</v>
      </c>
      <c r="F96" s="86" t="s">
        <v>2079</v>
      </c>
      <c r="G96" s="86" t="s">
        <v>2090</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2444</v>
      </c>
      <c r="B97" s="80">
        <v>11</v>
      </c>
      <c r="C97" s="82" t="s">
        <v>19</v>
      </c>
      <c r="D97" s="84" t="s">
        <v>2445</v>
      </c>
      <c r="E97" s="84" t="s">
        <v>19</v>
      </c>
      <c r="F97" s="80" t="s">
        <v>19</v>
      </c>
      <c r="G97" s="80" t="s">
        <v>19</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2444</v>
      </c>
      <c r="B98" s="81" t="s">
        <v>2446</v>
      </c>
      <c r="C98" s="83" t="s">
        <v>2447</v>
      </c>
      <c r="D98" s="85" t="s">
        <v>2448</v>
      </c>
      <c r="E98" s="85" t="s">
        <v>2449</v>
      </c>
      <c r="F98" s="86" t="s">
        <v>2197</v>
      </c>
      <c r="G98" s="86" t="s">
        <v>2138</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2444</v>
      </c>
      <c r="B99" s="81" t="s">
        <v>2450</v>
      </c>
      <c r="C99" s="83" t="s">
        <v>2451</v>
      </c>
      <c r="D99" s="85" t="s">
        <v>2452</v>
      </c>
      <c r="E99" s="85" t="s">
        <v>2453</v>
      </c>
      <c r="F99" s="86" t="s">
        <v>2137</v>
      </c>
      <c r="G99" s="86" t="s">
        <v>2454</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2444</v>
      </c>
      <c r="B100" s="81" t="s">
        <v>2455</v>
      </c>
      <c r="C100" s="83" t="s">
        <v>2456</v>
      </c>
      <c r="D100" s="85" t="s">
        <v>2457</v>
      </c>
      <c r="E100" s="85" t="s">
        <v>2458</v>
      </c>
      <c r="F100" s="86" t="s">
        <v>2137</v>
      </c>
      <c r="G100" s="86" t="s">
        <v>2122</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2444</v>
      </c>
      <c r="B101" s="81" t="s">
        <v>2459</v>
      </c>
      <c r="C101" s="83" t="s">
        <v>2460</v>
      </c>
      <c r="D101" s="85" t="s">
        <v>2461</v>
      </c>
      <c r="E101" s="85" t="s">
        <v>2462</v>
      </c>
      <c r="F101" s="86" t="s">
        <v>2137</v>
      </c>
      <c r="G101" s="86" t="s">
        <v>2454</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2444</v>
      </c>
      <c r="B102" s="81" t="s">
        <v>2463</v>
      </c>
      <c r="C102" s="83" t="s">
        <v>2464</v>
      </c>
      <c r="D102" s="85" t="s">
        <v>2465</v>
      </c>
      <c r="E102" s="85" t="s">
        <v>2466</v>
      </c>
      <c r="F102" s="86" t="s">
        <v>2137</v>
      </c>
      <c r="G102" s="86" t="s">
        <v>2454</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2467</v>
      </c>
      <c r="B103" s="80">
        <v>12</v>
      </c>
      <c r="C103" s="82" t="s">
        <v>19</v>
      </c>
      <c r="D103" s="84" t="s">
        <v>2468</v>
      </c>
      <c r="E103" s="84" t="s">
        <v>19</v>
      </c>
      <c r="F103" s="80" t="s">
        <v>19</v>
      </c>
      <c r="G103" s="80" t="s">
        <v>19</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2467</v>
      </c>
      <c r="B104" s="81" t="s">
        <v>2469</v>
      </c>
      <c r="C104" s="83" t="s">
        <v>2470</v>
      </c>
      <c r="D104" s="85" t="s">
        <v>2471</v>
      </c>
      <c r="E104" s="85" t="s">
        <v>2472</v>
      </c>
      <c r="F104" s="86" t="s">
        <v>2351</v>
      </c>
      <c r="G104" s="86" t="s">
        <v>2122</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2467</v>
      </c>
      <c r="B105" s="81" t="s">
        <v>2473</v>
      </c>
      <c r="C105" s="83" t="s">
        <v>2474</v>
      </c>
      <c r="D105" s="85" t="s">
        <v>2475</v>
      </c>
      <c r="E105" s="85" t="s">
        <v>2476</v>
      </c>
      <c r="F105" s="86" t="s">
        <v>2351</v>
      </c>
      <c r="G105" s="86" t="s">
        <v>2122</v>
      </c>
      <c r="H105" s="86">
        <v>2</v>
      </c>
      <c r="I105" s="88" t="str">
        <f>IF(COUNTIF(J105:AW105,"&lt;&gt;")=0,"",SUMPRODUCT(((Recommendations[ImplStatus]="Implemented")+(Recommendations[ImplStatus]="Compensated"))*ISNUMBER(MATCH(Recommendations[Id],J105:AW105,0)))/COUNTIF(J105:AW105,"&lt;&gt;"))</f>
        <v/>
      </c>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2467</v>
      </c>
      <c r="B106" s="81" t="s">
        <v>2477</v>
      </c>
      <c r="C106" s="83" t="s">
        <v>2478</v>
      </c>
      <c r="D106" s="85" t="s">
        <v>2479</v>
      </c>
      <c r="E106" s="85" t="s">
        <v>2480</v>
      </c>
      <c r="F106" s="86" t="s">
        <v>2351</v>
      </c>
      <c r="G106" s="86" t="s">
        <v>2122</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2467</v>
      </c>
      <c r="B107" s="81" t="s">
        <v>2481</v>
      </c>
      <c r="C107" s="83" t="s">
        <v>2482</v>
      </c>
      <c r="D107" s="85" t="s">
        <v>2483</v>
      </c>
      <c r="E107" s="85" t="s">
        <v>2484</v>
      </c>
      <c r="F107" s="86" t="s">
        <v>2197</v>
      </c>
      <c r="G107" s="86" t="s">
        <v>2138</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2467</v>
      </c>
      <c r="B108" s="81" t="s">
        <v>2485</v>
      </c>
      <c r="C108" s="83" t="s">
        <v>2486</v>
      </c>
      <c r="D108" s="85" t="s">
        <v>2487</v>
      </c>
      <c r="E108" s="85" t="s">
        <v>2488</v>
      </c>
      <c r="F108" s="86" t="s">
        <v>2351</v>
      </c>
      <c r="G108" s="86" t="s">
        <v>2122</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2467</v>
      </c>
      <c r="B109" s="81" t="s">
        <v>2489</v>
      </c>
      <c r="C109" s="83" t="s">
        <v>2490</v>
      </c>
      <c r="D109" s="85" t="s">
        <v>2491</v>
      </c>
      <c r="E109" s="85" t="s">
        <v>2492</v>
      </c>
      <c r="F109" s="86" t="s">
        <v>2351</v>
      </c>
      <c r="G109" s="86" t="s">
        <v>2122</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2467</v>
      </c>
      <c r="B110" s="81" t="s">
        <v>2493</v>
      </c>
      <c r="C110" s="83" t="s">
        <v>2494</v>
      </c>
      <c r="D110" s="85" t="s">
        <v>2495</v>
      </c>
      <c r="E110" s="85" t="s">
        <v>2496</v>
      </c>
      <c r="F110" s="86" t="s">
        <v>2079</v>
      </c>
      <c r="G110" s="86" t="s">
        <v>2122</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2467</v>
      </c>
      <c r="B111" s="81" t="s">
        <v>2497</v>
      </c>
      <c r="C111" s="83" t="s">
        <v>2498</v>
      </c>
      <c r="D111" s="85" t="s">
        <v>2499</v>
      </c>
      <c r="E111" s="85" t="s">
        <v>2500</v>
      </c>
      <c r="F111" s="86" t="s">
        <v>2079</v>
      </c>
      <c r="G111" s="86" t="s">
        <v>2122</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2501</v>
      </c>
      <c r="B112" s="80">
        <v>13</v>
      </c>
      <c r="C112" s="82" t="s">
        <v>19</v>
      </c>
      <c r="D112" s="84" t="s">
        <v>2502</v>
      </c>
      <c r="E112" s="84" t="s">
        <v>19</v>
      </c>
      <c r="F112" s="80" t="s">
        <v>19</v>
      </c>
      <c r="G112" s="80" t="s">
        <v>19</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2501</v>
      </c>
      <c r="B113" s="81" t="s">
        <v>2503</v>
      </c>
      <c r="C113" s="83" t="s">
        <v>2504</v>
      </c>
      <c r="D113" s="85" t="s">
        <v>2505</v>
      </c>
      <c r="E113" s="85" t="s">
        <v>2506</v>
      </c>
      <c r="F113" s="86" t="s">
        <v>2351</v>
      </c>
      <c r="G113" s="86" t="s">
        <v>2090</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2501</v>
      </c>
      <c r="B114" s="81" t="s">
        <v>2507</v>
      </c>
      <c r="C114" s="83" t="s">
        <v>2508</v>
      </c>
      <c r="D114" s="85" t="s">
        <v>2509</v>
      </c>
      <c r="E114" s="85" t="s">
        <v>2510</v>
      </c>
      <c r="F114" s="86" t="s">
        <v>2079</v>
      </c>
      <c r="G114" s="86" t="s">
        <v>2090</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2501</v>
      </c>
      <c r="B115" s="81" t="s">
        <v>2511</v>
      </c>
      <c r="C115" s="83" t="s">
        <v>2512</v>
      </c>
      <c r="D115" s="85" t="s">
        <v>2513</v>
      </c>
      <c r="E115" s="85" t="s">
        <v>2514</v>
      </c>
      <c r="F115" s="86" t="s">
        <v>2351</v>
      </c>
      <c r="G115" s="86" t="s">
        <v>2090</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2501</v>
      </c>
      <c r="B116" s="81" t="s">
        <v>2515</v>
      </c>
      <c r="C116" s="83" t="s">
        <v>2516</v>
      </c>
      <c r="D116" s="85" t="s">
        <v>2517</v>
      </c>
      <c r="E116" s="85" t="s">
        <v>2518</v>
      </c>
      <c r="F116" s="86" t="s">
        <v>2351</v>
      </c>
      <c r="G116" s="86" t="s">
        <v>2122</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2501</v>
      </c>
      <c r="B117" s="81" t="s">
        <v>2519</v>
      </c>
      <c r="C117" s="83" t="s">
        <v>2520</v>
      </c>
      <c r="D117" s="85" t="s">
        <v>2521</v>
      </c>
      <c r="E117" s="85" t="s">
        <v>2522</v>
      </c>
      <c r="F117" s="86" t="s">
        <v>2079</v>
      </c>
      <c r="G117" s="86" t="s">
        <v>2122</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2501</v>
      </c>
      <c r="B118" s="81" t="s">
        <v>2523</v>
      </c>
      <c r="C118" s="83" t="s">
        <v>2524</v>
      </c>
      <c r="D118" s="85" t="s">
        <v>2525</v>
      </c>
      <c r="E118" s="85" t="s">
        <v>2526</v>
      </c>
      <c r="F118" s="86" t="s">
        <v>2351</v>
      </c>
      <c r="G118" s="86" t="s">
        <v>2090</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2501</v>
      </c>
      <c r="B119" s="81" t="s">
        <v>2527</v>
      </c>
      <c r="C119" s="83" t="s">
        <v>2528</v>
      </c>
      <c r="D119" s="85" t="s">
        <v>2529</v>
      </c>
      <c r="E119" s="85" t="s">
        <v>2530</v>
      </c>
      <c r="F119" s="86" t="s">
        <v>2079</v>
      </c>
      <c r="G119" s="86" t="s">
        <v>2122</v>
      </c>
      <c r="H119" s="86">
        <v>3</v>
      </c>
      <c r="I119" s="88">
        <f>IF(COUNTIF(J119:AW119,"&lt;&gt;")=0,"",SUMPRODUCT(((Recommendations[ImplStatus]="Implemented")+(Recommendations[ImplStatus]="Compensated"))*ISNUMBER(MATCH(Recommendations[Id],J119:AW119,0)))/COUNTIF(J119:AW119,"&lt;&gt;"))</f>
        <v>0</v>
      </c>
      <c r="J119" s="90" t="s">
        <v>230</v>
      </c>
      <c r="K119" s="90" t="s">
        <v>1593</v>
      </c>
      <c r="L119" s="90" t="s">
        <v>1598</v>
      </c>
      <c r="M119" s="90" t="s">
        <v>1670</v>
      </c>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2501</v>
      </c>
      <c r="B120" s="81" t="s">
        <v>2531</v>
      </c>
      <c r="C120" s="83" t="s">
        <v>2532</v>
      </c>
      <c r="D120" s="85" t="s">
        <v>2533</v>
      </c>
      <c r="E120" s="85" t="s">
        <v>2534</v>
      </c>
      <c r="F120" s="86" t="s">
        <v>2351</v>
      </c>
      <c r="G120" s="86" t="s">
        <v>2122</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2501</v>
      </c>
      <c r="B121" s="81" t="s">
        <v>2535</v>
      </c>
      <c r="C121" s="83" t="s">
        <v>2536</v>
      </c>
      <c r="D121" s="85" t="s">
        <v>2537</v>
      </c>
      <c r="E121" s="85" t="s">
        <v>2538</v>
      </c>
      <c r="F121" s="86" t="s">
        <v>2351</v>
      </c>
      <c r="G121" s="86" t="s">
        <v>2122</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2501</v>
      </c>
      <c r="B122" s="81" t="s">
        <v>2539</v>
      </c>
      <c r="C122" s="83" t="s">
        <v>2540</v>
      </c>
      <c r="D122" s="85" t="s">
        <v>2541</v>
      </c>
      <c r="E122" s="85" t="s">
        <v>2542</v>
      </c>
      <c r="F122" s="86" t="s">
        <v>2351</v>
      </c>
      <c r="G122" s="86" t="s">
        <v>2122</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2501</v>
      </c>
      <c r="B123" s="81" t="s">
        <v>2543</v>
      </c>
      <c r="C123" s="83" t="s">
        <v>2544</v>
      </c>
      <c r="D123" s="85" t="s">
        <v>2545</v>
      </c>
      <c r="E123" s="85" t="s">
        <v>2546</v>
      </c>
      <c r="F123" s="86" t="s">
        <v>2351</v>
      </c>
      <c r="G123" s="86" t="s">
        <v>2090</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2547</v>
      </c>
      <c r="B124" s="80">
        <v>14</v>
      </c>
      <c r="C124" s="82" t="s">
        <v>19</v>
      </c>
      <c r="D124" s="84" t="s">
        <v>2548</v>
      </c>
      <c r="E124" s="84" t="s">
        <v>19</v>
      </c>
      <c r="F124" s="80" t="s">
        <v>19</v>
      </c>
      <c r="G124" s="80" t="s">
        <v>19</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2547</v>
      </c>
      <c r="B125" s="81" t="s">
        <v>2549</v>
      </c>
      <c r="C125" s="83" t="s">
        <v>2550</v>
      </c>
      <c r="D125" s="85" t="s">
        <v>2551</v>
      </c>
      <c r="E125" s="85" t="s">
        <v>2552</v>
      </c>
      <c r="F125" s="86" t="s">
        <v>2197</v>
      </c>
      <c r="G125" s="86" t="s">
        <v>2138</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2547</v>
      </c>
      <c r="B126" s="81" t="s">
        <v>2553</v>
      </c>
      <c r="C126" s="83" t="s">
        <v>2554</v>
      </c>
      <c r="D126" s="85" t="s">
        <v>2555</v>
      </c>
      <c r="E126" s="85" t="s">
        <v>2556</v>
      </c>
      <c r="F126" s="86" t="s">
        <v>2222</v>
      </c>
      <c r="G126" s="86" t="s">
        <v>2122</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2547</v>
      </c>
      <c r="B127" s="81" t="s">
        <v>2557</v>
      </c>
      <c r="C127" s="83" t="s">
        <v>2558</v>
      </c>
      <c r="D127" s="85" t="s">
        <v>2559</v>
      </c>
      <c r="E127" s="85" t="s">
        <v>2560</v>
      </c>
      <c r="F127" s="86" t="s">
        <v>2222</v>
      </c>
      <c r="G127" s="86" t="s">
        <v>2122</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2547</v>
      </c>
      <c r="B128" s="81" t="s">
        <v>2561</v>
      </c>
      <c r="C128" s="83" t="s">
        <v>2562</v>
      </c>
      <c r="D128" s="85" t="s">
        <v>2563</v>
      </c>
      <c r="E128" s="85" t="s">
        <v>2564</v>
      </c>
      <c r="F128" s="86" t="s">
        <v>2222</v>
      </c>
      <c r="G128" s="86" t="s">
        <v>2122</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2547</v>
      </c>
      <c r="B129" s="81" t="s">
        <v>2565</v>
      </c>
      <c r="C129" s="83" t="s">
        <v>2566</v>
      </c>
      <c r="D129" s="85" t="s">
        <v>2567</v>
      </c>
      <c r="E129" s="85" t="s">
        <v>2568</v>
      </c>
      <c r="F129" s="86" t="s">
        <v>2222</v>
      </c>
      <c r="G129" s="86" t="s">
        <v>2122</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2547</v>
      </c>
      <c r="B130" s="81" t="s">
        <v>2569</v>
      </c>
      <c r="C130" s="83" t="s">
        <v>2570</v>
      </c>
      <c r="D130" s="85" t="s">
        <v>2571</v>
      </c>
      <c r="E130" s="85" t="s">
        <v>2572</v>
      </c>
      <c r="F130" s="86" t="s">
        <v>2222</v>
      </c>
      <c r="G130" s="86" t="s">
        <v>2122</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2547</v>
      </c>
      <c r="B131" s="81" t="s">
        <v>2573</v>
      </c>
      <c r="C131" s="83" t="s">
        <v>2574</v>
      </c>
      <c r="D131" s="85" t="s">
        <v>2575</v>
      </c>
      <c r="E131" s="85" t="s">
        <v>2576</v>
      </c>
      <c r="F131" s="86" t="s">
        <v>2222</v>
      </c>
      <c r="G131" s="86" t="s">
        <v>2122</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2547</v>
      </c>
      <c r="B132" s="81" t="s">
        <v>2577</v>
      </c>
      <c r="C132" s="83" t="s">
        <v>2578</v>
      </c>
      <c r="D132" s="85" t="s">
        <v>2579</v>
      </c>
      <c r="E132" s="85" t="s">
        <v>2580</v>
      </c>
      <c r="F132" s="86" t="s">
        <v>2222</v>
      </c>
      <c r="G132" s="86" t="s">
        <v>2122</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2547</v>
      </c>
      <c r="B133" s="81" t="s">
        <v>2581</v>
      </c>
      <c r="C133" s="83" t="s">
        <v>2582</v>
      </c>
      <c r="D133" s="85" t="s">
        <v>2583</v>
      </c>
      <c r="E133" s="85" t="s">
        <v>2584</v>
      </c>
      <c r="F133" s="86" t="s">
        <v>2222</v>
      </c>
      <c r="G133" s="86" t="s">
        <v>2122</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2585</v>
      </c>
      <c r="B134" s="80">
        <v>15</v>
      </c>
      <c r="C134" s="82" t="s">
        <v>19</v>
      </c>
      <c r="D134" s="84" t="s">
        <v>2586</v>
      </c>
      <c r="E134" s="84" t="s">
        <v>19</v>
      </c>
      <c r="F134" s="80" t="s">
        <v>19</v>
      </c>
      <c r="G134" s="80" t="s">
        <v>19</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2585</v>
      </c>
      <c r="B135" s="81" t="s">
        <v>2587</v>
      </c>
      <c r="C135" s="83" t="s">
        <v>2588</v>
      </c>
      <c r="D135" s="85" t="s">
        <v>2589</v>
      </c>
      <c r="E135" s="85" t="s">
        <v>2590</v>
      </c>
      <c r="F135" s="86" t="s">
        <v>2222</v>
      </c>
      <c r="G135" s="86" t="s">
        <v>2080</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2585</v>
      </c>
      <c r="B136" s="81" t="s">
        <v>2591</v>
      </c>
      <c r="C136" s="83" t="s">
        <v>2592</v>
      </c>
      <c r="D136" s="85" t="s">
        <v>2593</v>
      </c>
      <c r="E136" s="85" t="s">
        <v>2594</v>
      </c>
      <c r="F136" s="86" t="s">
        <v>2197</v>
      </c>
      <c r="G136" s="86" t="s">
        <v>2138</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2585</v>
      </c>
      <c r="B137" s="81" t="s">
        <v>2595</v>
      </c>
      <c r="C137" s="83" t="s">
        <v>2596</v>
      </c>
      <c r="D137" s="85" t="s">
        <v>2597</v>
      </c>
      <c r="E137" s="85" t="s">
        <v>2598</v>
      </c>
      <c r="F137" s="86" t="s">
        <v>2222</v>
      </c>
      <c r="G137" s="86" t="s">
        <v>2138</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2585</v>
      </c>
      <c r="B138" s="81" t="s">
        <v>2599</v>
      </c>
      <c r="C138" s="83" t="s">
        <v>2600</v>
      </c>
      <c r="D138" s="85" t="s">
        <v>2601</v>
      </c>
      <c r="E138" s="85" t="s">
        <v>2602</v>
      </c>
      <c r="F138" s="86" t="s">
        <v>2197</v>
      </c>
      <c r="G138" s="86" t="s">
        <v>2138</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2585</v>
      </c>
      <c r="B139" s="81" t="s">
        <v>2603</v>
      </c>
      <c r="C139" s="83" t="s">
        <v>2604</v>
      </c>
      <c r="D139" s="85" t="s">
        <v>2605</v>
      </c>
      <c r="E139" s="85" t="s">
        <v>2606</v>
      </c>
      <c r="F139" s="86" t="s">
        <v>2222</v>
      </c>
      <c r="G139" s="86" t="s">
        <v>2138</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2585</v>
      </c>
      <c r="B140" s="81" t="s">
        <v>2607</v>
      </c>
      <c r="C140" s="83" t="s">
        <v>2608</v>
      </c>
      <c r="D140" s="85" t="s">
        <v>2609</v>
      </c>
      <c r="E140" s="85" t="s">
        <v>2610</v>
      </c>
      <c r="F140" s="86" t="s">
        <v>2137</v>
      </c>
      <c r="G140" s="86" t="s">
        <v>2138</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2585</v>
      </c>
      <c r="B141" s="81" t="s">
        <v>2611</v>
      </c>
      <c r="C141" s="83" t="s">
        <v>2612</v>
      </c>
      <c r="D141" s="85" t="s">
        <v>2613</v>
      </c>
      <c r="E141" s="85" t="s">
        <v>2614</v>
      </c>
      <c r="F141" s="86" t="s">
        <v>2137</v>
      </c>
      <c r="G141" s="86" t="s">
        <v>2122</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2615</v>
      </c>
      <c r="B142" s="80">
        <v>16</v>
      </c>
      <c r="C142" s="82" t="s">
        <v>19</v>
      </c>
      <c r="D142" s="84" t="s">
        <v>2616</v>
      </c>
      <c r="E142" s="84" t="s">
        <v>19</v>
      </c>
      <c r="F142" s="80" t="s">
        <v>19</v>
      </c>
      <c r="G142" s="80" t="s">
        <v>19</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2615</v>
      </c>
      <c r="B143" s="81" t="s">
        <v>2617</v>
      </c>
      <c r="C143" s="83" t="s">
        <v>2618</v>
      </c>
      <c r="D143" s="85" t="s">
        <v>2619</v>
      </c>
      <c r="E143" s="85" t="s">
        <v>2620</v>
      </c>
      <c r="F143" s="86" t="s">
        <v>2197</v>
      </c>
      <c r="G143" s="86" t="s">
        <v>2138</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2615</v>
      </c>
      <c r="B144" s="81" t="s">
        <v>2621</v>
      </c>
      <c r="C144" s="83" t="s">
        <v>2622</v>
      </c>
      <c r="D144" s="85" t="s">
        <v>2623</v>
      </c>
      <c r="E144" s="85" t="s">
        <v>2624</v>
      </c>
      <c r="F144" s="86" t="s">
        <v>2197</v>
      </c>
      <c r="G144" s="86" t="s">
        <v>2138</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2615</v>
      </c>
      <c r="B145" s="81" t="s">
        <v>2625</v>
      </c>
      <c r="C145" s="83" t="s">
        <v>2626</v>
      </c>
      <c r="D145" s="85" t="s">
        <v>2627</v>
      </c>
      <c r="E145" s="85" t="s">
        <v>2628</v>
      </c>
      <c r="F145" s="86" t="s">
        <v>2105</v>
      </c>
      <c r="G145" s="86" t="s">
        <v>2090</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2615</v>
      </c>
      <c r="B146" s="81" t="s">
        <v>2629</v>
      </c>
      <c r="C146" s="83" t="s">
        <v>2630</v>
      </c>
      <c r="D146" s="85" t="s">
        <v>2631</v>
      </c>
      <c r="E146" s="85" t="s">
        <v>2632</v>
      </c>
      <c r="F146" s="86" t="s">
        <v>2105</v>
      </c>
      <c r="G146" s="86" t="s">
        <v>2080</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2615</v>
      </c>
      <c r="B147" s="81" t="s">
        <v>2633</v>
      </c>
      <c r="C147" s="83" t="s">
        <v>2634</v>
      </c>
      <c r="D147" s="85" t="s">
        <v>2635</v>
      </c>
      <c r="E147" s="85" t="s">
        <v>2636</v>
      </c>
      <c r="F147" s="86" t="s">
        <v>2105</v>
      </c>
      <c r="G147" s="86" t="s">
        <v>2122</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2615</v>
      </c>
      <c r="B148" s="81" t="s">
        <v>2637</v>
      </c>
      <c r="C148" s="83" t="s">
        <v>2638</v>
      </c>
      <c r="D148" s="85" t="s">
        <v>2639</v>
      </c>
      <c r="E148" s="85" t="s">
        <v>2640</v>
      </c>
      <c r="F148" s="86" t="s">
        <v>2197</v>
      </c>
      <c r="G148" s="86" t="s">
        <v>2138</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2615</v>
      </c>
      <c r="B149" s="81" t="s">
        <v>2641</v>
      </c>
      <c r="C149" s="83" t="s">
        <v>2642</v>
      </c>
      <c r="D149" s="85" t="s">
        <v>2643</v>
      </c>
      <c r="E149" s="85" t="s">
        <v>2644</v>
      </c>
      <c r="F149" s="86" t="s">
        <v>2105</v>
      </c>
      <c r="G149" s="86" t="s">
        <v>2122</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2615</v>
      </c>
      <c r="B150" s="81" t="s">
        <v>2645</v>
      </c>
      <c r="C150" s="83" t="s">
        <v>2646</v>
      </c>
      <c r="D150" s="85" t="s">
        <v>2647</v>
      </c>
      <c r="E150" s="85" t="s">
        <v>2648</v>
      </c>
      <c r="F150" s="86" t="s">
        <v>2351</v>
      </c>
      <c r="G150" s="86" t="s">
        <v>2122</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2615</v>
      </c>
      <c r="B151" s="81" t="s">
        <v>2649</v>
      </c>
      <c r="C151" s="83" t="s">
        <v>2650</v>
      </c>
      <c r="D151" s="85" t="s">
        <v>2651</v>
      </c>
      <c r="E151" s="85" t="s">
        <v>2652</v>
      </c>
      <c r="F151" s="86" t="s">
        <v>2222</v>
      </c>
      <c r="G151" s="86" t="s">
        <v>2122</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2615</v>
      </c>
      <c r="B152" s="81" t="s">
        <v>2653</v>
      </c>
      <c r="C152" s="83" t="s">
        <v>2654</v>
      </c>
      <c r="D152" s="85" t="s">
        <v>2655</v>
      </c>
      <c r="E152" s="85" t="s">
        <v>2656</v>
      </c>
      <c r="F152" s="86" t="s">
        <v>2105</v>
      </c>
      <c r="G152" s="86" t="s">
        <v>2122</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2615</v>
      </c>
      <c r="B153" s="81" t="s">
        <v>2657</v>
      </c>
      <c r="C153" s="83" t="s">
        <v>2658</v>
      </c>
      <c r="D153" s="85" t="s">
        <v>2659</v>
      </c>
      <c r="E153" s="85" t="s">
        <v>2660</v>
      </c>
      <c r="F153" s="86" t="s">
        <v>2105</v>
      </c>
      <c r="G153" s="86" t="s">
        <v>2122</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2615</v>
      </c>
      <c r="B154" s="81" t="s">
        <v>2661</v>
      </c>
      <c r="C154" s="83" t="s">
        <v>2662</v>
      </c>
      <c r="D154" s="85" t="s">
        <v>2663</v>
      </c>
      <c r="E154" s="85" t="s">
        <v>2664</v>
      </c>
      <c r="F154" s="86" t="s">
        <v>2105</v>
      </c>
      <c r="G154" s="86" t="s">
        <v>2122</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2615</v>
      </c>
      <c r="B155" s="81" t="s">
        <v>2665</v>
      </c>
      <c r="C155" s="83" t="s">
        <v>2666</v>
      </c>
      <c r="D155" s="85" t="s">
        <v>2667</v>
      </c>
      <c r="E155" s="85" t="s">
        <v>2668</v>
      </c>
      <c r="F155" s="86" t="s">
        <v>2105</v>
      </c>
      <c r="G155" s="86" t="s">
        <v>2090</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2615</v>
      </c>
      <c r="B156" s="81" t="s">
        <v>2669</v>
      </c>
      <c r="C156" s="83" t="s">
        <v>2670</v>
      </c>
      <c r="D156" s="85" t="s">
        <v>2671</v>
      </c>
      <c r="E156" s="85" t="s">
        <v>2672</v>
      </c>
      <c r="F156" s="86" t="s">
        <v>2105</v>
      </c>
      <c r="G156" s="86" t="s">
        <v>2122</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2673</v>
      </c>
      <c r="B157" s="80">
        <v>17</v>
      </c>
      <c r="C157" s="82" t="s">
        <v>19</v>
      </c>
      <c r="D157" s="84" t="s">
        <v>2674</v>
      </c>
      <c r="E157" s="84" t="s">
        <v>19</v>
      </c>
      <c r="F157" s="80" t="s">
        <v>19</v>
      </c>
      <c r="G157" s="80" t="s">
        <v>19</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2673</v>
      </c>
      <c r="B158" s="81" t="s">
        <v>2675</v>
      </c>
      <c r="C158" s="83" t="s">
        <v>2676</v>
      </c>
      <c r="D158" s="85" t="s">
        <v>2677</v>
      </c>
      <c r="E158" s="85" t="s">
        <v>2678</v>
      </c>
      <c r="F158" s="86" t="s">
        <v>2222</v>
      </c>
      <c r="G158" s="86" t="s">
        <v>2085</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2673</v>
      </c>
      <c r="B159" s="81" t="s">
        <v>2679</v>
      </c>
      <c r="C159" s="83" t="s">
        <v>2680</v>
      </c>
      <c r="D159" s="85" t="s">
        <v>2681</v>
      </c>
      <c r="E159" s="85" t="s">
        <v>2682</v>
      </c>
      <c r="F159" s="86" t="s">
        <v>2197</v>
      </c>
      <c r="G159" s="86" t="s">
        <v>2138</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2673</v>
      </c>
      <c r="B160" s="81" t="s">
        <v>2683</v>
      </c>
      <c r="C160" s="83" t="s">
        <v>2684</v>
      </c>
      <c r="D160" s="85" t="s">
        <v>2685</v>
      </c>
      <c r="E160" s="85" t="s">
        <v>2686</v>
      </c>
      <c r="F160" s="86" t="s">
        <v>2197</v>
      </c>
      <c r="G160" s="86" t="s">
        <v>2138</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2673</v>
      </c>
      <c r="B161" s="81" t="s">
        <v>2687</v>
      </c>
      <c r="C161" s="83" t="s">
        <v>2688</v>
      </c>
      <c r="D161" s="85" t="s">
        <v>2689</v>
      </c>
      <c r="E161" s="85" t="s">
        <v>2690</v>
      </c>
      <c r="F161" s="86" t="s">
        <v>2197</v>
      </c>
      <c r="G161" s="86" t="s">
        <v>2138</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2673</v>
      </c>
      <c r="B162" s="81" t="s">
        <v>2691</v>
      </c>
      <c r="C162" s="83" t="s">
        <v>2692</v>
      </c>
      <c r="D162" s="85" t="s">
        <v>2693</v>
      </c>
      <c r="E162" s="85" t="s">
        <v>2694</v>
      </c>
      <c r="F162" s="86" t="s">
        <v>2222</v>
      </c>
      <c r="G162" s="86" t="s">
        <v>2085</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2673</v>
      </c>
      <c r="B163" s="81" t="s">
        <v>2695</v>
      </c>
      <c r="C163" s="83" t="s">
        <v>2696</v>
      </c>
      <c r="D163" s="85" t="s">
        <v>2697</v>
      </c>
      <c r="E163" s="85" t="s">
        <v>2698</v>
      </c>
      <c r="F163" s="86" t="s">
        <v>2222</v>
      </c>
      <c r="G163" s="86" t="s">
        <v>2085</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2673</v>
      </c>
      <c r="B164" s="81" t="s">
        <v>2699</v>
      </c>
      <c r="C164" s="83" t="s">
        <v>2700</v>
      </c>
      <c r="D164" s="85" t="s">
        <v>2701</v>
      </c>
      <c r="E164" s="85" t="s">
        <v>2702</v>
      </c>
      <c r="F164" s="86" t="s">
        <v>2222</v>
      </c>
      <c r="G164" s="86" t="s">
        <v>2454</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2673</v>
      </c>
      <c r="B165" s="81" t="s">
        <v>2703</v>
      </c>
      <c r="C165" s="83" t="s">
        <v>2704</v>
      </c>
      <c r="D165" s="85" t="s">
        <v>2705</v>
      </c>
      <c r="E165" s="85" t="s">
        <v>2706</v>
      </c>
      <c r="F165" s="86" t="s">
        <v>2222</v>
      </c>
      <c r="G165" s="86" t="s">
        <v>2454</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2673</v>
      </c>
      <c r="B166" s="81" t="s">
        <v>2707</v>
      </c>
      <c r="C166" s="83" t="s">
        <v>2708</v>
      </c>
      <c r="D166" s="85" t="s">
        <v>2709</v>
      </c>
      <c r="E166" s="85" t="s">
        <v>2710</v>
      </c>
      <c r="F166" s="86" t="s">
        <v>2197</v>
      </c>
      <c r="G166" s="86" t="s">
        <v>2454</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2711</v>
      </c>
      <c r="B167" s="80">
        <v>18</v>
      </c>
      <c r="C167" s="82" t="s">
        <v>19</v>
      </c>
      <c r="D167" s="84" t="s">
        <v>2712</v>
      </c>
      <c r="E167" s="84" t="s">
        <v>19</v>
      </c>
      <c r="F167" s="80" t="s">
        <v>19</v>
      </c>
      <c r="G167" s="80" t="s">
        <v>19</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2711</v>
      </c>
      <c r="B168" s="81" t="s">
        <v>2713</v>
      </c>
      <c r="C168" s="83" t="s">
        <v>2714</v>
      </c>
      <c r="D168" s="85" t="s">
        <v>2715</v>
      </c>
      <c r="E168" s="85" t="s">
        <v>2716</v>
      </c>
      <c r="F168" s="86" t="s">
        <v>2197</v>
      </c>
      <c r="G168" s="86" t="s">
        <v>2138</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2711</v>
      </c>
      <c r="B169" s="81" t="s">
        <v>2717</v>
      </c>
      <c r="C169" s="83" t="s">
        <v>2718</v>
      </c>
      <c r="D169" s="85" t="s">
        <v>2719</v>
      </c>
      <c r="E169" s="85" t="s">
        <v>2720</v>
      </c>
      <c r="F169" s="86" t="s">
        <v>2351</v>
      </c>
      <c r="G169" s="86" t="s">
        <v>2090</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2711</v>
      </c>
      <c r="B170" s="81" t="s">
        <v>2721</v>
      </c>
      <c r="C170" s="83" t="s">
        <v>2722</v>
      </c>
      <c r="D170" s="85" t="s">
        <v>2723</v>
      </c>
      <c r="E170" s="85" t="s">
        <v>2724</v>
      </c>
      <c r="F170" s="86" t="s">
        <v>2351</v>
      </c>
      <c r="G170" s="86" t="s">
        <v>2122</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2711</v>
      </c>
      <c r="B171" s="81" t="s">
        <v>2725</v>
      </c>
      <c r="C171" s="83" t="s">
        <v>2726</v>
      </c>
      <c r="D171" s="85" t="s">
        <v>2727</v>
      </c>
      <c r="E171" s="85" t="s">
        <v>2728</v>
      </c>
      <c r="F171" s="86" t="s">
        <v>2351</v>
      </c>
      <c r="G171" s="86" t="s">
        <v>2122</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2711</v>
      </c>
      <c r="B172" s="91" t="s">
        <v>2729</v>
      </c>
      <c r="C172" s="92" t="s">
        <v>2730</v>
      </c>
      <c r="D172" s="93" t="s">
        <v>2731</v>
      </c>
      <c r="E172" s="93" t="s">
        <v>2732</v>
      </c>
      <c r="F172" s="94" t="s">
        <v>2351</v>
      </c>
      <c r="G172" s="94" t="s">
        <v>2090</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288" t="s">
        <v>1787</v>
      </c>
      <c r="B176" s="288"/>
      <c r="C176" s="288"/>
      <c r="D176" s="288"/>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IFERROR(INDEX('Recommendations'!$G$2:$G$376, MATCH(J2,'Recommendations'!$A$2:$A$376,0))="Implemented", FALSE))</xm:f>
            <x14:dxf>
              <font>
                <color rgb="FF000000"/>
              </font>
              <fill>
                <patternFill>
                  <bgColor rgb="FF3C7D22"/>
                </patternFill>
              </fill>
            </x14:dxf>
          </x14:cfRule>
          <x14:cfRule type="expression" priority="2" id="{00000000-000E-0000-0400-000002000000}">
            <xm:f>AND(J2&lt;&gt;"", IFERROR(INDEX('Recommendations'!$G$2:$G$376, MATCH(J2,'Recommendations'!$A$2:$A$376,0))="Compensated", FALSE))</xm:f>
            <x14:dxf>
              <font>
                <color rgb="FF000000"/>
              </font>
              <fill>
                <patternFill>
                  <bgColor rgb="FFC6E0B4"/>
                </patternFill>
              </fill>
            </x14:dxf>
          </x14:cfRule>
          <x14:cfRule type="expression" priority="3" id="{00000000-000E-0000-0400-000003000000}">
            <xm:f>AND(J2&lt;&gt;"", IFERROR(INDEX('Recommendations'!$G$2:$G$376, MATCH(J2,'Recommendations'!$A$2:$A$376,0))="Testing", FALSE))</xm:f>
            <x14:dxf>
              <font>
                <color rgb="FF000000"/>
              </font>
              <fill>
                <patternFill>
                  <bgColor rgb="FFFFC000"/>
                </patternFill>
              </fill>
            </x14:dxf>
          </x14:cfRule>
          <x14:cfRule type="expression" priority="4" id="{00000000-000E-0000-0400-000004000000}">
            <xm:f>AND(J2&lt;&gt;"", IFERROR(INDEX('Recommendations'!$G$2:$G$376, MATCH(J2,'Recommendations'!$A$2:$A$376,0))="Failed", FALSE))</xm:f>
            <x14:dxf>
              <font>
                <color rgb="FF000000"/>
              </font>
              <fill>
                <patternFill>
                  <bgColor rgb="FFD82891"/>
                </patternFill>
              </fill>
            </x14:dxf>
          </x14:cfRule>
          <x14:cfRule type="expression" priority="5" id="{00000000-000E-0000-0400-000005000000}">
            <xm:f>AND(J2&lt;&gt;"", IFERROR(INDEX('Recommendations'!$G$2:$G$376, MATCH(J2,'Recommendations'!$A$2:$A$376,0))="Risk Accepted", FALSE))</xm:f>
            <x14:dxf>
              <font>
                <color rgb="FF000000"/>
              </font>
              <fill>
                <patternFill>
                  <bgColor rgb="FFD9D9D9"/>
                </patternFill>
              </fill>
            </x14:dxf>
          </x14:cfRule>
          <x14:cfRule type="expression" priority="6" id="{00000000-000E-0000-0400-000006000000}">
            <xm:f>AND(J2&lt;&gt;"", IFERROR(INDEX('Recommendations'!$G$2:$G$376, MATCH(J2,'Recommendations'!$A$2:$A$376,0))="N/A",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0" t="s">
        <v>0</v>
      </c>
      <c r="B1" s="121" t="s">
        <v>2733</v>
      </c>
      <c r="C1" s="121" t="s">
        <v>9</v>
      </c>
      <c r="D1" s="121" t="s">
        <v>1938</v>
      </c>
      <c r="E1" s="121" t="s">
        <v>2734</v>
      </c>
      <c r="F1" s="121" t="s">
        <v>2735</v>
      </c>
      <c r="G1" s="121" t="s">
        <v>2032</v>
      </c>
      <c r="H1" s="121" t="s">
        <v>2033</v>
      </c>
      <c r="I1" s="121" t="s">
        <v>2034</v>
      </c>
      <c r="J1" s="121" t="s">
        <v>2035</v>
      </c>
      <c r="K1" s="121" t="s">
        <v>2036</v>
      </c>
      <c r="L1" s="121" t="s">
        <v>2037</v>
      </c>
      <c r="M1" s="121" t="s">
        <v>2038</v>
      </c>
      <c r="N1" s="121" t="s">
        <v>2039</v>
      </c>
      <c r="O1" s="121" t="s">
        <v>2040</v>
      </c>
      <c r="P1" s="121" t="s">
        <v>2041</v>
      </c>
      <c r="Q1" s="121" t="s">
        <v>2042</v>
      </c>
      <c r="R1" s="121" t="s">
        <v>2043</v>
      </c>
      <c r="S1" s="121" t="s">
        <v>2044</v>
      </c>
      <c r="T1" s="121" t="s">
        <v>2045</v>
      </c>
      <c r="U1" s="121" t="s">
        <v>2046</v>
      </c>
      <c r="V1" s="121" t="s">
        <v>2047</v>
      </c>
      <c r="W1" s="121" t="s">
        <v>2048</v>
      </c>
      <c r="X1" s="121" t="s">
        <v>2049</v>
      </c>
      <c r="Y1" s="121" t="s">
        <v>2050</v>
      </c>
      <c r="Z1" s="121" t="s">
        <v>2051</v>
      </c>
      <c r="AA1" s="121" t="s">
        <v>2052</v>
      </c>
      <c r="AB1" s="121" t="s">
        <v>2053</v>
      </c>
      <c r="AC1" s="121" t="s">
        <v>2054</v>
      </c>
      <c r="AD1" s="121" t="s">
        <v>2055</v>
      </c>
      <c r="AE1" s="121" t="s">
        <v>2056</v>
      </c>
      <c r="AF1" s="121" t="s">
        <v>2057</v>
      </c>
      <c r="AG1" s="121" t="s">
        <v>2058</v>
      </c>
      <c r="AH1" s="121" t="s">
        <v>2059</v>
      </c>
      <c r="AI1" s="121" t="s">
        <v>2060</v>
      </c>
      <c r="AJ1" s="121" t="s">
        <v>2061</v>
      </c>
      <c r="AK1" s="121" t="s">
        <v>2062</v>
      </c>
      <c r="AL1" s="121" t="s">
        <v>2063</v>
      </c>
      <c r="AM1" s="121" t="s">
        <v>2064</v>
      </c>
      <c r="AN1" s="121" t="s">
        <v>2065</v>
      </c>
      <c r="AO1" s="121" t="s">
        <v>2066</v>
      </c>
      <c r="AP1" s="121" t="s">
        <v>2067</v>
      </c>
      <c r="AQ1" s="121" t="s">
        <v>2068</v>
      </c>
      <c r="AR1" s="121" t="s">
        <v>2069</v>
      </c>
      <c r="AS1" s="121" t="s">
        <v>2070</v>
      </c>
      <c r="AT1" s="121" t="s">
        <v>2071</v>
      </c>
      <c r="AU1" s="122" t="s">
        <v>2072</v>
      </c>
    </row>
    <row r="2" spans="1:47" ht="60" customHeight="1" x14ac:dyDescent="0.35">
      <c r="A2" s="116" t="s">
        <v>2736</v>
      </c>
      <c r="B2" s="106" t="s">
        <v>2737</v>
      </c>
      <c r="C2" s="107" t="s">
        <v>2738</v>
      </c>
      <c r="D2" s="107" t="s">
        <v>2739</v>
      </c>
      <c r="E2" s="107" t="s">
        <v>2740</v>
      </c>
      <c r="F2" s="108" t="s">
        <v>2741</v>
      </c>
      <c r="G2" s="109">
        <f>IF(COUNTIF(H2:AU2,"&lt;&gt;")=0,"",SUMPRODUCT(((Recommendations[ImplStatus]="Implemented")+(Recommendations[ImplStatus]="Compensated"))*ISNUMBER(MATCH(Recommendations[Id],H2:AU2,0)))/COUNTIF(H2:AU2,"&lt;&gt;"))</f>
        <v>0</v>
      </c>
      <c r="H2" s="110" t="s">
        <v>593</v>
      </c>
      <c r="I2" s="110" t="s">
        <v>598</v>
      </c>
      <c r="J2" s="110" t="s">
        <v>603</v>
      </c>
      <c r="K2" s="110" t="s">
        <v>607</v>
      </c>
      <c r="L2" s="110" t="s">
        <v>611</v>
      </c>
      <c r="M2" s="110" t="s">
        <v>615</v>
      </c>
      <c r="N2" s="110" t="s">
        <v>619</v>
      </c>
      <c r="O2" s="110" t="s">
        <v>623</v>
      </c>
      <c r="P2" s="110" t="s">
        <v>644</v>
      </c>
      <c r="Q2" s="110" t="s">
        <v>648</v>
      </c>
      <c r="R2" s="110" t="s">
        <v>658</v>
      </c>
      <c r="S2" s="110" t="s">
        <v>663</v>
      </c>
      <c r="T2" s="110" t="s">
        <v>677</v>
      </c>
      <c r="U2" s="110" t="s">
        <v>682</v>
      </c>
      <c r="V2" s="110" t="s">
        <v>692</v>
      </c>
      <c r="W2" s="110" t="s">
        <v>697</v>
      </c>
      <c r="X2" s="110" t="s">
        <v>702</v>
      </c>
      <c r="Y2" s="110" t="s">
        <v>707</v>
      </c>
      <c r="Z2" s="110" t="s">
        <v>712</v>
      </c>
      <c r="AA2" s="110" t="s">
        <v>716</v>
      </c>
      <c r="AB2" s="110" t="s">
        <v>836</v>
      </c>
      <c r="AC2" s="110" t="s">
        <v>859</v>
      </c>
      <c r="AD2" s="110" t="s">
        <v>1723</v>
      </c>
      <c r="AE2" s="110" t="s">
        <v>1733</v>
      </c>
      <c r="AF2" s="110"/>
      <c r="AG2" s="110"/>
      <c r="AH2" s="110"/>
      <c r="AI2" s="110"/>
      <c r="AJ2" s="110"/>
      <c r="AK2" s="110"/>
      <c r="AL2" s="110"/>
      <c r="AM2" s="110"/>
      <c r="AN2" s="110"/>
      <c r="AO2" s="110"/>
      <c r="AP2" s="110"/>
      <c r="AQ2" s="110"/>
      <c r="AR2" s="110"/>
      <c r="AS2" s="110"/>
      <c r="AT2" s="110"/>
      <c r="AU2" s="118"/>
    </row>
    <row r="3" spans="1:47" ht="60" customHeight="1" x14ac:dyDescent="0.35">
      <c r="A3" s="116" t="s">
        <v>2742</v>
      </c>
      <c r="B3" s="106" t="s">
        <v>2743</v>
      </c>
      <c r="C3" s="107" t="s">
        <v>2744</v>
      </c>
      <c r="D3" s="107" t="s">
        <v>2745</v>
      </c>
      <c r="E3" s="107" t="s">
        <v>2746</v>
      </c>
      <c r="F3" s="108" t="s">
        <v>2747</v>
      </c>
      <c r="G3" s="109" t="str">
        <f>IF(COUNTIF(H3:AU3,"&lt;&gt;")=0,"",SUMPRODUCT(((Recommendations[ImplStatus]="Implemented")+(Recommendations[ImplStatus]="Compensated"))*ISNUMBER(MATCH(Recommendations[Id],H3:AU3,0)))/COUNTIF(H3:AU3,"&lt;&gt;"))</f>
        <v/>
      </c>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8"/>
    </row>
    <row r="4" spans="1:47" ht="60" customHeight="1" x14ac:dyDescent="0.35">
      <c r="A4" s="116" t="s">
        <v>2748</v>
      </c>
      <c r="B4" s="106" t="s">
        <v>2749</v>
      </c>
      <c r="C4" s="107" t="s">
        <v>2750</v>
      </c>
      <c r="D4" s="107" t="s">
        <v>2751</v>
      </c>
      <c r="E4" s="107" t="s">
        <v>2752</v>
      </c>
      <c r="F4" s="108" t="s">
        <v>2753</v>
      </c>
      <c r="G4" s="109" t="str">
        <f>IF(COUNTIF(H4:AU4,"&lt;&gt;")=0,"",SUMPRODUCT(((Recommendations[ImplStatus]="Implemented")+(Recommendations[ImplStatus]="Compensated"))*ISNUMBER(MATCH(Recommendations[Id],H4:AU4,0)))/COUNTIF(H4:AU4,"&lt;&gt;"))</f>
        <v/>
      </c>
      <c r="H4" s="110"/>
      <c r="I4" s="110"/>
      <c r="J4" s="110"/>
      <c r="K4" s="110"/>
      <c r="L4" s="110"/>
      <c r="M4" s="110"/>
      <c r="N4" s="110"/>
      <c r="O4" s="110"/>
      <c r="P4" s="110"/>
      <c r="Q4" s="110"/>
      <c r="R4" s="110"/>
      <c r="S4" s="110"/>
      <c r="T4" s="110"/>
      <c r="U4" s="110"/>
      <c r="V4" s="110"/>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8"/>
    </row>
    <row r="5" spans="1:47" ht="60" customHeight="1" x14ac:dyDescent="0.35">
      <c r="A5" s="116" t="s">
        <v>2754</v>
      </c>
      <c r="B5" s="106" t="s">
        <v>2755</v>
      </c>
      <c r="C5" s="107" t="s">
        <v>2756</v>
      </c>
      <c r="D5" s="107" t="s">
        <v>2757</v>
      </c>
      <c r="E5" s="107" t="s">
        <v>2758</v>
      </c>
      <c r="F5" s="108" t="s">
        <v>2759</v>
      </c>
      <c r="G5" s="109" t="str">
        <f>IF(COUNTIF(H5:AU5,"&lt;&gt;")=0,"",SUMPRODUCT(((Recommendations[ImplStatus]="Implemented")+(Recommendations[ImplStatus]="Compensated"))*ISNUMBER(MATCH(Recommendations[Id],H5:AU5,0)))/COUNTIF(H5:AU5,"&lt;&gt;"))</f>
        <v/>
      </c>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8"/>
    </row>
    <row r="6" spans="1:47" ht="60" customHeight="1" x14ac:dyDescent="0.35">
      <c r="A6" s="116" t="s">
        <v>2760</v>
      </c>
      <c r="B6" s="106" t="s">
        <v>2761</v>
      </c>
      <c r="C6" s="107" t="s">
        <v>2762</v>
      </c>
      <c r="D6" s="107" t="s">
        <v>2763</v>
      </c>
      <c r="E6" s="107" t="s">
        <v>19</v>
      </c>
      <c r="F6" s="108" t="s">
        <v>2764</v>
      </c>
      <c r="G6" s="109" t="str">
        <f>IF(COUNTIF(H6:AU6,"&lt;&gt;")=0,"",SUMPRODUCT(((Recommendations[ImplStatus]="Implemented")+(Recommendations[ImplStatus]="Compensated"))*ISNUMBER(MATCH(Recommendations[Id],H6:AU6,0)))/COUNTIF(H6:AU6,"&lt;&gt;"))</f>
        <v/>
      </c>
      <c r="H6" s="110"/>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8"/>
    </row>
    <row r="7" spans="1:47" ht="60" customHeight="1" x14ac:dyDescent="0.35">
      <c r="A7" s="116" t="s">
        <v>2765</v>
      </c>
      <c r="B7" s="106" t="s">
        <v>10</v>
      </c>
      <c r="C7" s="107" t="s">
        <v>2766</v>
      </c>
      <c r="D7" s="107" t="s">
        <v>2767</v>
      </c>
      <c r="E7" s="107" t="s">
        <v>19</v>
      </c>
      <c r="F7" s="108" t="s">
        <v>2768</v>
      </c>
      <c r="G7" s="109">
        <f>IF(COUNTIF(H7:AU7,"&lt;&gt;")=0,"",SUMPRODUCT(((Recommendations[ImplStatus]="Implemented")+(Recommendations[ImplStatus]="Compensated"))*ISNUMBER(MATCH(Recommendations[Id],H7:AU7,0)))/COUNTIF(H7:AU7,"&lt;&gt;"))</f>
        <v>0</v>
      </c>
      <c r="H7" s="110" t="s">
        <v>230</v>
      </c>
      <c r="I7" s="110" t="s">
        <v>878</v>
      </c>
      <c r="J7" s="110" t="s">
        <v>911</v>
      </c>
      <c r="K7" s="110" t="s">
        <v>947</v>
      </c>
      <c r="L7" s="110" t="s">
        <v>952</v>
      </c>
      <c r="M7" s="110" t="s">
        <v>956</v>
      </c>
      <c r="N7" s="110" t="s">
        <v>961</v>
      </c>
      <c r="O7" s="110" t="s">
        <v>965</v>
      </c>
      <c r="P7" s="110" t="s">
        <v>970</v>
      </c>
      <c r="Q7" s="110" t="s">
        <v>975</v>
      </c>
      <c r="R7" s="110" t="s">
        <v>979</v>
      </c>
      <c r="S7" s="110" t="s">
        <v>983</v>
      </c>
      <c r="T7" s="110" t="s">
        <v>992</v>
      </c>
      <c r="U7" s="110" t="s">
        <v>997</v>
      </c>
      <c r="V7" s="110" t="s">
        <v>1002</v>
      </c>
      <c r="W7" s="110" t="s">
        <v>1007</v>
      </c>
      <c r="X7" s="110" t="s">
        <v>1017</v>
      </c>
      <c r="Y7" s="110" t="s">
        <v>1022</v>
      </c>
      <c r="Z7" s="110" t="s">
        <v>1030</v>
      </c>
      <c r="AA7" s="110" t="s">
        <v>1035</v>
      </c>
      <c r="AB7" s="110" t="s">
        <v>1040</v>
      </c>
      <c r="AC7" s="110" t="s">
        <v>1045</v>
      </c>
      <c r="AD7" s="110" t="s">
        <v>1050</v>
      </c>
      <c r="AE7" s="110" t="s">
        <v>1055</v>
      </c>
      <c r="AF7" s="110" t="s">
        <v>1060</v>
      </c>
      <c r="AG7" s="110" t="s">
        <v>1065</v>
      </c>
      <c r="AH7" s="110" t="s">
        <v>1070</v>
      </c>
      <c r="AI7" s="110" t="s">
        <v>1075</v>
      </c>
      <c r="AJ7" s="110" t="s">
        <v>1085</v>
      </c>
      <c r="AK7" s="110" t="s">
        <v>1090</v>
      </c>
      <c r="AL7" s="110" t="s">
        <v>1095</v>
      </c>
      <c r="AM7" s="110" t="s">
        <v>1100</v>
      </c>
      <c r="AN7" s="110" t="s">
        <v>1105</v>
      </c>
      <c r="AO7" s="110" t="s">
        <v>1110</v>
      </c>
      <c r="AP7" s="110" t="s">
        <v>1115</v>
      </c>
      <c r="AQ7" s="110" t="s">
        <v>1120</v>
      </c>
      <c r="AR7" s="110" t="s">
        <v>1125</v>
      </c>
      <c r="AS7" s="110" t="s">
        <v>1130</v>
      </c>
      <c r="AT7" s="110" t="s">
        <v>1140</v>
      </c>
      <c r="AU7" s="118" t="s">
        <v>1145</v>
      </c>
    </row>
    <row r="8" spans="1:47" ht="60" customHeight="1" x14ac:dyDescent="0.35">
      <c r="A8" s="116" t="s">
        <v>2769</v>
      </c>
      <c r="B8" s="106" t="s">
        <v>2770</v>
      </c>
      <c r="C8" s="107" t="s">
        <v>2771</v>
      </c>
      <c r="D8" s="107" t="s">
        <v>2772</v>
      </c>
      <c r="E8" s="107" t="s">
        <v>19</v>
      </c>
      <c r="F8" s="108" t="s">
        <v>2773</v>
      </c>
      <c r="G8" s="109" t="str">
        <f>IF(COUNTIF(H8:AU8,"&lt;&gt;")=0,"",SUMPRODUCT(((Recommendations[ImplStatus]="Implemented")+(Recommendations[ImplStatus]="Compensated"))*ISNUMBER(MATCH(Recommendations[Id],H8:AU8,0)))/COUNTIF(H8:AU8,"&lt;&gt;"))</f>
        <v/>
      </c>
      <c r="H8" s="110"/>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8"/>
    </row>
    <row r="9" spans="1:47" ht="60" customHeight="1" x14ac:dyDescent="0.35">
      <c r="A9" s="116" t="s">
        <v>2774</v>
      </c>
      <c r="B9" s="106" t="s">
        <v>2775</v>
      </c>
      <c r="C9" s="107" t="s">
        <v>2776</v>
      </c>
      <c r="D9" s="107" t="s">
        <v>2777</v>
      </c>
      <c r="E9" s="107" t="s">
        <v>19</v>
      </c>
      <c r="F9" s="108" t="s">
        <v>2778</v>
      </c>
      <c r="G9" s="109">
        <f>IF(COUNTIF(H9:AU9,"&lt;&gt;")=0,"",SUMPRODUCT(((Recommendations[ImplStatus]="Implemented")+(Recommendations[ImplStatus]="Compensated"))*ISNUMBER(MATCH(Recommendations[Id],H9:AU9,0)))/COUNTIF(H9:AU9,"&lt;&gt;"))</f>
        <v>0</v>
      </c>
      <c r="H9" s="110" t="s">
        <v>97</v>
      </c>
      <c r="I9" s="110" t="s">
        <v>112</v>
      </c>
      <c r="J9" s="110" t="s">
        <v>121</v>
      </c>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8"/>
    </row>
    <row r="10" spans="1:47" ht="60" customHeight="1" x14ac:dyDescent="0.35">
      <c r="A10" s="116" t="s">
        <v>2779</v>
      </c>
      <c r="B10" s="106" t="s">
        <v>2780</v>
      </c>
      <c r="C10" s="107" t="s">
        <v>2781</v>
      </c>
      <c r="D10" s="107" t="s">
        <v>2782</v>
      </c>
      <c r="E10" s="107" t="s">
        <v>19</v>
      </c>
      <c r="F10" s="108" t="s">
        <v>2783</v>
      </c>
      <c r="G10" s="109">
        <f>IF(COUNTIF(H10:AU10,"&lt;&gt;")=0,"",SUMPRODUCT(((Recommendations[ImplStatus]="Implemented")+(Recommendations[ImplStatus]="Compensated"))*ISNUMBER(MATCH(Recommendations[Id],H10:AU10,0)))/COUNTIF(H10:AU10,"&lt;&gt;"))</f>
        <v>0</v>
      </c>
      <c r="H10" s="110" t="s">
        <v>235</v>
      </c>
      <c r="I10" s="110"/>
      <c r="J10" s="110"/>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8"/>
    </row>
    <row r="11" spans="1:47" ht="60" customHeight="1" x14ac:dyDescent="0.35">
      <c r="A11" s="116" t="s">
        <v>2784</v>
      </c>
      <c r="B11" s="106" t="s">
        <v>2785</v>
      </c>
      <c r="C11" s="107" t="s">
        <v>2786</v>
      </c>
      <c r="D11" s="107" t="s">
        <v>2787</v>
      </c>
      <c r="E11" s="107" t="s">
        <v>19</v>
      </c>
      <c r="F11" s="108" t="s">
        <v>2788</v>
      </c>
      <c r="G11" s="109" t="str">
        <f>IF(COUNTIF(H11:AU11,"&lt;&gt;")=0,"",SUMPRODUCT(((Recommendations[ImplStatus]="Implemented")+(Recommendations[ImplStatus]="Compensated"))*ISNUMBER(MATCH(Recommendations[Id],H11:AU11,0)))/COUNTIF(H11:AU11,"&lt;&gt;"))</f>
        <v/>
      </c>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8"/>
    </row>
    <row r="12" spans="1:47" ht="60" customHeight="1" x14ac:dyDescent="0.35">
      <c r="A12" s="116" t="s">
        <v>2789</v>
      </c>
      <c r="B12" s="106" t="s">
        <v>2790</v>
      </c>
      <c r="C12" s="107" t="s">
        <v>2791</v>
      </c>
      <c r="D12" s="107" t="s">
        <v>2792</v>
      </c>
      <c r="E12" s="107" t="s">
        <v>19</v>
      </c>
      <c r="F12" s="108" t="s">
        <v>2793</v>
      </c>
      <c r="G12" s="109" t="str">
        <f>IF(COUNTIF(H12:AU12,"&lt;&gt;")=0,"",SUMPRODUCT(((Recommendations[ImplStatus]="Implemented")+(Recommendations[ImplStatus]="Compensated"))*ISNUMBER(MATCH(Recommendations[Id],H12:AU12,0)))/COUNTIF(H12:AU12,"&lt;&gt;"))</f>
        <v/>
      </c>
      <c r="H12" s="110"/>
      <c r="I12" s="110"/>
      <c r="J12" s="110"/>
      <c r="K12" s="110"/>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8"/>
    </row>
    <row r="13" spans="1:47" ht="60" customHeight="1" x14ac:dyDescent="0.35">
      <c r="A13" s="116" t="s">
        <v>2794</v>
      </c>
      <c r="B13" s="106" t="s">
        <v>2795</v>
      </c>
      <c r="C13" s="107" t="s">
        <v>2796</v>
      </c>
      <c r="D13" s="107" t="s">
        <v>2797</v>
      </c>
      <c r="E13" s="107" t="s">
        <v>19</v>
      </c>
      <c r="F13" s="108" t="s">
        <v>2798</v>
      </c>
      <c r="G13" s="109" t="str">
        <f>IF(COUNTIF(H13:AU13,"&lt;&gt;")=0,"",SUMPRODUCT(((Recommendations[ImplStatus]="Implemented")+(Recommendations[ImplStatus]="Compensated"))*ISNUMBER(MATCH(Recommendations[Id],H13:AU13,0)))/COUNTIF(H13:AU13,"&lt;&gt;"))</f>
        <v/>
      </c>
      <c r="H13" s="110"/>
      <c r="I13" s="110"/>
      <c r="J13" s="110"/>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8"/>
    </row>
    <row r="14" spans="1:47" ht="60" customHeight="1" x14ac:dyDescent="0.35">
      <c r="A14" s="116" t="s">
        <v>2799</v>
      </c>
      <c r="B14" s="106" t="s">
        <v>2800</v>
      </c>
      <c r="C14" s="107" t="s">
        <v>2801</v>
      </c>
      <c r="D14" s="107" t="s">
        <v>2802</v>
      </c>
      <c r="E14" s="107" t="s">
        <v>19</v>
      </c>
      <c r="F14" s="108" t="s">
        <v>2803</v>
      </c>
      <c r="G14" s="109">
        <f>IF(COUNTIF(H14:AU14,"&lt;&gt;")=0,"",SUMPRODUCT(((Recommendations[ImplStatus]="Implemented")+(Recommendations[ImplStatus]="Compensated"))*ISNUMBER(MATCH(Recommendations[Id],H14:AU14,0)))/COUNTIF(H14:AU14,"&lt;&gt;"))</f>
        <v>0</v>
      </c>
      <c r="H14" s="110" t="s">
        <v>134</v>
      </c>
      <c r="I14" s="110" t="s">
        <v>244</v>
      </c>
      <c r="J14" s="110" t="s">
        <v>338</v>
      </c>
      <c r="K14" s="110" t="s">
        <v>578</v>
      </c>
      <c r="L14" s="110" t="s">
        <v>687</v>
      </c>
      <c r="M14" s="110" t="s">
        <v>1263</v>
      </c>
      <c r="N14" s="110" t="s">
        <v>1282</v>
      </c>
      <c r="O14" s="110" t="s">
        <v>1287</v>
      </c>
      <c r="P14" s="110" t="s">
        <v>1292</v>
      </c>
      <c r="Q14" s="110" t="s">
        <v>1297</v>
      </c>
      <c r="R14" s="110" t="s">
        <v>1302</v>
      </c>
      <c r="S14" s="110" t="s">
        <v>1307</v>
      </c>
      <c r="T14" s="110" t="s">
        <v>1312</v>
      </c>
      <c r="U14" s="110" t="s">
        <v>1317</v>
      </c>
      <c r="V14" s="110" t="s">
        <v>1327</v>
      </c>
      <c r="W14" s="110" t="s">
        <v>1332</v>
      </c>
      <c r="X14" s="110" t="s">
        <v>1351</v>
      </c>
      <c r="Y14" s="110" t="s">
        <v>1356</v>
      </c>
      <c r="Z14" s="110" t="s">
        <v>1422</v>
      </c>
      <c r="AA14" s="110" t="s">
        <v>1427</v>
      </c>
      <c r="AB14" s="110" t="s">
        <v>1431</v>
      </c>
      <c r="AC14" s="110" t="s">
        <v>1435</v>
      </c>
      <c r="AD14" s="110" t="s">
        <v>1440</v>
      </c>
      <c r="AE14" s="110" t="s">
        <v>1445</v>
      </c>
      <c r="AF14" s="110" t="s">
        <v>1468</v>
      </c>
      <c r="AG14" s="110" t="s">
        <v>1473</v>
      </c>
      <c r="AH14" s="110" t="s">
        <v>1478</v>
      </c>
      <c r="AI14" s="110" t="s">
        <v>1483</v>
      </c>
      <c r="AJ14" s="110" t="s">
        <v>1488</v>
      </c>
      <c r="AK14" s="110" t="s">
        <v>1573</v>
      </c>
      <c r="AL14" s="110" t="s">
        <v>1588</v>
      </c>
      <c r="AM14" s="110" t="s">
        <v>1603</v>
      </c>
      <c r="AN14" s="110" t="s">
        <v>1613</v>
      </c>
      <c r="AO14" s="110" t="s">
        <v>1618</v>
      </c>
      <c r="AP14" s="110" t="s">
        <v>1623</v>
      </c>
      <c r="AQ14" s="110" t="s">
        <v>1628</v>
      </c>
      <c r="AR14" s="110" t="s">
        <v>1633</v>
      </c>
      <c r="AS14" s="110" t="s">
        <v>1638</v>
      </c>
      <c r="AT14" s="110" t="s">
        <v>1643</v>
      </c>
      <c r="AU14" s="118"/>
    </row>
    <row r="15" spans="1:47" ht="60" customHeight="1" x14ac:dyDescent="0.35">
      <c r="A15" s="116" t="s">
        <v>2804</v>
      </c>
      <c r="B15" s="106" t="s">
        <v>2805</v>
      </c>
      <c r="C15" s="107" t="s">
        <v>2806</v>
      </c>
      <c r="D15" s="107" t="s">
        <v>2807</v>
      </c>
      <c r="E15" s="107" t="s">
        <v>19</v>
      </c>
      <c r="F15" s="108" t="s">
        <v>2808</v>
      </c>
      <c r="G15" s="109" t="str">
        <f>IF(COUNTIF(H15:AU15,"&lt;&gt;")=0,"",SUMPRODUCT(((Recommendations[ImplStatus]="Implemented")+(Recommendations[ImplStatus]="Compensated"))*ISNUMBER(MATCH(Recommendations[Id],H15:AU15,0)))/COUNTIF(H15:AU15,"&lt;&gt;"))</f>
        <v/>
      </c>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8"/>
    </row>
    <row r="16" spans="1:47" ht="60" customHeight="1" x14ac:dyDescent="0.35">
      <c r="A16" s="116" t="s">
        <v>2809</v>
      </c>
      <c r="B16" s="106" t="s">
        <v>2810</v>
      </c>
      <c r="C16" s="107" t="s">
        <v>2811</v>
      </c>
      <c r="D16" s="107" t="s">
        <v>2812</v>
      </c>
      <c r="E16" s="107" t="s">
        <v>19</v>
      </c>
      <c r="F16" s="108" t="s">
        <v>2813</v>
      </c>
      <c r="G16" s="109">
        <f>IF(COUNTIF(H16:AU16,"&lt;&gt;")=0,"",SUMPRODUCT(((Recommendations[ImplStatus]="Implemented")+(Recommendations[ImplStatus]="Compensated"))*ISNUMBER(MATCH(Recommendations[Id],H16:AU16,0)))/COUNTIF(H16:AU16,"&lt;&gt;"))</f>
        <v>0</v>
      </c>
      <c r="H16" s="110" t="s">
        <v>38</v>
      </c>
      <c r="I16" s="110" t="s">
        <v>43</v>
      </c>
      <c r="J16" s="110" t="s">
        <v>82</v>
      </c>
      <c r="K16" s="110" t="s">
        <v>87</v>
      </c>
      <c r="L16" s="110" t="s">
        <v>92</v>
      </c>
      <c r="M16" s="110" t="s">
        <v>125</v>
      </c>
      <c r="N16" s="110" t="s">
        <v>130</v>
      </c>
      <c r="O16" s="110" t="s">
        <v>164</v>
      </c>
      <c r="P16" s="110" t="s">
        <v>169</v>
      </c>
      <c r="Q16" s="110" t="s">
        <v>199</v>
      </c>
      <c r="R16" s="110" t="s">
        <v>358</v>
      </c>
      <c r="S16" s="110" t="s">
        <v>363</v>
      </c>
      <c r="T16" s="110" t="s">
        <v>506</v>
      </c>
      <c r="U16" s="110" t="s">
        <v>1454</v>
      </c>
      <c r="V16" s="110" t="s">
        <v>1459</v>
      </c>
      <c r="W16" s="110" t="s">
        <v>1463</v>
      </c>
      <c r="X16" s="110" t="s">
        <v>1738</v>
      </c>
      <c r="Y16" s="110" t="s">
        <v>1743</v>
      </c>
      <c r="Z16" s="110" t="s">
        <v>1747</v>
      </c>
      <c r="AA16" s="110" t="s">
        <v>1751</v>
      </c>
      <c r="AB16" s="110" t="s">
        <v>1755</v>
      </c>
      <c r="AC16" s="110" t="s">
        <v>1760</v>
      </c>
      <c r="AD16" s="110" t="s">
        <v>1764</v>
      </c>
      <c r="AE16" s="110" t="s">
        <v>1769</v>
      </c>
      <c r="AF16" s="110" t="s">
        <v>1774</v>
      </c>
      <c r="AG16" s="110" t="s">
        <v>1779</v>
      </c>
      <c r="AH16" s="110"/>
      <c r="AI16" s="110"/>
      <c r="AJ16" s="110"/>
      <c r="AK16" s="110"/>
      <c r="AL16" s="110"/>
      <c r="AM16" s="110"/>
      <c r="AN16" s="110"/>
      <c r="AO16" s="110"/>
      <c r="AP16" s="110"/>
      <c r="AQ16" s="110"/>
      <c r="AR16" s="110"/>
      <c r="AS16" s="110"/>
      <c r="AT16" s="110"/>
      <c r="AU16" s="118"/>
    </row>
    <row r="17" spans="1:47" ht="60" customHeight="1" x14ac:dyDescent="0.35">
      <c r="A17" s="116" t="s">
        <v>2814</v>
      </c>
      <c r="B17" s="106" t="s">
        <v>2815</v>
      </c>
      <c r="C17" s="107" t="s">
        <v>2816</v>
      </c>
      <c r="D17" s="107" t="s">
        <v>2817</v>
      </c>
      <c r="E17" s="107" t="s">
        <v>19</v>
      </c>
      <c r="F17" s="108" t="s">
        <v>2818</v>
      </c>
      <c r="G17" s="109" t="str">
        <f>IF(COUNTIF(H17:AU17,"&lt;&gt;")=0,"",SUMPRODUCT(((Recommendations[ImplStatus]="Implemented")+(Recommendations[ImplStatus]="Compensated"))*ISNUMBER(MATCH(Recommendations[Id],H17:AU17,0)))/COUNTIF(H17:AU17,"&lt;&gt;"))</f>
        <v/>
      </c>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8"/>
    </row>
    <row r="18" spans="1:47" ht="60" customHeight="1" x14ac:dyDescent="0.35">
      <c r="A18" s="116" t="s">
        <v>2819</v>
      </c>
      <c r="B18" s="106" t="s">
        <v>2820</v>
      </c>
      <c r="C18" s="107" t="s">
        <v>2821</v>
      </c>
      <c r="D18" s="107" t="s">
        <v>2822</v>
      </c>
      <c r="E18" s="107" t="s">
        <v>19</v>
      </c>
      <c r="F18" s="108" t="s">
        <v>2823</v>
      </c>
      <c r="G18" s="109">
        <f>IF(COUNTIF(H18:AU18,"&lt;&gt;")=0,"",SUMPRODUCT(((Recommendations[ImplStatus]="Implemented")+(Recommendations[ImplStatus]="Compensated"))*ISNUMBER(MATCH(Recommendations[Id],H18:AU18,0)))/COUNTIF(H18:AU18,"&lt;&gt;"))</f>
        <v>0</v>
      </c>
      <c r="H18" s="110" t="s">
        <v>1422</v>
      </c>
      <c r="I18" s="110" t="s">
        <v>1427</v>
      </c>
      <c r="J18" s="110" t="s">
        <v>1431</v>
      </c>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8"/>
    </row>
    <row r="19" spans="1:47" ht="60" customHeight="1" x14ac:dyDescent="0.35">
      <c r="A19" s="116" t="s">
        <v>2824</v>
      </c>
      <c r="B19" s="106" t="s">
        <v>2825</v>
      </c>
      <c r="C19" s="107" t="s">
        <v>2826</v>
      </c>
      <c r="D19" s="107" t="s">
        <v>2827</v>
      </c>
      <c r="E19" s="107" t="s">
        <v>19</v>
      </c>
      <c r="F19" s="108" t="s">
        <v>2828</v>
      </c>
      <c r="G19" s="109">
        <f>IF(COUNTIF(H19:AU19,"&lt;&gt;")=0,"",SUMPRODUCT(((Recommendations[ImplStatus]="Implemented")+(Recommendations[ImplStatus]="Compensated"))*ISNUMBER(MATCH(Recommendations[Id],H19:AU19,0)))/COUNTIF(H19:AU19,"&lt;&gt;"))</f>
        <v>0</v>
      </c>
      <c r="H19" s="110" t="s">
        <v>308</v>
      </c>
      <c r="I19" s="110" t="s">
        <v>313</v>
      </c>
      <c r="J19" s="110" t="s">
        <v>323</v>
      </c>
      <c r="K19" s="110" t="s">
        <v>333</v>
      </c>
      <c r="L19" s="110" t="s">
        <v>1277</v>
      </c>
      <c r="M19" s="110"/>
      <c r="N19" s="110"/>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8"/>
    </row>
    <row r="20" spans="1:47" ht="60" customHeight="1" x14ac:dyDescent="0.35">
      <c r="A20" s="116" t="s">
        <v>2829</v>
      </c>
      <c r="B20" s="106" t="s">
        <v>2830</v>
      </c>
      <c r="C20" s="107" t="s">
        <v>2831</v>
      </c>
      <c r="D20" s="107" t="s">
        <v>2832</v>
      </c>
      <c r="E20" s="107" t="s">
        <v>19</v>
      </c>
      <c r="F20" s="108" t="s">
        <v>2833</v>
      </c>
      <c r="G20" s="109">
        <f>IF(COUNTIF(H20:AU20,"&lt;&gt;")=0,"",SUMPRODUCT(((Recommendations[ImplStatus]="Implemented")+(Recommendations[ImplStatus]="Compensated"))*ISNUMBER(MATCH(Recommendations[Id],H20:AU20,0)))/COUNTIF(H20:AU20,"&lt;&gt;"))</f>
        <v>0</v>
      </c>
      <c r="H20" s="110" t="s">
        <v>1337</v>
      </c>
      <c r="I20" s="110" t="s">
        <v>1449</v>
      </c>
      <c r="J20" s="110" t="s">
        <v>1608</v>
      </c>
      <c r="K20" s="110"/>
      <c r="L20" s="110"/>
      <c r="M20" s="110"/>
      <c r="N20" s="110"/>
      <c r="O20" s="110"/>
      <c r="P20" s="110"/>
      <c r="Q20" s="110"/>
      <c r="R20" s="110"/>
      <c r="S20" s="110"/>
      <c r="T20" s="110"/>
      <c r="U20" s="110"/>
      <c r="V20" s="110"/>
      <c r="W20" s="110"/>
      <c r="X20" s="110"/>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8"/>
    </row>
    <row r="21" spans="1:47" ht="60" customHeight="1" x14ac:dyDescent="0.35">
      <c r="A21" s="116" t="s">
        <v>2834</v>
      </c>
      <c r="B21" s="106" t="s">
        <v>2835</v>
      </c>
      <c r="C21" s="107" t="s">
        <v>2836</v>
      </c>
      <c r="D21" s="107" t="s">
        <v>2837</v>
      </c>
      <c r="E21" s="107" t="s">
        <v>2838</v>
      </c>
      <c r="F21" s="108" t="s">
        <v>2839</v>
      </c>
      <c r="G21" s="109" t="str">
        <f>IF(COUNTIF(H21:AU21,"&lt;&gt;")=0,"",SUMPRODUCT(((Recommendations[ImplStatus]="Implemented")+(Recommendations[ImplStatus]="Compensated"))*ISNUMBER(MATCH(Recommendations[Id],H21:AU21,0)))/COUNTIF(H21:AU21,"&lt;&gt;"))</f>
        <v/>
      </c>
      <c r="H21" s="110"/>
      <c r="I21" s="110"/>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8"/>
    </row>
    <row r="22" spans="1:47" ht="60" customHeight="1" x14ac:dyDescent="0.35">
      <c r="A22" s="116" t="s">
        <v>2840</v>
      </c>
      <c r="B22" s="106" t="s">
        <v>2841</v>
      </c>
      <c r="C22" s="107" t="s">
        <v>2842</v>
      </c>
      <c r="D22" s="107" t="s">
        <v>2843</v>
      </c>
      <c r="E22" s="107" t="s">
        <v>2844</v>
      </c>
      <c r="F22" s="108" t="s">
        <v>2845</v>
      </c>
      <c r="G22" s="109">
        <f>IF(COUNTIF(H22:AU22,"&lt;&gt;")=0,"",SUMPRODUCT(((Recommendations[ImplStatus]="Implemented")+(Recommendations[ImplStatus]="Compensated"))*ISNUMBER(MATCH(Recommendations[Id],H22:AU22,0)))/COUNTIF(H22:AU22,"&lt;&gt;"))</f>
        <v>0</v>
      </c>
      <c r="H22" s="110" t="s">
        <v>1287</v>
      </c>
      <c r="I22" s="110" t="s">
        <v>1327</v>
      </c>
      <c r="J22" s="110" t="s">
        <v>1332</v>
      </c>
      <c r="K22" s="110" t="s">
        <v>1435</v>
      </c>
      <c r="L22" s="110" t="s">
        <v>1440</v>
      </c>
      <c r="M22" s="110" t="s">
        <v>1445</v>
      </c>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8"/>
    </row>
    <row r="23" spans="1:47" ht="60" customHeight="1" x14ac:dyDescent="0.35">
      <c r="A23" s="116" t="s">
        <v>2846</v>
      </c>
      <c r="B23" s="106" t="s">
        <v>2847</v>
      </c>
      <c r="C23" s="107" t="s">
        <v>2848</v>
      </c>
      <c r="D23" s="107" t="s">
        <v>2849</v>
      </c>
      <c r="E23" s="107" t="s">
        <v>2850</v>
      </c>
      <c r="F23" s="108" t="s">
        <v>2851</v>
      </c>
      <c r="G23" s="109" t="str">
        <f>IF(COUNTIF(H23:AU23,"&lt;&gt;")=0,"",SUMPRODUCT(((Recommendations[ImplStatus]="Implemented")+(Recommendations[ImplStatus]="Compensated"))*ISNUMBER(MATCH(Recommendations[Id],H23:AU23,0)))/COUNTIF(H23:AU23,"&lt;&gt;"))</f>
        <v/>
      </c>
      <c r="H23" s="110"/>
      <c r="I23" s="110"/>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8"/>
    </row>
    <row r="24" spans="1:47" ht="60" customHeight="1" x14ac:dyDescent="0.35">
      <c r="A24" s="116" t="s">
        <v>2852</v>
      </c>
      <c r="B24" s="106" t="s">
        <v>2853</v>
      </c>
      <c r="C24" s="107" t="s">
        <v>2854</v>
      </c>
      <c r="D24" s="107" t="s">
        <v>2855</v>
      </c>
      <c r="E24" s="107" t="s">
        <v>19</v>
      </c>
      <c r="F24" s="108" t="s">
        <v>2856</v>
      </c>
      <c r="G24" s="109">
        <f>IF(COUNTIF(H24:AU24,"&lt;&gt;")=0,"",SUMPRODUCT(((Recommendations[ImplStatus]="Implemented")+(Recommendations[ImplStatus]="Compensated"))*ISNUMBER(MATCH(Recommendations[Id],H24:AU24,0)))/COUNTIF(H24:AU24,"&lt;&gt;"))</f>
        <v>0</v>
      </c>
      <c r="H24" s="110" t="s">
        <v>240</v>
      </c>
      <c r="I24" s="110" t="s">
        <v>293</v>
      </c>
      <c r="J24" s="110" t="s">
        <v>298</v>
      </c>
      <c r="K24" s="110" t="s">
        <v>303</v>
      </c>
      <c r="L24" s="110" t="s">
        <v>720</v>
      </c>
      <c r="M24" s="110" t="s">
        <v>793</v>
      </c>
      <c r="N24" s="110" t="s">
        <v>826</v>
      </c>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8"/>
    </row>
    <row r="25" spans="1:47" ht="60" customHeight="1" x14ac:dyDescent="0.35">
      <c r="A25" s="116" t="s">
        <v>2857</v>
      </c>
      <c r="B25" s="106" t="s">
        <v>2858</v>
      </c>
      <c r="C25" s="107" t="s">
        <v>2859</v>
      </c>
      <c r="D25" s="107" t="s">
        <v>19</v>
      </c>
      <c r="E25" s="107" t="s">
        <v>19</v>
      </c>
      <c r="F25" s="108" t="s">
        <v>2860</v>
      </c>
      <c r="G25" s="109">
        <f>IF(COUNTIF(H25:AU25,"&lt;&gt;")=0,"",SUMPRODUCT(((Recommendations[ImplStatus]="Implemented")+(Recommendations[ImplStatus]="Compensated"))*ISNUMBER(MATCH(Recommendations[Id],H25:AU25,0)))/COUNTIF(H25:AU25,"&lt;&gt;"))</f>
        <v>0</v>
      </c>
      <c r="H25" s="110" t="s">
        <v>1512</v>
      </c>
      <c r="I25" s="110" t="s">
        <v>1517</v>
      </c>
      <c r="J25" s="110" t="s">
        <v>1522</v>
      </c>
      <c r="K25" s="110" t="s">
        <v>1526</v>
      </c>
      <c r="L25" s="110" t="s">
        <v>1530</v>
      </c>
      <c r="M25" s="110" t="s">
        <v>1539</v>
      </c>
      <c r="N25" s="110" t="s">
        <v>1544</v>
      </c>
      <c r="O25" s="110" t="s">
        <v>1553</v>
      </c>
      <c r="P25" s="110" t="s">
        <v>1557</v>
      </c>
      <c r="Q25" s="110" t="s">
        <v>1578</v>
      </c>
      <c r="R25" s="110"/>
      <c r="S25" s="110"/>
      <c r="T25" s="110"/>
      <c r="U25" s="110"/>
      <c r="V25" s="110"/>
      <c r="W25" s="110"/>
      <c r="X25" s="110"/>
      <c r="Y25" s="110"/>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18"/>
    </row>
    <row r="26" spans="1:47" ht="60" customHeight="1" x14ac:dyDescent="0.35">
      <c r="A26" s="116" t="s">
        <v>2861</v>
      </c>
      <c r="B26" s="106" t="s">
        <v>2862</v>
      </c>
      <c r="C26" s="107" t="s">
        <v>2863</v>
      </c>
      <c r="D26" s="107" t="s">
        <v>2864</v>
      </c>
      <c r="E26" s="107" t="s">
        <v>19</v>
      </c>
      <c r="F26" s="108" t="s">
        <v>2865</v>
      </c>
      <c r="G26" s="109">
        <f>IF(COUNTIF(H26:AU26,"&lt;&gt;")=0,"",SUMPRODUCT(((Recommendations[ImplStatus]="Implemented")+(Recommendations[ImplStatus]="Compensated"))*ISNUMBER(MATCH(Recommendations[Id],H26:AU26,0)))/COUNTIF(H26:AU26,"&lt;&gt;"))</f>
        <v>0</v>
      </c>
      <c r="H26" s="110" t="s">
        <v>1507</v>
      </c>
      <c r="I26" s="110" t="s">
        <v>1534</v>
      </c>
      <c r="J26" s="110" t="s">
        <v>1618</v>
      </c>
      <c r="K26" s="110" t="s">
        <v>1703</v>
      </c>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8"/>
    </row>
    <row r="27" spans="1:47" ht="60" customHeight="1" x14ac:dyDescent="0.35">
      <c r="A27" s="116" t="s">
        <v>2866</v>
      </c>
      <c r="B27" s="106" t="s">
        <v>2867</v>
      </c>
      <c r="C27" s="107" t="s">
        <v>2868</v>
      </c>
      <c r="D27" s="107" t="s">
        <v>2869</v>
      </c>
      <c r="E27" s="107" t="s">
        <v>2870</v>
      </c>
      <c r="F27" s="108" t="s">
        <v>2871</v>
      </c>
      <c r="G27" s="109">
        <f>IF(COUNTIF(H27:AU27,"&lt;&gt;")=0,"",SUMPRODUCT(((Recommendations[ImplStatus]="Implemented")+(Recommendations[ImplStatus]="Compensated"))*ISNUMBER(MATCH(Recommendations[Id],H27:AU27,0)))/COUNTIF(H27:AU27,"&lt;&gt;"))</f>
        <v>0</v>
      </c>
      <c r="H27" s="110" t="s">
        <v>249</v>
      </c>
      <c r="I27" s="110" t="s">
        <v>254</v>
      </c>
      <c r="J27" s="110" t="s">
        <v>259</v>
      </c>
      <c r="K27" s="110" t="s">
        <v>264</v>
      </c>
      <c r="L27" s="110" t="s">
        <v>343</v>
      </c>
      <c r="M27" s="110" t="s">
        <v>432</v>
      </c>
      <c r="N27" s="110" t="s">
        <v>436</v>
      </c>
      <c r="O27" s="110" t="s">
        <v>460</v>
      </c>
      <c r="P27" s="110" t="s">
        <v>474</v>
      </c>
      <c r="Q27" s="110" t="s">
        <v>583</v>
      </c>
      <c r="R27" s="110" t="s">
        <v>1361</v>
      </c>
      <c r="S27" s="110" t="s">
        <v>1366</v>
      </c>
      <c r="T27" s="110" t="s">
        <v>1370</v>
      </c>
      <c r="U27" s="110" t="s">
        <v>1374</v>
      </c>
      <c r="V27" s="110" t="s">
        <v>1378</v>
      </c>
      <c r="W27" s="110" t="s">
        <v>1382</v>
      </c>
      <c r="X27" s="110" t="s">
        <v>1386</v>
      </c>
      <c r="Y27" s="110" t="s">
        <v>1390</v>
      </c>
      <c r="Z27" s="110" t="s">
        <v>1394</v>
      </c>
      <c r="AA27" s="110" t="s">
        <v>1410</v>
      </c>
      <c r="AB27" s="110" t="s">
        <v>1414</v>
      </c>
      <c r="AC27" s="110" t="s">
        <v>1418</v>
      </c>
      <c r="AD27" s="110" t="s">
        <v>1561</v>
      </c>
      <c r="AE27" s="110" t="s">
        <v>1569</v>
      </c>
      <c r="AF27" s="110"/>
      <c r="AG27" s="110"/>
      <c r="AH27" s="110"/>
      <c r="AI27" s="110"/>
      <c r="AJ27" s="110"/>
      <c r="AK27" s="110"/>
      <c r="AL27" s="110"/>
      <c r="AM27" s="110"/>
      <c r="AN27" s="110"/>
      <c r="AO27" s="110"/>
      <c r="AP27" s="110"/>
      <c r="AQ27" s="110"/>
      <c r="AR27" s="110"/>
      <c r="AS27" s="110"/>
      <c r="AT27" s="110"/>
      <c r="AU27" s="118"/>
    </row>
    <row r="28" spans="1:47" ht="60" customHeight="1" x14ac:dyDescent="0.35">
      <c r="A28" s="116" t="s">
        <v>2872</v>
      </c>
      <c r="B28" s="106" t="s">
        <v>2873</v>
      </c>
      <c r="C28" s="107" t="s">
        <v>2874</v>
      </c>
      <c r="D28" s="107" t="s">
        <v>19</v>
      </c>
      <c r="E28" s="107" t="s">
        <v>19</v>
      </c>
      <c r="F28" s="108" t="s">
        <v>2875</v>
      </c>
      <c r="G28" s="109" t="str">
        <f>IF(COUNTIF(H28:AU28,"&lt;&gt;")=0,"",SUMPRODUCT(((Recommendations[ImplStatus]="Implemented")+(Recommendations[ImplStatus]="Compensated"))*ISNUMBER(MATCH(Recommendations[Id],H28:AU28,0)))/COUNTIF(H28:AU28,"&lt;&gt;"))</f>
        <v/>
      </c>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8"/>
    </row>
    <row r="29" spans="1:47" ht="60" customHeight="1" x14ac:dyDescent="0.35">
      <c r="A29" s="116" t="s">
        <v>2876</v>
      </c>
      <c r="B29" s="106" t="s">
        <v>2877</v>
      </c>
      <c r="C29" s="107" t="s">
        <v>2878</v>
      </c>
      <c r="D29" s="107" t="s">
        <v>2879</v>
      </c>
      <c r="E29" s="107" t="s">
        <v>2880</v>
      </c>
      <c r="F29" s="108" t="s">
        <v>2881</v>
      </c>
      <c r="G29" s="109">
        <f>IF(COUNTIF(H29:AU29,"&lt;&gt;")=0,"",SUMPRODUCT(((Recommendations[ImplStatus]="Implemented")+(Recommendations[ImplStatus]="Compensated"))*ISNUMBER(MATCH(Recommendations[Id],H29:AU29,0)))/COUNTIF(H29:AU29,"&lt;&gt;"))</f>
        <v>0</v>
      </c>
      <c r="H29" s="110" t="s">
        <v>348</v>
      </c>
      <c r="I29" s="110" t="s">
        <v>353</v>
      </c>
      <c r="J29" s="110" t="s">
        <v>383</v>
      </c>
      <c r="K29" s="110" t="s">
        <v>388</v>
      </c>
      <c r="L29" s="110" t="s">
        <v>392</v>
      </c>
      <c r="M29" s="110" t="s">
        <v>725</v>
      </c>
      <c r="N29" s="110" t="s">
        <v>730</v>
      </c>
      <c r="O29" s="110" t="s">
        <v>735</v>
      </c>
      <c r="P29" s="110" t="s">
        <v>740</v>
      </c>
      <c r="Q29" s="110" t="s">
        <v>745</v>
      </c>
      <c r="R29" s="110" t="s">
        <v>750</v>
      </c>
      <c r="S29" s="110" t="s">
        <v>755</v>
      </c>
      <c r="T29" s="110" t="s">
        <v>760</v>
      </c>
      <c r="U29" s="110" t="s">
        <v>765</v>
      </c>
      <c r="V29" s="110" t="s">
        <v>770</v>
      </c>
      <c r="W29" s="110" t="s">
        <v>774</v>
      </c>
      <c r="X29" s="110" t="s">
        <v>779</v>
      </c>
      <c r="Y29" s="110" t="s">
        <v>783</v>
      </c>
      <c r="Z29" s="110" t="s">
        <v>821</v>
      </c>
      <c r="AA29" s="110" t="s">
        <v>831</v>
      </c>
      <c r="AB29" s="110" t="s">
        <v>846</v>
      </c>
      <c r="AC29" s="110" t="s">
        <v>851</v>
      </c>
      <c r="AD29" s="110" t="s">
        <v>855</v>
      </c>
      <c r="AE29" s="110" t="s">
        <v>1653</v>
      </c>
      <c r="AF29" s="110" t="s">
        <v>1685</v>
      </c>
      <c r="AG29" s="110" t="s">
        <v>1690</v>
      </c>
      <c r="AH29" s="110" t="s">
        <v>1695</v>
      </c>
      <c r="AI29" s="110" t="s">
        <v>1699</v>
      </c>
      <c r="AJ29" s="110"/>
      <c r="AK29" s="110"/>
      <c r="AL29" s="110"/>
      <c r="AM29" s="110"/>
      <c r="AN29" s="110"/>
      <c r="AO29" s="110"/>
      <c r="AP29" s="110"/>
      <c r="AQ29" s="110"/>
      <c r="AR29" s="110"/>
      <c r="AS29" s="110"/>
      <c r="AT29" s="110"/>
      <c r="AU29" s="118"/>
    </row>
    <row r="30" spans="1:47" ht="60" customHeight="1" x14ac:dyDescent="0.35">
      <c r="A30" s="116" t="s">
        <v>2882</v>
      </c>
      <c r="B30" s="106" t="s">
        <v>2883</v>
      </c>
      <c r="C30" s="107" t="s">
        <v>2884</v>
      </c>
      <c r="D30" s="107" t="s">
        <v>2885</v>
      </c>
      <c r="E30" s="107" t="s">
        <v>19</v>
      </c>
      <c r="F30" s="108" t="s">
        <v>2886</v>
      </c>
      <c r="G30" s="109" t="str">
        <f>IF(COUNTIF(H30:AU30,"&lt;&gt;")=0,"",SUMPRODUCT(((Recommendations[ImplStatus]="Implemented")+(Recommendations[ImplStatus]="Compensated"))*ISNUMBER(MATCH(Recommendations[Id],H30:AU30,0)))/COUNTIF(H30:AU30,"&lt;&gt;"))</f>
        <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8"/>
    </row>
    <row r="31" spans="1:47" ht="60" customHeight="1" x14ac:dyDescent="0.35">
      <c r="A31" s="116" t="s">
        <v>2887</v>
      </c>
      <c r="B31" s="106" t="s">
        <v>2888</v>
      </c>
      <c r="C31" s="107" t="s">
        <v>2889</v>
      </c>
      <c r="D31" s="107" t="s">
        <v>2890</v>
      </c>
      <c r="E31" s="107" t="s">
        <v>2891</v>
      </c>
      <c r="F31" s="108" t="s">
        <v>2892</v>
      </c>
      <c r="G31" s="109">
        <f>IF(COUNTIF(H31:AU31,"&lt;&gt;")=0,"",SUMPRODUCT(((Recommendations[ImplStatus]="Implemented")+(Recommendations[ImplStatus]="Compensated"))*ISNUMBER(MATCH(Recommendations[Id],H31:AU31,0)))/COUNTIF(H31:AU31,"&lt;&gt;"))</f>
        <v>0</v>
      </c>
      <c r="H31" s="110" t="s">
        <v>269</v>
      </c>
      <c r="I31" s="110" t="s">
        <v>274</v>
      </c>
      <c r="J31" s="110" t="s">
        <v>278</v>
      </c>
      <c r="K31" s="110" t="s">
        <v>283</v>
      </c>
      <c r="L31" s="110" t="s">
        <v>417</v>
      </c>
      <c r="M31" s="110" t="s">
        <v>667</v>
      </c>
      <c r="N31" s="110" t="s">
        <v>672</v>
      </c>
      <c r="O31" s="110" t="s">
        <v>1493</v>
      </c>
      <c r="P31" s="110" t="s">
        <v>1648</v>
      </c>
      <c r="Q31" s="110" t="s">
        <v>1680</v>
      </c>
      <c r="R31" s="110"/>
      <c r="S31" s="110"/>
      <c r="T31" s="110"/>
      <c r="U31" s="110"/>
      <c r="V31" s="110"/>
      <c r="W31" s="110"/>
      <c r="X31" s="110"/>
      <c r="Y31" s="110"/>
      <c r="Z31" s="110"/>
      <c r="AA31" s="110"/>
      <c r="AB31" s="110"/>
      <c r="AC31" s="110"/>
      <c r="AD31" s="110"/>
      <c r="AE31" s="110"/>
      <c r="AF31" s="110"/>
      <c r="AG31" s="110"/>
      <c r="AH31" s="110"/>
      <c r="AI31" s="110"/>
      <c r="AJ31" s="110"/>
      <c r="AK31" s="110"/>
      <c r="AL31" s="110"/>
      <c r="AM31" s="110"/>
      <c r="AN31" s="110"/>
      <c r="AO31" s="110"/>
      <c r="AP31" s="110"/>
      <c r="AQ31" s="110"/>
      <c r="AR31" s="110"/>
      <c r="AS31" s="110"/>
      <c r="AT31" s="110"/>
      <c r="AU31" s="118"/>
    </row>
    <row r="32" spans="1:47" ht="60" customHeight="1" x14ac:dyDescent="0.35">
      <c r="A32" s="116" t="s">
        <v>2893</v>
      </c>
      <c r="B32" s="106" t="s">
        <v>2894</v>
      </c>
      <c r="C32" s="107" t="s">
        <v>2895</v>
      </c>
      <c r="D32" s="107" t="s">
        <v>2896</v>
      </c>
      <c r="E32" s="107" t="s">
        <v>2897</v>
      </c>
      <c r="F32" s="108" t="s">
        <v>2898</v>
      </c>
      <c r="G32" s="109">
        <f>IF(COUNTIF(H32:AU32,"&lt;&gt;")=0,"",SUMPRODUCT(((Recommendations[ImplStatus]="Implemented")+(Recommendations[ImplStatus]="Compensated"))*ISNUMBER(MATCH(Recommendations[Id],H32:AU32,0)))/COUNTIF(H32:AU32,"&lt;&gt;"))</f>
        <v>0</v>
      </c>
      <c r="H32" s="110" t="s">
        <v>148</v>
      </c>
      <c r="I32" s="110" t="s">
        <v>343</v>
      </c>
      <c r="J32" s="110" t="s">
        <v>667</v>
      </c>
      <c r="K32" s="110" t="s">
        <v>672</v>
      </c>
      <c r="L32" s="110" t="s">
        <v>1565</v>
      </c>
      <c r="M32" s="110" t="s">
        <v>1573</v>
      </c>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8"/>
    </row>
    <row r="33" spans="1:47" ht="60" customHeight="1" x14ac:dyDescent="0.35">
      <c r="A33" s="116" t="s">
        <v>2899</v>
      </c>
      <c r="B33" s="106" t="s">
        <v>2900</v>
      </c>
      <c r="C33" s="107" t="s">
        <v>2901</v>
      </c>
      <c r="D33" s="107" t="s">
        <v>2902</v>
      </c>
      <c r="E33" s="107" t="s">
        <v>19</v>
      </c>
      <c r="F33" s="108" t="s">
        <v>2903</v>
      </c>
      <c r="G33" s="109" t="str">
        <f>IF(COUNTIF(H33:AU33,"&lt;&gt;")=0,"",SUMPRODUCT(((Recommendations[ImplStatus]="Implemented")+(Recommendations[ImplStatus]="Compensated"))*ISNUMBER(MATCH(Recommendations[Id],H33:AU33,0)))/COUNTIF(H33:AU33,"&lt;&gt;"))</f>
        <v/>
      </c>
      <c r="H33" s="110"/>
      <c r="I33" s="110"/>
      <c r="J33" s="110"/>
      <c r="K33" s="110"/>
      <c r="L33" s="110"/>
      <c r="M33" s="110"/>
      <c r="N33" s="110"/>
      <c r="O33" s="110"/>
      <c r="P33" s="110"/>
      <c r="Q33" s="110"/>
      <c r="R33" s="110"/>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8"/>
    </row>
    <row r="34" spans="1:47" ht="60" customHeight="1" x14ac:dyDescent="0.35">
      <c r="A34" s="116" t="s">
        <v>2904</v>
      </c>
      <c r="B34" s="106" t="s">
        <v>2905</v>
      </c>
      <c r="C34" s="107" t="s">
        <v>2906</v>
      </c>
      <c r="D34" s="107" t="s">
        <v>2907</v>
      </c>
      <c r="E34" s="107" t="s">
        <v>19</v>
      </c>
      <c r="F34" s="108" t="s">
        <v>2908</v>
      </c>
      <c r="G34" s="109">
        <f>IF(COUNTIF(H34:AU34,"&lt;&gt;")=0,"",SUMPRODUCT(((Recommendations[ImplStatus]="Implemented")+(Recommendations[ImplStatus]="Compensated"))*ISNUMBER(MATCH(Recommendations[Id],H34:AU34,0)))/COUNTIF(H34:AU34,"&lt;&gt;"))</f>
        <v>0</v>
      </c>
      <c r="H34" s="110" t="s">
        <v>159</v>
      </c>
      <c r="I34" s="110" t="s">
        <v>174</v>
      </c>
      <c r="J34" s="110" t="s">
        <v>179</v>
      </c>
      <c r="K34" s="110" t="s">
        <v>183</v>
      </c>
      <c r="L34" s="110" t="s">
        <v>187</v>
      </c>
      <c r="M34" s="110" t="s">
        <v>191</v>
      </c>
      <c r="N34" s="110" t="s">
        <v>195</v>
      </c>
      <c r="O34" s="110" t="s">
        <v>204</v>
      </c>
      <c r="P34" s="110" t="s">
        <v>209</v>
      </c>
      <c r="Q34" s="110" t="s">
        <v>213</v>
      </c>
      <c r="R34" s="110" t="s">
        <v>217</v>
      </c>
      <c r="S34" s="110" t="s">
        <v>221</v>
      </c>
      <c r="T34" s="110" t="s">
        <v>225</v>
      </c>
      <c r="U34" s="110" t="s">
        <v>368</v>
      </c>
      <c r="V34" s="110" t="s">
        <v>373</v>
      </c>
      <c r="W34" s="110" t="s">
        <v>378</v>
      </c>
      <c r="X34" s="110" t="s">
        <v>427</v>
      </c>
      <c r="Y34" s="110" t="s">
        <v>446</v>
      </c>
      <c r="Z34" s="110" t="s">
        <v>464</v>
      </c>
      <c r="AA34" s="110" t="s">
        <v>469</v>
      </c>
      <c r="AB34" s="110" t="s">
        <v>511</v>
      </c>
      <c r="AC34" s="110" t="s">
        <v>516</v>
      </c>
      <c r="AD34" s="110" t="s">
        <v>521</v>
      </c>
      <c r="AE34" s="110" t="s">
        <v>526</v>
      </c>
      <c r="AF34" s="110" t="s">
        <v>531</v>
      </c>
      <c r="AG34" s="110" t="s">
        <v>536</v>
      </c>
      <c r="AH34" s="110" t="s">
        <v>540</v>
      </c>
      <c r="AI34" s="110" t="s">
        <v>545</v>
      </c>
      <c r="AJ34" s="110" t="s">
        <v>550</v>
      </c>
      <c r="AK34" s="110" t="s">
        <v>555</v>
      </c>
      <c r="AL34" s="110" t="s">
        <v>559</v>
      </c>
      <c r="AM34" s="110" t="s">
        <v>564</v>
      </c>
      <c r="AN34" s="110" t="s">
        <v>569</v>
      </c>
      <c r="AO34" s="110" t="s">
        <v>574</v>
      </c>
      <c r="AP34" s="110" t="s">
        <v>864</v>
      </c>
      <c r="AQ34" s="110" t="s">
        <v>869</v>
      </c>
      <c r="AR34" s="110" t="s">
        <v>874</v>
      </c>
      <c r="AS34" s="110" t="s">
        <v>921</v>
      </c>
      <c r="AT34" s="110" t="s">
        <v>926</v>
      </c>
      <c r="AU34" s="118" t="s">
        <v>930</v>
      </c>
    </row>
    <row r="35" spans="1:47" ht="60" customHeight="1" x14ac:dyDescent="0.35">
      <c r="A35" s="116" t="s">
        <v>2909</v>
      </c>
      <c r="B35" s="106" t="s">
        <v>2910</v>
      </c>
      <c r="C35" s="107" t="s">
        <v>2911</v>
      </c>
      <c r="D35" s="107" t="s">
        <v>2912</v>
      </c>
      <c r="E35" s="107" t="s">
        <v>2913</v>
      </c>
      <c r="F35" s="108" t="s">
        <v>2914</v>
      </c>
      <c r="G35" s="109" t="str">
        <f>IF(COUNTIF(H35:AU35,"&lt;&gt;")=0,"",SUMPRODUCT(((Recommendations[ImplStatus]="Implemented")+(Recommendations[ImplStatus]="Compensated"))*ISNUMBER(MATCH(Recommendations[Id],H35:AU35,0)))/COUNTIF(H35:AU35,"&lt;&gt;"))</f>
        <v/>
      </c>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8"/>
    </row>
    <row r="36" spans="1:47" ht="60" customHeight="1" x14ac:dyDescent="0.35">
      <c r="A36" s="116" t="s">
        <v>2915</v>
      </c>
      <c r="B36" s="106" t="s">
        <v>2916</v>
      </c>
      <c r="C36" s="107" t="s">
        <v>2917</v>
      </c>
      <c r="D36" s="107" t="s">
        <v>2918</v>
      </c>
      <c r="E36" s="107" t="s">
        <v>2919</v>
      </c>
      <c r="F36" s="108" t="s">
        <v>2920</v>
      </c>
      <c r="G36" s="109" t="str">
        <f>IF(COUNTIF(H36:AU36,"&lt;&gt;")=0,"",SUMPRODUCT(((Recommendations[ImplStatus]="Implemented")+(Recommendations[ImplStatus]="Compensated"))*ISNUMBER(MATCH(Recommendations[Id],H36:AU36,0)))/COUNTIF(H36:AU36,"&lt;&gt;"))</f>
        <v/>
      </c>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8"/>
    </row>
    <row r="37" spans="1:47" ht="60" customHeight="1" x14ac:dyDescent="0.35">
      <c r="A37" s="116" t="s">
        <v>2921</v>
      </c>
      <c r="B37" s="106" t="s">
        <v>2922</v>
      </c>
      <c r="C37" s="107" t="s">
        <v>2923</v>
      </c>
      <c r="D37" s="107" t="s">
        <v>2924</v>
      </c>
      <c r="E37" s="107" t="s">
        <v>19</v>
      </c>
      <c r="F37" s="108" t="s">
        <v>2925</v>
      </c>
      <c r="G37" s="109" t="str">
        <f>IF(COUNTIF(H37:AU37,"&lt;&gt;")=0,"",SUMPRODUCT(((Recommendations[ImplStatus]="Implemented")+(Recommendations[ImplStatus]="Compensated"))*ISNUMBER(MATCH(Recommendations[Id],H37:AU37,0)))/COUNTIF(H37:AU37,"&lt;&gt;"))</f>
        <v/>
      </c>
      <c r="H37" s="110"/>
      <c r="I37" s="110"/>
      <c r="J37" s="110"/>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8"/>
    </row>
    <row r="38" spans="1:47" ht="60" customHeight="1" x14ac:dyDescent="0.35">
      <c r="A38" s="116" t="s">
        <v>2926</v>
      </c>
      <c r="B38" s="106" t="s">
        <v>2927</v>
      </c>
      <c r="C38" s="107" t="s">
        <v>2928</v>
      </c>
      <c r="D38" s="107" t="s">
        <v>2929</v>
      </c>
      <c r="E38" s="107" t="s">
        <v>2930</v>
      </c>
      <c r="F38" s="108" t="s">
        <v>2931</v>
      </c>
      <c r="G38" s="109" t="str">
        <f>IF(COUNTIF(H38:AU38,"&lt;&gt;")=0,"",SUMPRODUCT(((Recommendations[ImplStatus]="Implemented")+(Recommendations[ImplStatus]="Compensated"))*ISNUMBER(MATCH(Recommendations[Id],H38:AU38,0)))/COUNTIF(H38:AU38,"&lt;&gt;"))</f>
        <v/>
      </c>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8"/>
    </row>
    <row r="39" spans="1:47" ht="60" customHeight="1" x14ac:dyDescent="0.35">
      <c r="A39" s="116" t="s">
        <v>2932</v>
      </c>
      <c r="B39" s="106" t="s">
        <v>2933</v>
      </c>
      <c r="C39" s="107" t="s">
        <v>2934</v>
      </c>
      <c r="D39" s="107" t="s">
        <v>2935</v>
      </c>
      <c r="E39" s="107" t="s">
        <v>19</v>
      </c>
      <c r="F39" s="108" t="s">
        <v>2936</v>
      </c>
      <c r="G39" s="109" t="str">
        <f>IF(COUNTIF(H39:AU39,"&lt;&gt;")=0,"",SUMPRODUCT(((Recommendations[ImplStatus]="Implemented")+(Recommendations[ImplStatus]="Compensated"))*ISNUMBER(MATCH(Recommendations[Id],H39:AU39,0)))/COUNTIF(H39:AU39,"&lt;&gt;"))</f>
        <v/>
      </c>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8"/>
    </row>
    <row r="40" spans="1:47" ht="60" customHeight="1" x14ac:dyDescent="0.35">
      <c r="A40" s="116" t="s">
        <v>2937</v>
      </c>
      <c r="B40" s="106" t="s">
        <v>2938</v>
      </c>
      <c r="C40" s="107" t="s">
        <v>2939</v>
      </c>
      <c r="D40" s="107" t="s">
        <v>2940</v>
      </c>
      <c r="E40" s="107" t="s">
        <v>2941</v>
      </c>
      <c r="F40" s="108" t="s">
        <v>2942</v>
      </c>
      <c r="G40" s="109" t="str">
        <f>IF(COUNTIF(H40:AU40,"&lt;&gt;")=0,"",SUMPRODUCT(((Recommendations[ImplStatus]="Implemented")+(Recommendations[ImplStatus]="Compensated"))*ISNUMBER(MATCH(Recommendations[Id],H40:AU40,0)))/COUNTIF(H40:AU40,"&lt;&gt;"))</f>
        <v/>
      </c>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8"/>
    </row>
    <row r="41" spans="1:47" ht="60" customHeight="1" x14ac:dyDescent="0.35">
      <c r="A41" s="116" t="s">
        <v>2943</v>
      </c>
      <c r="B41" s="106" t="s">
        <v>2944</v>
      </c>
      <c r="C41" s="107" t="s">
        <v>2945</v>
      </c>
      <c r="D41" s="107" t="s">
        <v>2946</v>
      </c>
      <c r="E41" s="107" t="s">
        <v>2947</v>
      </c>
      <c r="F41" s="108" t="s">
        <v>2948</v>
      </c>
      <c r="G41" s="109">
        <f>IF(COUNTIF(H41:AU41,"&lt;&gt;")=0,"",SUMPRODUCT(((Recommendations[ImplStatus]="Implemented")+(Recommendations[ImplStatus]="Compensated"))*ISNUMBER(MATCH(Recommendations[Id],H41:AU41,0)))/COUNTIF(H41:AU41,"&lt;&gt;"))</f>
        <v>0</v>
      </c>
      <c r="H41" s="110" t="s">
        <v>27</v>
      </c>
      <c r="I41" s="110" t="s">
        <v>33</v>
      </c>
      <c r="J41" s="110" t="s">
        <v>153</v>
      </c>
      <c r="K41" s="110"/>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8"/>
    </row>
    <row r="42" spans="1:47" ht="60" customHeight="1" x14ac:dyDescent="0.35">
      <c r="A42" s="116" t="s">
        <v>2949</v>
      </c>
      <c r="B42" s="106" t="s">
        <v>2950</v>
      </c>
      <c r="C42" s="107" t="s">
        <v>2951</v>
      </c>
      <c r="D42" s="107" t="s">
        <v>2952</v>
      </c>
      <c r="E42" s="107" t="s">
        <v>2953</v>
      </c>
      <c r="F42" s="108" t="s">
        <v>2954</v>
      </c>
      <c r="G42" s="109" t="str">
        <f>IF(COUNTIF(H42:AU42,"&lt;&gt;")=0,"",SUMPRODUCT(((Recommendations[ImplStatus]="Implemented")+(Recommendations[ImplStatus]="Compensated"))*ISNUMBER(MATCH(Recommendations[Id],H42:AU42,0)))/COUNTIF(H42:AU42,"&lt;&gt;"))</f>
        <v/>
      </c>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8"/>
    </row>
    <row r="43" spans="1:47" ht="60" customHeight="1" x14ac:dyDescent="0.35">
      <c r="A43" s="116" t="s">
        <v>2955</v>
      </c>
      <c r="B43" s="106" t="s">
        <v>2956</v>
      </c>
      <c r="C43" s="107" t="s">
        <v>2957</v>
      </c>
      <c r="D43" s="107" t="s">
        <v>2958</v>
      </c>
      <c r="E43" s="107" t="s">
        <v>2959</v>
      </c>
      <c r="F43" s="108" t="s">
        <v>2960</v>
      </c>
      <c r="G43" s="109">
        <f>IF(COUNTIF(H43:AU43,"&lt;&gt;")=0,"",SUMPRODUCT(((Recommendations[ImplStatus]="Implemented")+(Recommendations[ImplStatus]="Compensated"))*ISNUMBER(MATCH(Recommendations[Id],H43:AU43,0)))/COUNTIF(H43:AU43,"&lt;&gt;"))</f>
        <v>0</v>
      </c>
      <c r="H43" s="110" t="s">
        <v>588</v>
      </c>
      <c r="I43" s="110" t="s">
        <v>720</v>
      </c>
      <c r="J43" s="110" t="s">
        <v>788</v>
      </c>
      <c r="K43" s="110" t="s">
        <v>798</v>
      </c>
      <c r="L43" s="110" t="s">
        <v>803</v>
      </c>
      <c r="M43" s="110" t="s">
        <v>816</v>
      </c>
      <c r="N43" s="110" t="s">
        <v>841</v>
      </c>
      <c r="O43" s="110"/>
      <c r="P43" s="110"/>
      <c r="Q43" s="110"/>
      <c r="R43" s="110"/>
      <c r="S43" s="110"/>
      <c r="T43" s="110"/>
      <c r="U43" s="110"/>
      <c r="V43" s="110"/>
      <c r="W43" s="110"/>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8"/>
    </row>
    <row r="44" spans="1:47" ht="60" customHeight="1" x14ac:dyDescent="0.35">
      <c r="A44" s="116" t="s">
        <v>2961</v>
      </c>
      <c r="B44" s="106" t="s">
        <v>2962</v>
      </c>
      <c r="C44" s="107" t="s">
        <v>2963</v>
      </c>
      <c r="D44" s="107" t="s">
        <v>2964</v>
      </c>
      <c r="E44" s="107" t="s">
        <v>19</v>
      </c>
      <c r="F44" s="108" t="s">
        <v>2965</v>
      </c>
      <c r="G44" s="109" t="str">
        <f>IF(COUNTIF(H44:AU44,"&lt;&gt;")=0,"",SUMPRODUCT(((Recommendations[ImplStatus]="Implemented")+(Recommendations[ImplStatus]="Compensated"))*ISNUMBER(MATCH(Recommendations[Id],H44:AU44,0)))/COUNTIF(H44:AU44,"&lt;&gt;"))</f>
        <v/>
      </c>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8"/>
    </row>
    <row r="45" spans="1:47" ht="60" customHeight="1" x14ac:dyDescent="0.35">
      <c r="A45" s="117" t="s">
        <v>2966</v>
      </c>
      <c r="B45" s="111" t="s">
        <v>2967</v>
      </c>
      <c r="C45" s="112" t="s">
        <v>2968</v>
      </c>
      <c r="D45" s="112" t="s">
        <v>2969</v>
      </c>
      <c r="E45" s="112" t="s">
        <v>2970</v>
      </c>
      <c r="F45" s="113" t="s">
        <v>2971</v>
      </c>
      <c r="G45" s="114" t="str">
        <f>IF(COUNTIF(H45:AU45,"&lt;&gt;")=0,"",SUMPRODUCT(((Recommendations[ImplStatus]="Implemented")+(Recommendations[ImplStatus]="Compensated"))*ISNUMBER(MATCH(Recommendations[Id],H45:AU45,0)))/COUNTIF(H45:AU45,"&lt;&gt;"))</f>
        <v/>
      </c>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9"/>
    </row>
    <row r="49" spans="1:4" ht="32" customHeight="1" x14ac:dyDescent="0.35">
      <c r="A49" s="288" t="s">
        <v>1787</v>
      </c>
      <c r="B49" s="288"/>
      <c r="C49" s="288"/>
      <c r="D49" s="288"/>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IFERROR(INDEX('Recommendations'!$G$2:$G$376, MATCH(H2,'Recommendations'!$A$2:$A$376,0))="Implemented", FALSE))</xm:f>
            <x14:dxf>
              <font>
                <color rgb="FF000000"/>
              </font>
              <fill>
                <patternFill>
                  <bgColor rgb="FF3C7D22"/>
                </patternFill>
              </fill>
            </x14:dxf>
          </x14:cfRule>
          <x14:cfRule type="expression" priority="2" id="{00000000-000E-0000-0500-000002000000}">
            <xm:f>AND(H2&lt;&gt;"", IFERROR(INDEX('Recommendations'!$G$2:$G$376, MATCH(H2,'Recommendations'!$A$2:$A$376,0))="Compensated", FALSE))</xm:f>
            <x14:dxf>
              <font>
                <color rgb="FF000000"/>
              </font>
              <fill>
                <patternFill>
                  <bgColor rgb="FFC6E0B4"/>
                </patternFill>
              </fill>
            </x14:dxf>
          </x14:cfRule>
          <x14:cfRule type="expression" priority="3" id="{00000000-000E-0000-0500-000003000000}">
            <xm:f>AND(H2&lt;&gt;"", IFERROR(INDEX('Recommendations'!$G$2:$G$376, MATCH(H2,'Recommendations'!$A$2:$A$376,0))="Testing", FALSE))</xm:f>
            <x14:dxf>
              <font>
                <color rgb="FF000000"/>
              </font>
              <fill>
                <patternFill>
                  <bgColor rgb="FFFFC000"/>
                </patternFill>
              </fill>
            </x14:dxf>
          </x14:cfRule>
          <x14:cfRule type="expression" priority="4" id="{00000000-000E-0000-0500-000004000000}">
            <xm:f>AND(H2&lt;&gt;"", IFERROR(INDEX('Recommendations'!$G$2:$G$376, MATCH(H2,'Recommendations'!$A$2:$A$376,0))="Failed", FALSE))</xm:f>
            <x14:dxf>
              <font>
                <color rgb="FF000000"/>
              </font>
              <fill>
                <patternFill>
                  <bgColor rgb="FFD82891"/>
                </patternFill>
              </fill>
            </x14:dxf>
          </x14:cfRule>
          <x14:cfRule type="expression" priority="5" id="{00000000-000E-0000-0500-000005000000}">
            <xm:f>AND(H2&lt;&gt;"", IFERROR(INDEX('Recommendations'!$G$2:$G$376, MATCH(H2,'Recommendations'!$A$2:$A$376,0))="Risk Accepted", FALSE))</xm:f>
            <x14:dxf>
              <font>
                <color rgb="FF000000"/>
              </font>
              <fill>
                <patternFill>
                  <bgColor rgb="FFD9D9D9"/>
                </patternFill>
              </fill>
            </x14:dxf>
          </x14:cfRule>
          <x14:cfRule type="expression" priority="6" id="{00000000-000E-0000-0500-000006000000}">
            <xm:f>AND(H2&lt;&gt;"", IFERROR(INDEX('Recommendations'!$G$2:$G$376, MATCH(H2,'Recommendations'!$A$2:$A$376,0))="N/A",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4" t="s">
        <v>2972</v>
      </c>
      <c r="B1" s="145" t="s">
        <v>2026</v>
      </c>
      <c r="C1" s="145" t="s">
        <v>0</v>
      </c>
      <c r="D1" s="145" t="s">
        <v>2027</v>
      </c>
      <c r="E1" s="145" t="s">
        <v>2973</v>
      </c>
      <c r="F1" s="145" t="s">
        <v>2974</v>
      </c>
      <c r="G1" s="145" t="s">
        <v>2975</v>
      </c>
      <c r="H1" s="145" t="s">
        <v>2976</v>
      </c>
      <c r="I1" s="145" t="s">
        <v>2032</v>
      </c>
      <c r="J1" s="145" t="s">
        <v>2033</v>
      </c>
      <c r="K1" s="145" t="s">
        <v>2034</v>
      </c>
      <c r="L1" s="145" t="s">
        <v>2035</v>
      </c>
      <c r="M1" s="145" t="s">
        <v>2036</v>
      </c>
      <c r="N1" s="145" t="s">
        <v>2037</v>
      </c>
      <c r="O1" s="145" t="s">
        <v>2038</v>
      </c>
      <c r="P1" s="145" t="s">
        <v>2039</v>
      </c>
      <c r="Q1" s="145" t="s">
        <v>2040</v>
      </c>
      <c r="R1" s="145" t="s">
        <v>2041</v>
      </c>
      <c r="S1" s="145" t="s">
        <v>2042</v>
      </c>
      <c r="T1" s="145" t="s">
        <v>2043</v>
      </c>
      <c r="U1" s="145" t="s">
        <v>2044</v>
      </c>
      <c r="V1" s="145" t="s">
        <v>2045</v>
      </c>
      <c r="W1" s="145" t="s">
        <v>2046</v>
      </c>
      <c r="X1" s="145" t="s">
        <v>2047</v>
      </c>
      <c r="Y1" s="145" t="s">
        <v>2048</v>
      </c>
      <c r="Z1" s="145" t="s">
        <v>2049</v>
      </c>
      <c r="AA1" s="145" t="s">
        <v>2050</v>
      </c>
      <c r="AB1" s="145" t="s">
        <v>2051</v>
      </c>
      <c r="AC1" s="145" t="s">
        <v>2052</v>
      </c>
      <c r="AD1" s="145" t="s">
        <v>2053</v>
      </c>
      <c r="AE1" s="145" t="s">
        <v>2054</v>
      </c>
      <c r="AF1" s="145" t="s">
        <v>2055</v>
      </c>
      <c r="AG1" s="145" t="s">
        <v>2056</v>
      </c>
      <c r="AH1" s="145" t="s">
        <v>2057</v>
      </c>
      <c r="AI1" s="145" t="s">
        <v>2058</v>
      </c>
      <c r="AJ1" s="145" t="s">
        <v>2059</v>
      </c>
      <c r="AK1" s="145" t="s">
        <v>2060</v>
      </c>
      <c r="AL1" s="145" t="s">
        <v>2061</v>
      </c>
      <c r="AM1" s="145" t="s">
        <v>2062</v>
      </c>
      <c r="AN1" s="145" t="s">
        <v>2063</v>
      </c>
      <c r="AO1" s="145" t="s">
        <v>2064</v>
      </c>
      <c r="AP1" s="145" t="s">
        <v>2065</v>
      </c>
      <c r="AQ1" s="145" t="s">
        <v>2066</v>
      </c>
      <c r="AR1" s="145" t="s">
        <v>2067</v>
      </c>
      <c r="AS1" s="145" t="s">
        <v>2068</v>
      </c>
      <c r="AT1" s="145" t="s">
        <v>2069</v>
      </c>
      <c r="AU1" s="145" t="s">
        <v>2070</v>
      </c>
      <c r="AV1" s="145" t="s">
        <v>2071</v>
      </c>
      <c r="AW1" s="146" t="s">
        <v>2072</v>
      </c>
    </row>
    <row r="2" spans="1:49" ht="60" customHeight="1" outlineLevel="1" x14ac:dyDescent="0.35">
      <c r="A2" s="138" t="s">
        <v>2977</v>
      </c>
      <c r="B2" s="124"/>
      <c r="C2" s="123" t="s">
        <v>2978</v>
      </c>
      <c r="D2" s="127"/>
      <c r="E2" s="127"/>
      <c r="F2" s="127"/>
      <c r="G2" s="127"/>
      <c r="H2" s="127"/>
      <c r="I2" s="129" t="str">
        <f>IF(COUNTIF(J2:AW2,"&lt;&gt;")=0,"",SUMPRODUCT(((Recommendations[ImplStatus]="Implemented")+(Recommendations[ImplStatus]="Compensated"))*ISNUMBER(MATCH(Recommendations[Id],J2:AW2,0)))/COUNTIF(J2:AW2,"&lt;&gt;"))</f>
        <v/>
      </c>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41"/>
    </row>
    <row r="3" spans="1:49" ht="60" customHeight="1" x14ac:dyDescent="0.35">
      <c r="A3" s="139" t="s">
        <v>2977</v>
      </c>
      <c r="B3" s="125" t="s">
        <v>2243</v>
      </c>
      <c r="C3" s="126" t="s">
        <v>2979</v>
      </c>
      <c r="D3" s="128" t="s">
        <v>2980</v>
      </c>
      <c r="E3" s="128" t="s">
        <v>2981</v>
      </c>
      <c r="F3" s="128" t="s">
        <v>2982</v>
      </c>
      <c r="G3" s="128" t="s">
        <v>2983</v>
      </c>
      <c r="H3" s="128" t="s">
        <v>2984</v>
      </c>
      <c r="I3" s="130">
        <f>IF(COUNTIF(J3:AW3,"&lt;&gt;")=0,"",SUMPRODUCT(((Recommendations[ImplStatus]="Implemented")+(Recommendations[ImplStatus]="Compensated"))*ISNUMBER(MATCH(Recommendations[Id],J3:AW3,0)))/COUNTIF(J3:AW3,"&lt;&gt;"))</f>
        <v>0</v>
      </c>
      <c r="J3" s="132" t="s">
        <v>588</v>
      </c>
      <c r="K3" s="132" t="s">
        <v>788</v>
      </c>
      <c r="L3" s="132" t="s">
        <v>798</v>
      </c>
      <c r="M3" s="132" t="s">
        <v>803</v>
      </c>
      <c r="N3" s="132" t="s">
        <v>816</v>
      </c>
      <c r="O3" s="132" t="s">
        <v>841</v>
      </c>
      <c r="P3" s="132"/>
      <c r="Q3" s="132"/>
      <c r="R3" s="132"/>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42"/>
    </row>
    <row r="4" spans="1:49" ht="60" customHeight="1" x14ac:dyDescent="0.35">
      <c r="A4" s="139" t="s">
        <v>2977</v>
      </c>
      <c r="B4" s="125" t="s">
        <v>2985</v>
      </c>
      <c r="C4" s="126" t="s">
        <v>2986</v>
      </c>
      <c r="D4" s="128" t="s">
        <v>2987</v>
      </c>
      <c r="E4" s="128" t="s">
        <v>2988</v>
      </c>
      <c r="F4" s="128" t="s">
        <v>2989</v>
      </c>
      <c r="G4" s="128" t="s">
        <v>2990</v>
      </c>
      <c r="H4" s="128" t="s">
        <v>2991</v>
      </c>
      <c r="I4" s="130">
        <f>IF(COUNTIF(J4:AW4,"&lt;&gt;")=0,"",SUMPRODUCT(((Recommendations[ImplStatus]="Implemented")+(Recommendations[ImplStatus]="Compensated"))*ISNUMBER(MATCH(Recommendations[Id],J4:AW4,0)))/COUNTIF(J4:AW4,"&lt;&gt;"))</f>
        <v>0</v>
      </c>
      <c r="J4" s="132" t="s">
        <v>148</v>
      </c>
      <c r="K4" s="132" t="s">
        <v>343</v>
      </c>
      <c r="L4" s="132" t="s">
        <v>667</v>
      </c>
      <c r="M4" s="132" t="s">
        <v>672</v>
      </c>
      <c r="N4" s="132"/>
      <c r="O4" s="132"/>
      <c r="P4" s="132"/>
      <c r="Q4" s="132"/>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42"/>
    </row>
    <row r="5" spans="1:49" ht="60" customHeight="1" x14ac:dyDescent="0.35">
      <c r="A5" s="139" t="s">
        <v>2977</v>
      </c>
      <c r="B5" s="125" t="s">
        <v>2992</v>
      </c>
      <c r="C5" s="126" t="s">
        <v>2993</v>
      </c>
      <c r="D5" s="128" t="s">
        <v>2994</v>
      </c>
      <c r="E5" s="128" t="s">
        <v>2995</v>
      </c>
      <c r="F5" s="128" t="s">
        <v>2996</v>
      </c>
      <c r="G5" s="128" t="s">
        <v>2997</v>
      </c>
      <c r="H5" s="128" t="s">
        <v>2998</v>
      </c>
      <c r="I5" s="130" t="str">
        <f>IF(COUNTIF(J5:AW5,"&lt;&gt;")=0,"",SUMPRODUCT(((Recommendations[ImplStatus]="Implemented")+(Recommendations[ImplStatus]="Compensated"))*ISNUMBER(MATCH(Recommendations[Id],J5:AW5,0)))/COUNTIF(J5:AW5,"&lt;&gt;"))</f>
        <v/>
      </c>
      <c r="J5" s="132"/>
      <c r="K5" s="132"/>
      <c r="L5" s="132"/>
      <c r="M5" s="132"/>
      <c r="N5" s="132"/>
      <c r="O5" s="132"/>
      <c r="P5" s="132"/>
      <c r="Q5" s="132"/>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42"/>
    </row>
    <row r="6" spans="1:49" ht="60" customHeight="1" x14ac:dyDescent="0.35">
      <c r="A6" s="139" t="s">
        <v>2977</v>
      </c>
      <c r="B6" s="125" t="s">
        <v>2999</v>
      </c>
      <c r="C6" s="126" t="s">
        <v>3000</v>
      </c>
      <c r="D6" s="128" t="s">
        <v>3001</v>
      </c>
      <c r="E6" s="128" t="s">
        <v>3002</v>
      </c>
      <c r="F6" s="128" t="s">
        <v>3003</v>
      </c>
      <c r="G6" s="128" t="s">
        <v>3004</v>
      </c>
      <c r="H6" s="128" t="s">
        <v>3005</v>
      </c>
      <c r="I6" s="130" t="str">
        <f>IF(COUNTIF(J6:AW6,"&lt;&gt;")=0,"",SUMPRODUCT(((Recommendations[ImplStatus]="Implemented")+(Recommendations[ImplStatus]="Compensated"))*ISNUMBER(MATCH(Recommendations[Id],J6:AW6,0)))/COUNTIF(J6:AW6,"&lt;&gt;"))</f>
        <v/>
      </c>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42"/>
    </row>
    <row r="7" spans="1:49" ht="60" customHeight="1" x14ac:dyDescent="0.35">
      <c r="A7" s="139" t="s">
        <v>2977</v>
      </c>
      <c r="B7" s="125" t="s">
        <v>3006</v>
      </c>
      <c r="C7" s="126" t="s">
        <v>3007</v>
      </c>
      <c r="D7" s="128" t="s">
        <v>3008</v>
      </c>
      <c r="E7" s="128" t="s">
        <v>3009</v>
      </c>
      <c r="F7" s="128" t="s">
        <v>3010</v>
      </c>
      <c r="G7" s="128" t="s">
        <v>3011</v>
      </c>
      <c r="H7" s="128" t="s">
        <v>3012</v>
      </c>
      <c r="I7" s="130" t="str">
        <f>IF(COUNTIF(J7:AW7,"&lt;&gt;")=0,"",SUMPRODUCT(((Recommendations[ImplStatus]="Implemented")+(Recommendations[ImplStatus]="Compensated"))*ISNUMBER(MATCH(Recommendations[Id],J7:AW7,0)))/COUNTIF(J7:AW7,"&lt;&gt;"))</f>
        <v/>
      </c>
      <c r="J7" s="132"/>
      <c r="K7" s="132"/>
      <c r="L7" s="132"/>
      <c r="M7" s="132"/>
      <c r="N7" s="132"/>
      <c r="O7" s="132"/>
      <c r="P7" s="132"/>
      <c r="Q7" s="132"/>
      <c r="R7" s="132"/>
      <c r="S7" s="132"/>
      <c r="T7" s="132"/>
      <c r="U7" s="132"/>
      <c r="V7" s="132"/>
      <c r="W7" s="132"/>
      <c r="X7" s="132"/>
      <c r="Y7" s="132"/>
      <c r="Z7" s="132"/>
      <c r="AA7" s="132"/>
      <c r="AB7" s="132"/>
      <c r="AC7" s="132"/>
      <c r="AD7" s="132"/>
      <c r="AE7" s="132"/>
      <c r="AF7" s="132"/>
      <c r="AG7" s="132"/>
      <c r="AH7" s="132"/>
      <c r="AI7" s="132"/>
      <c r="AJ7" s="132"/>
      <c r="AK7" s="132"/>
      <c r="AL7" s="132"/>
      <c r="AM7" s="132"/>
      <c r="AN7" s="132"/>
      <c r="AO7" s="132"/>
      <c r="AP7" s="132"/>
      <c r="AQ7" s="132"/>
      <c r="AR7" s="132"/>
      <c r="AS7" s="132"/>
      <c r="AT7" s="132"/>
      <c r="AU7" s="132"/>
      <c r="AV7" s="132"/>
      <c r="AW7" s="142"/>
    </row>
    <row r="8" spans="1:49" ht="60" customHeight="1" x14ac:dyDescent="0.35">
      <c r="A8" s="139" t="s">
        <v>2977</v>
      </c>
      <c r="B8" s="125" t="s">
        <v>3013</v>
      </c>
      <c r="C8" s="126" t="s">
        <v>3014</v>
      </c>
      <c r="D8" s="128" t="s">
        <v>3015</v>
      </c>
      <c r="E8" s="128" t="s">
        <v>3016</v>
      </c>
      <c r="F8" s="128" t="s">
        <v>3017</v>
      </c>
      <c r="G8" s="128" t="s">
        <v>3011</v>
      </c>
      <c r="H8" s="128" t="s">
        <v>3018</v>
      </c>
      <c r="I8" s="130">
        <f>IF(COUNTIF(J8:AW8,"&lt;&gt;")=0,"",SUMPRODUCT(((Recommendations[ImplStatus]="Implemented")+(Recommendations[ImplStatus]="Compensated"))*ISNUMBER(MATCH(Recommendations[Id],J8:AW8,0)))/COUNTIF(J8:AW8,"&lt;&gt;"))</f>
        <v>0</v>
      </c>
      <c r="J8" s="132" t="s">
        <v>269</v>
      </c>
      <c r="K8" s="132" t="s">
        <v>274</v>
      </c>
      <c r="L8" s="132" t="s">
        <v>278</v>
      </c>
      <c r="M8" s="132" t="s">
        <v>283</v>
      </c>
      <c r="N8" s="132" t="s">
        <v>417</v>
      </c>
      <c r="O8" s="132" t="s">
        <v>1493</v>
      </c>
      <c r="P8" s="132" t="s">
        <v>1565</v>
      </c>
      <c r="Q8" s="132" t="s">
        <v>1648</v>
      </c>
      <c r="R8" s="132" t="s">
        <v>1675</v>
      </c>
      <c r="S8" s="132" t="s">
        <v>1680</v>
      </c>
      <c r="T8" s="132"/>
      <c r="U8" s="132"/>
      <c r="V8" s="132"/>
      <c r="W8" s="132"/>
      <c r="X8" s="132"/>
      <c r="Y8" s="132"/>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42"/>
    </row>
    <row r="9" spans="1:49" ht="60" customHeight="1" x14ac:dyDescent="0.35">
      <c r="A9" s="139" t="s">
        <v>2977</v>
      </c>
      <c r="B9" s="125" t="s">
        <v>3019</v>
      </c>
      <c r="C9" s="126" t="s">
        <v>3020</v>
      </c>
      <c r="D9" s="128" t="s">
        <v>3021</v>
      </c>
      <c r="E9" s="128" t="s">
        <v>3022</v>
      </c>
      <c r="F9" s="128" t="s">
        <v>3023</v>
      </c>
      <c r="G9" s="128" t="s">
        <v>3024</v>
      </c>
      <c r="H9" s="128" t="s">
        <v>3025</v>
      </c>
      <c r="I9" s="130">
        <f>IF(COUNTIF(J9:AW9,"&lt;&gt;")=0,"",SUMPRODUCT(((Recommendations[ImplStatus]="Implemented")+(Recommendations[ImplStatus]="Compensated"))*ISNUMBER(MATCH(Recommendations[Id],J9:AW9,0)))/COUNTIF(J9:AW9,"&lt;&gt;"))</f>
        <v>0</v>
      </c>
      <c r="J9" s="132" t="s">
        <v>269</v>
      </c>
      <c r="K9" s="132" t="s">
        <v>274</v>
      </c>
      <c r="L9" s="132" t="s">
        <v>278</v>
      </c>
      <c r="M9" s="132" t="s">
        <v>283</v>
      </c>
      <c r="N9" s="132" t="s">
        <v>878</v>
      </c>
      <c r="O9" s="132" t="s">
        <v>1648</v>
      </c>
      <c r="P9" s="132" t="s">
        <v>1675</v>
      </c>
      <c r="Q9" s="132" t="s">
        <v>1680</v>
      </c>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42"/>
    </row>
    <row r="10" spans="1:49" ht="60" customHeight="1" x14ac:dyDescent="0.35">
      <c r="A10" s="139" t="s">
        <v>2977</v>
      </c>
      <c r="B10" s="125" t="s">
        <v>3026</v>
      </c>
      <c r="C10" s="126" t="s">
        <v>3027</v>
      </c>
      <c r="D10" s="128" t="s">
        <v>3028</v>
      </c>
      <c r="E10" s="128" t="s">
        <v>3029</v>
      </c>
      <c r="F10" s="128" t="s">
        <v>3030</v>
      </c>
      <c r="G10" s="128" t="s">
        <v>3031</v>
      </c>
      <c r="H10" s="128" t="s">
        <v>3032</v>
      </c>
      <c r="I10" s="130">
        <f>IF(COUNTIF(J10:AW10,"&lt;&gt;")=0,"",SUMPRODUCT(((Recommendations[ImplStatus]="Implemented")+(Recommendations[ImplStatus]="Compensated"))*ISNUMBER(MATCH(Recommendations[Id],J10:AW10,0)))/COUNTIF(J10:AW10,"&lt;&gt;"))</f>
        <v>0</v>
      </c>
      <c r="J10" s="132" t="s">
        <v>593</v>
      </c>
      <c r="K10" s="132" t="s">
        <v>598</v>
      </c>
      <c r="L10" s="132" t="s">
        <v>603</v>
      </c>
      <c r="M10" s="132" t="s">
        <v>607</v>
      </c>
      <c r="N10" s="132" t="s">
        <v>611</v>
      </c>
      <c r="O10" s="132" t="s">
        <v>615</v>
      </c>
      <c r="P10" s="132" t="s">
        <v>619</v>
      </c>
      <c r="Q10" s="132" t="s">
        <v>623</v>
      </c>
      <c r="R10" s="132" t="s">
        <v>644</v>
      </c>
      <c r="S10" s="132" t="s">
        <v>648</v>
      </c>
      <c r="T10" s="132" t="s">
        <v>658</v>
      </c>
      <c r="U10" s="132" t="s">
        <v>663</v>
      </c>
      <c r="V10" s="132" t="s">
        <v>836</v>
      </c>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42"/>
    </row>
    <row r="11" spans="1:49" ht="60" customHeight="1" x14ac:dyDescent="0.35">
      <c r="A11" s="139" t="s">
        <v>2977</v>
      </c>
      <c r="B11" s="125" t="s">
        <v>3033</v>
      </c>
      <c r="C11" s="126" t="s">
        <v>3034</v>
      </c>
      <c r="D11" s="128" t="s">
        <v>3035</v>
      </c>
      <c r="E11" s="128" t="s">
        <v>3036</v>
      </c>
      <c r="F11" s="128" t="s">
        <v>3037</v>
      </c>
      <c r="G11" s="128" t="s">
        <v>3038</v>
      </c>
      <c r="H11" s="128" t="s">
        <v>3039</v>
      </c>
      <c r="I11" s="130">
        <f>IF(COUNTIF(J11:AW11,"&lt;&gt;")=0,"",SUMPRODUCT(((Recommendations[ImplStatus]="Implemented")+(Recommendations[ImplStatus]="Compensated"))*ISNUMBER(MATCH(Recommendations[Id],J11:AW11,0)))/COUNTIF(J11:AW11,"&lt;&gt;"))</f>
        <v>0</v>
      </c>
      <c r="J11" s="132" t="s">
        <v>48</v>
      </c>
      <c r="K11" s="132" t="s">
        <v>58</v>
      </c>
      <c r="L11" s="132" t="s">
        <v>63</v>
      </c>
      <c r="M11" s="132"/>
      <c r="N11" s="132"/>
      <c r="O11" s="132"/>
      <c r="P11" s="132"/>
      <c r="Q11" s="132"/>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42"/>
    </row>
    <row r="12" spans="1:49" ht="60" customHeight="1" x14ac:dyDescent="0.35">
      <c r="A12" s="139" t="s">
        <v>2977</v>
      </c>
      <c r="B12" s="125" t="s">
        <v>3040</v>
      </c>
      <c r="C12" s="126" t="s">
        <v>3041</v>
      </c>
      <c r="D12" s="128" t="s">
        <v>3042</v>
      </c>
      <c r="E12" s="128" t="s">
        <v>3043</v>
      </c>
      <c r="F12" s="128" t="s">
        <v>3044</v>
      </c>
      <c r="G12" s="128" t="s">
        <v>3031</v>
      </c>
      <c r="H12" s="128" t="s">
        <v>3045</v>
      </c>
      <c r="I12" s="130">
        <f>IF(COUNTIF(J12:AW12,"&lt;&gt;")=0,"",SUMPRODUCT(((Recommendations[ImplStatus]="Implemented")+(Recommendations[ImplStatus]="Compensated"))*ISNUMBER(MATCH(Recommendations[Id],J12:AW12,0)))/COUNTIF(J12:AW12,"&lt;&gt;"))</f>
        <v>0</v>
      </c>
      <c r="J12" s="132" t="s">
        <v>653</v>
      </c>
      <c r="K12" s="132" t="s">
        <v>677</v>
      </c>
      <c r="L12" s="132" t="s">
        <v>682</v>
      </c>
      <c r="M12" s="132" t="s">
        <v>692</v>
      </c>
      <c r="N12" s="132" t="s">
        <v>697</v>
      </c>
      <c r="O12" s="132" t="s">
        <v>702</v>
      </c>
      <c r="P12" s="132" t="s">
        <v>707</v>
      </c>
      <c r="Q12" s="132" t="s">
        <v>712</v>
      </c>
      <c r="R12" s="132" t="s">
        <v>716</v>
      </c>
      <c r="S12" s="132" t="s">
        <v>1723</v>
      </c>
      <c r="T12" s="132" t="s">
        <v>1733</v>
      </c>
      <c r="U12" s="132"/>
      <c r="V12" s="132"/>
      <c r="W12" s="132"/>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42"/>
    </row>
    <row r="13" spans="1:49" ht="60" customHeight="1" x14ac:dyDescent="0.35">
      <c r="A13" s="139" t="s">
        <v>2977</v>
      </c>
      <c r="B13" s="125" t="s">
        <v>3046</v>
      </c>
      <c r="C13" s="126" t="s">
        <v>3047</v>
      </c>
      <c r="D13" s="128" t="s">
        <v>3048</v>
      </c>
      <c r="E13" s="128" t="s">
        <v>3049</v>
      </c>
      <c r="F13" s="128" t="s">
        <v>3050</v>
      </c>
      <c r="G13" s="128" t="s">
        <v>3031</v>
      </c>
      <c r="H13" s="128" t="s">
        <v>3051</v>
      </c>
      <c r="I13" s="130">
        <f>IF(COUNTIF(J13:AW13,"&lt;&gt;")=0,"",SUMPRODUCT(((Recommendations[ImplStatus]="Implemented")+(Recommendations[ImplStatus]="Compensated"))*ISNUMBER(MATCH(Recommendations[Id],J13:AW13,0)))/COUNTIF(J13:AW13,"&lt;&gt;"))</f>
        <v>0</v>
      </c>
      <c r="J13" s="132" t="s">
        <v>712</v>
      </c>
      <c r="K13" s="132" t="s">
        <v>859</v>
      </c>
      <c r="L13" s="132" t="s">
        <v>1723</v>
      </c>
      <c r="M13" s="132" t="s">
        <v>1733</v>
      </c>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42"/>
    </row>
    <row r="14" spans="1:49" ht="60" customHeight="1" x14ac:dyDescent="0.35">
      <c r="A14" s="139" t="s">
        <v>2977</v>
      </c>
      <c r="B14" s="125" t="s">
        <v>3052</v>
      </c>
      <c r="C14" s="126" t="s">
        <v>3053</v>
      </c>
      <c r="D14" s="128" t="s">
        <v>3054</v>
      </c>
      <c r="E14" s="128" t="s">
        <v>3055</v>
      </c>
      <c r="F14" s="128" t="s">
        <v>3056</v>
      </c>
      <c r="G14" s="128" t="s">
        <v>3057</v>
      </c>
      <c r="H14" s="128" t="s">
        <v>3058</v>
      </c>
      <c r="I14" s="130">
        <f>IF(COUNTIF(J14:AW14,"&lt;&gt;")=0,"",SUMPRODUCT(((Recommendations[ImplStatus]="Implemented")+(Recommendations[ImplStatus]="Compensated"))*ISNUMBER(MATCH(Recommendations[Id],J14:AW14,0)))/COUNTIF(J14:AW14,"&lt;&gt;"))</f>
        <v>0</v>
      </c>
      <c r="J14" s="132" t="s">
        <v>1351</v>
      </c>
      <c r="K14" s="132" t="s">
        <v>1356</v>
      </c>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42"/>
    </row>
    <row r="15" spans="1:49" ht="60" customHeight="1" x14ac:dyDescent="0.35">
      <c r="A15" s="139" t="s">
        <v>2977</v>
      </c>
      <c r="B15" s="125" t="s">
        <v>3059</v>
      </c>
      <c r="C15" s="126" t="s">
        <v>3060</v>
      </c>
      <c r="D15" s="128" t="s">
        <v>3061</v>
      </c>
      <c r="E15" s="128" t="s">
        <v>3062</v>
      </c>
      <c r="F15" s="128" t="s">
        <v>3063</v>
      </c>
      <c r="G15" s="128" t="s">
        <v>3064</v>
      </c>
      <c r="H15" s="128" t="s">
        <v>3065</v>
      </c>
      <c r="I15" s="130" t="str">
        <f>IF(COUNTIF(J15:AW15,"&lt;&gt;")=0,"",SUMPRODUCT(((Recommendations[ImplStatus]="Implemented")+(Recommendations[ImplStatus]="Compensated"))*ISNUMBER(MATCH(Recommendations[Id],J15:AW15,0)))/COUNTIF(J15:AW15,"&lt;&gt;"))</f>
        <v/>
      </c>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42"/>
    </row>
    <row r="16" spans="1:49" ht="60" customHeight="1" x14ac:dyDescent="0.35">
      <c r="A16" s="139" t="s">
        <v>2977</v>
      </c>
      <c r="B16" s="125" t="s">
        <v>3066</v>
      </c>
      <c r="C16" s="126" t="s">
        <v>3067</v>
      </c>
      <c r="D16" s="128" t="s">
        <v>3068</v>
      </c>
      <c r="E16" s="128" t="s">
        <v>3069</v>
      </c>
      <c r="F16" s="128" t="s">
        <v>3070</v>
      </c>
      <c r="G16" s="128" t="s">
        <v>3071</v>
      </c>
      <c r="H16" s="128" t="s">
        <v>3072</v>
      </c>
      <c r="I16" s="130" t="str">
        <f>IF(COUNTIF(J16:AW16,"&lt;&gt;")=0,"",SUMPRODUCT(((Recommendations[ImplStatus]="Implemented")+(Recommendations[ImplStatus]="Compensated"))*ISNUMBER(MATCH(Recommendations[Id],J16:AW16,0)))/COUNTIF(J16:AW16,"&lt;&gt;"))</f>
        <v/>
      </c>
      <c r="J16" s="132"/>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42"/>
    </row>
    <row r="17" spans="1:49" ht="60" customHeight="1" x14ac:dyDescent="0.35">
      <c r="A17" s="139" t="s">
        <v>2977</v>
      </c>
      <c r="B17" s="125" t="s">
        <v>3073</v>
      </c>
      <c r="C17" s="126" t="s">
        <v>3074</v>
      </c>
      <c r="D17" s="128" t="s">
        <v>3075</v>
      </c>
      <c r="E17" s="128" t="s">
        <v>3076</v>
      </c>
      <c r="F17" s="128" t="s">
        <v>3077</v>
      </c>
      <c r="G17" s="128" t="s">
        <v>3078</v>
      </c>
      <c r="H17" s="128" t="s">
        <v>3079</v>
      </c>
      <c r="I17" s="130" t="str">
        <f>IF(COUNTIF(J17:AW17,"&lt;&gt;")=0,"",SUMPRODUCT(((Recommendations[ImplStatus]="Implemented")+(Recommendations[ImplStatus]="Compensated"))*ISNUMBER(MATCH(Recommendations[Id],J17:AW17,0)))/COUNTIF(J17:AW17,"&lt;&gt;"))</f>
        <v/>
      </c>
      <c r="J17" s="132"/>
      <c r="K17" s="132"/>
      <c r="L17" s="132"/>
      <c r="M17" s="132"/>
      <c r="N17" s="132"/>
      <c r="O17" s="132"/>
      <c r="P17" s="132"/>
      <c r="Q17" s="132"/>
      <c r="R17" s="132"/>
      <c r="S17" s="132"/>
      <c r="T17" s="132"/>
      <c r="U17" s="132"/>
      <c r="V17" s="132"/>
      <c r="W17" s="132"/>
      <c r="X17" s="132"/>
      <c r="Y17" s="132"/>
      <c r="Z17" s="132"/>
      <c r="AA17" s="132"/>
      <c r="AB17" s="132"/>
      <c r="AC17" s="132"/>
      <c r="AD17" s="132"/>
      <c r="AE17" s="132"/>
      <c r="AF17" s="132"/>
      <c r="AG17" s="132"/>
      <c r="AH17" s="132"/>
      <c r="AI17" s="132"/>
      <c r="AJ17" s="132"/>
      <c r="AK17" s="132"/>
      <c r="AL17" s="132"/>
      <c r="AM17" s="132"/>
      <c r="AN17" s="132"/>
      <c r="AO17" s="132"/>
      <c r="AP17" s="132"/>
      <c r="AQ17" s="132"/>
      <c r="AR17" s="132"/>
      <c r="AS17" s="132"/>
      <c r="AT17" s="132"/>
      <c r="AU17" s="132"/>
      <c r="AV17" s="132"/>
      <c r="AW17" s="142"/>
    </row>
    <row r="18" spans="1:49" ht="60" customHeight="1" x14ac:dyDescent="0.35">
      <c r="A18" s="139" t="s">
        <v>2977</v>
      </c>
      <c r="B18" s="125" t="s">
        <v>3080</v>
      </c>
      <c r="C18" s="126" t="s">
        <v>3081</v>
      </c>
      <c r="D18" s="128" t="s">
        <v>3082</v>
      </c>
      <c r="E18" s="128" t="s">
        <v>3083</v>
      </c>
      <c r="F18" s="128" t="s">
        <v>19</v>
      </c>
      <c r="G18" s="128" t="s">
        <v>19</v>
      </c>
      <c r="H18" s="128" t="s">
        <v>19</v>
      </c>
      <c r="I18" s="130" t="str">
        <f>IF(COUNTIF(J18:AW18,"&lt;&gt;")=0,"",SUMPRODUCT(((Recommendations[ImplStatus]="Implemented")+(Recommendations[ImplStatus]="Compensated"))*ISNUMBER(MATCH(Recommendations[Id],J18:AW18,0)))/COUNTIF(J18:AW18,"&lt;&gt;"))</f>
        <v/>
      </c>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42"/>
    </row>
    <row r="19" spans="1:49" ht="60" customHeight="1" outlineLevel="1" x14ac:dyDescent="0.35">
      <c r="A19" s="138" t="s">
        <v>3084</v>
      </c>
      <c r="B19" s="124"/>
      <c r="C19" s="123" t="s">
        <v>3085</v>
      </c>
      <c r="D19" s="127"/>
      <c r="E19" s="127"/>
      <c r="F19" s="127"/>
      <c r="G19" s="127"/>
      <c r="H19" s="127"/>
      <c r="I19" s="129" t="str">
        <f>IF(COUNTIF(J19:AW19,"&lt;&gt;")=0,"",SUMPRODUCT(((Recommendations[ImplStatus]="Implemented")+(Recommendations[ImplStatus]="Compensated"))*ISNUMBER(MATCH(Recommendations[Id],J19:AW19,0)))/COUNTIF(J19:AW19,"&lt;&gt;"))</f>
        <v/>
      </c>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41"/>
    </row>
    <row r="20" spans="1:49" ht="60" customHeight="1" x14ac:dyDescent="0.35">
      <c r="A20" s="139" t="s">
        <v>3084</v>
      </c>
      <c r="B20" s="125" t="s">
        <v>3086</v>
      </c>
      <c r="C20" s="126" t="s">
        <v>3087</v>
      </c>
      <c r="D20" s="128" t="s">
        <v>3088</v>
      </c>
      <c r="E20" s="128" t="s">
        <v>3089</v>
      </c>
      <c r="F20" s="128" t="s">
        <v>3090</v>
      </c>
      <c r="G20" s="128" t="s">
        <v>3091</v>
      </c>
      <c r="H20" s="128" t="s">
        <v>3092</v>
      </c>
      <c r="I20" s="130" t="str">
        <f>IF(COUNTIF(J20:AW20,"&lt;&gt;")=0,"",SUMPRODUCT(((Recommendations[ImplStatus]="Implemented")+(Recommendations[ImplStatus]="Compensated"))*ISNUMBER(MATCH(Recommendations[Id],J20:AW20,0)))/COUNTIF(J20:AW20,"&lt;&gt;"))</f>
        <v/>
      </c>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42"/>
    </row>
    <row r="21" spans="1:49" ht="60" customHeight="1" x14ac:dyDescent="0.35">
      <c r="A21" s="139" t="s">
        <v>3084</v>
      </c>
      <c r="B21" s="125" t="s">
        <v>3093</v>
      </c>
      <c r="C21" s="126" t="s">
        <v>3094</v>
      </c>
      <c r="D21" s="128" t="s">
        <v>3095</v>
      </c>
      <c r="E21" s="128" t="s">
        <v>3096</v>
      </c>
      <c r="F21" s="128" t="s">
        <v>3097</v>
      </c>
      <c r="G21" s="128" t="s">
        <v>3098</v>
      </c>
      <c r="H21" s="128" t="s">
        <v>3099</v>
      </c>
      <c r="I21" s="130" t="str">
        <f>IF(COUNTIF(J21:AW21,"&lt;&gt;")=0,"",SUMPRODUCT(((Recommendations[ImplStatus]="Implemented")+(Recommendations[ImplStatus]="Compensated"))*ISNUMBER(MATCH(Recommendations[Id],J21:AW21,0)))/COUNTIF(J21:AW21,"&lt;&gt;"))</f>
        <v/>
      </c>
      <c r="J21" s="132"/>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42"/>
    </row>
    <row r="22" spans="1:49" ht="60" customHeight="1" outlineLevel="1" x14ac:dyDescent="0.35">
      <c r="A22" s="138" t="s">
        <v>3100</v>
      </c>
      <c r="B22" s="124"/>
      <c r="C22" s="123" t="s">
        <v>3101</v>
      </c>
      <c r="D22" s="127"/>
      <c r="E22" s="127"/>
      <c r="F22" s="127"/>
      <c r="G22" s="127"/>
      <c r="H22" s="127"/>
      <c r="I22" s="129" t="str">
        <f>IF(COUNTIF(J22:AW22,"&lt;&gt;")=0,"",SUMPRODUCT(((Recommendations[ImplStatus]="Implemented")+(Recommendations[ImplStatus]="Compensated"))*ISNUMBER(MATCH(Recommendations[Id],J22:AW22,0)))/COUNTIF(J22:AW22,"&lt;&gt;"))</f>
        <v/>
      </c>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41"/>
    </row>
    <row r="23" spans="1:49" ht="60" customHeight="1" x14ac:dyDescent="0.35">
      <c r="A23" s="139" t="s">
        <v>3100</v>
      </c>
      <c r="B23" s="125" t="s">
        <v>3102</v>
      </c>
      <c r="C23" s="126" t="s">
        <v>3103</v>
      </c>
      <c r="D23" s="128" t="s">
        <v>3104</v>
      </c>
      <c r="E23" s="128" t="s">
        <v>3105</v>
      </c>
      <c r="F23" s="128" t="s">
        <v>3106</v>
      </c>
      <c r="G23" s="128" t="s">
        <v>3107</v>
      </c>
      <c r="H23" s="128" t="s">
        <v>3108</v>
      </c>
      <c r="I23" s="130">
        <f>IF(COUNTIF(J23:AW23,"&lt;&gt;")=0,"",SUMPRODUCT(((Recommendations[ImplStatus]="Implemented")+(Recommendations[ImplStatus]="Compensated"))*ISNUMBER(MATCH(Recommendations[Id],J23:AW23,0)))/COUNTIF(J23:AW23,"&lt;&gt;"))</f>
        <v>0</v>
      </c>
      <c r="J23" s="132" t="s">
        <v>13</v>
      </c>
      <c r="K23" s="132" t="s">
        <v>23</v>
      </c>
      <c r="L23" s="132" t="s">
        <v>53</v>
      </c>
      <c r="M23" s="132" t="s">
        <v>67</v>
      </c>
      <c r="N23" s="132" t="s">
        <v>72</v>
      </c>
      <c r="O23" s="132" t="s">
        <v>77</v>
      </c>
      <c r="P23" s="132" t="s">
        <v>102</v>
      </c>
      <c r="Q23" s="132" t="s">
        <v>107</v>
      </c>
      <c r="R23" s="132" t="s">
        <v>116</v>
      </c>
      <c r="S23" s="132" t="s">
        <v>139</v>
      </c>
      <c r="T23" s="132" t="s">
        <v>144</v>
      </c>
      <c r="U23" s="132" t="s">
        <v>288</v>
      </c>
      <c r="V23" s="132" t="s">
        <v>318</v>
      </c>
      <c r="W23" s="132" t="s">
        <v>328</v>
      </c>
      <c r="X23" s="132" t="s">
        <v>405</v>
      </c>
      <c r="Y23" s="132" t="s">
        <v>422</v>
      </c>
      <c r="Z23" s="132" t="s">
        <v>441</v>
      </c>
      <c r="AA23" s="132" t="s">
        <v>451</v>
      </c>
      <c r="AB23" s="132" t="s">
        <v>456</v>
      </c>
      <c r="AC23" s="132" t="s">
        <v>478</v>
      </c>
      <c r="AD23" s="132" t="s">
        <v>627</v>
      </c>
      <c r="AE23" s="132" t="s">
        <v>631</v>
      </c>
      <c r="AF23" s="132" t="s">
        <v>636</v>
      </c>
      <c r="AG23" s="132" t="s">
        <v>640</v>
      </c>
      <c r="AH23" s="132" t="s">
        <v>807</v>
      </c>
      <c r="AI23" s="132" t="s">
        <v>812</v>
      </c>
      <c r="AJ23" s="132" t="s">
        <v>878</v>
      </c>
      <c r="AK23" s="132" t="s">
        <v>883</v>
      </c>
      <c r="AL23" s="132" t="s">
        <v>906</v>
      </c>
      <c r="AM23" s="132" t="s">
        <v>916</v>
      </c>
      <c r="AN23" s="132" t="s">
        <v>956</v>
      </c>
      <c r="AO23" s="132" t="s">
        <v>961</v>
      </c>
      <c r="AP23" s="132" t="s">
        <v>965</v>
      </c>
      <c r="AQ23" s="132" t="s">
        <v>970</v>
      </c>
      <c r="AR23" s="132" t="s">
        <v>975</v>
      </c>
      <c r="AS23" s="132" t="s">
        <v>979</v>
      </c>
      <c r="AT23" s="132" t="s">
        <v>983</v>
      </c>
      <c r="AU23" s="132" t="s">
        <v>987</v>
      </c>
      <c r="AV23" s="132" t="s">
        <v>992</v>
      </c>
      <c r="AW23" s="142" t="s">
        <v>997</v>
      </c>
    </row>
    <row r="24" spans="1:49" ht="60" customHeight="1" x14ac:dyDescent="0.35">
      <c r="A24" s="139" t="s">
        <v>3100</v>
      </c>
      <c r="B24" s="125" t="s">
        <v>3109</v>
      </c>
      <c r="C24" s="126" t="s">
        <v>3110</v>
      </c>
      <c r="D24" s="128" t="s">
        <v>3111</v>
      </c>
      <c r="E24" s="128" t="s">
        <v>3112</v>
      </c>
      <c r="F24" s="128" t="s">
        <v>3113</v>
      </c>
      <c r="G24" s="128" t="s">
        <v>3114</v>
      </c>
      <c r="H24" s="128" t="s">
        <v>3115</v>
      </c>
      <c r="I24" s="130">
        <f>IF(COUNTIF(J24:AW24,"&lt;&gt;")=0,"",SUMPRODUCT(((Recommendations[ImplStatus]="Implemented")+(Recommendations[ImplStatus]="Compensated"))*ISNUMBER(MATCH(Recommendations[Id],J24:AW24,0)))/COUNTIF(J24:AW24,"&lt;&gt;"))</f>
        <v>0</v>
      </c>
      <c r="J24" s="132" t="s">
        <v>67</v>
      </c>
      <c r="K24" s="132" t="s">
        <v>878</v>
      </c>
      <c r="L24" s="132" t="s">
        <v>956</v>
      </c>
      <c r="M24" s="132" t="s">
        <v>961</v>
      </c>
      <c r="N24" s="132" t="s">
        <v>965</v>
      </c>
      <c r="O24" s="132" t="s">
        <v>970</v>
      </c>
      <c r="P24" s="132" t="s">
        <v>975</v>
      </c>
      <c r="Q24" s="132" t="s">
        <v>979</v>
      </c>
      <c r="R24" s="132" t="s">
        <v>983</v>
      </c>
      <c r="S24" s="132" t="s">
        <v>992</v>
      </c>
      <c r="T24" s="132" t="s">
        <v>997</v>
      </c>
      <c r="U24" s="132" t="s">
        <v>1002</v>
      </c>
      <c r="V24" s="132" t="s">
        <v>1007</v>
      </c>
      <c r="W24" s="132" t="s">
        <v>1017</v>
      </c>
      <c r="X24" s="132" t="s">
        <v>1022</v>
      </c>
      <c r="Y24" s="132" t="s">
        <v>1030</v>
      </c>
      <c r="Z24" s="132" t="s">
        <v>1035</v>
      </c>
      <c r="AA24" s="132" t="s">
        <v>1040</v>
      </c>
      <c r="AB24" s="132" t="s">
        <v>1045</v>
      </c>
      <c r="AC24" s="132" t="s">
        <v>1050</v>
      </c>
      <c r="AD24" s="132" t="s">
        <v>1055</v>
      </c>
      <c r="AE24" s="132" t="s">
        <v>1060</v>
      </c>
      <c r="AF24" s="132" t="s">
        <v>1065</v>
      </c>
      <c r="AG24" s="132" t="s">
        <v>1070</v>
      </c>
      <c r="AH24" s="132" t="s">
        <v>1075</v>
      </c>
      <c r="AI24" s="132" t="s">
        <v>1085</v>
      </c>
      <c r="AJ24" s="132" t="s">
        <v>1090</v>
      </c>
      <c r="AK24" s="132" t="s">
        <v>1095</v>
      </c>
      <c r="AL24" s="132" t="s">
        <v>1100</v>
      </c>
      <c r="AM24" s="132" t="s">
        <v>1105</v>
      </c>
      <c r="AN24" s="132" t="s">
        <v>1110</v>
      </c>
      <c r="AO24" s="132" t="s">
        <v>1115</v>
      </c>
      <c r="AP24" s="132" t="s">
        <v>1120</v>
      </c>
      <c r="AQ24" s="132" t="s">
        <v>1125</v>
      </c>
      <c r="AR24" s="132" t="s">
        <v>1130</v>
      </c>
      <c r="AS24" s="132" t="s">
        <v>1140</v>
      </c>
      <c r="AT24" s="132" t="s">
        <v>1145</v>
      </c>
      <c r="AU24" s="132" t="s">
        <v>1150</v>
      </c>
      <c r="AV24" s="132" t="s">
        <v>1155</v>
      </c>
      <c r="AW24" s="142" t="s">
        <v>1160</v>
      </c>
    </row>
    <row r="25" spans="1:49" ht="60" customHeight="1" x14ac:dyDescent="0.35">
      <c r="A25" s="139" t="s">
        <v>3100</v>
      </c>
      <c r="B25" s="125" t="s">
        <v>3116</v>
      </c>
      <c r="C25" s="126" t="s">
        <v>3117</v>
      </c>
      <c r="D25" s="128" t="s">
        <v>3118</v>
      </c>
      <c r="E25" s="128" t="s">
        <v>3119</v>
      </c>
      <c r="F25" s="128" t="s">
        <v>3120</v>
      </c>
      <c r="G25" s="128" t="s">
        <v>3121</v>
      </c>
      <c r="H25" s="128" t="s">
        <v>3122</v>
      </c>
      <c r="I25" s="130">
        <f>IF(COUNTIF(J25:AW25,"&lt;&gt;")=0,"",SUMPRODUCT(((Recommendations[ImplStatus]="Implemented")+(Recommendations[ImplStatus]="Compensated"))*ISNUMBER(MATCH(Recommendations[Id],J25:AW25,0)))/COUNTIF(J25:AW25,"&lt;&gt;"))</f>
        <v>0</v>
      </c>
      <c r="J25" s="132" t="s">
        <v>906</v>
      </c>
      <c r="K25" s="132" t="s">
        <v>1165</v>
      </c>
      <c r="L25" s="132" t="s">
        <v>1169</v>
      </c>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42"/>
    </row>
    <row r="26" spans="1:49" ht="60" customHeight="1" x14ac:dyDescent="0.35">
      <c r="A26" s="139" t="s">
        <v>3100</v>
      </c>
      <c r="B26" s="125" t="s">
        <v>3123</v>
      </c>
      <c r="C26" s="126" t="s">
        <v>3124</v>
      </c>
      <c r="D26" s="128" t="s">
        <v>3125</v>
      </c>
      <c r="E26" s="128" t="s">
        <v>3126</v>
      </c>
      <c r="F26" s="128" t="s">
        <v>3127</v>
      </c>
      <c r="G26" s="128" t="s">
        <v>3114</v>
      </c>
      <c r="H26" s="128" t="s">
        <v>3128</v>
      </c>
      <c r="I26" s="130">
        <f>IF(COUNTIF(J26:AW26,"&lt;&gt;")=0,"",SUMPRODUCT(((Recommendations[ImplStatus]="Implemented")+(Recommendations[ImplStatus]="Compensated"))*ISNUMBER(MATCH(Recommendations[Id],J26:AW26,0)))/COUNTIF(J26:AW26,"&lt;&gt;"))</f>
        <v>0</v>
      </c>
      <c r="J26" s="132" t="s">
        <v>888</v>
      </c>
      <c r="K26" s="132" t="s">
        <v>893</v>
      </c>
      <c r="L26" s="132" t="s">
        <v>897</v>
      </c>
      <c r="M26" s="132" t="s">
        <v>901</v>
      </c>
      <c r="N26" s="132" t="s">
        <v>1244</v>
      </c>
      <c r="O26" s="132"/>
      <c r="P26" s="132"/>
      <c r="Q26" s="132"/>
      <c r="R26" s="132"/>
      <c r="S26" s="132"/>
      <c r="T26" s="132"/>
      <c r="U26" s="132"/>
      <c r="V26" s="132"/>
      <c r="W26" s="132"/>
      <c r="X26" s="132"/>
      <c r="Y26" s="132"/>
      <c r="Z26" s="132"/>
      <c r="AA26" s="132"/>
      <c r="AB26" s="132"/>
      <c r="AC26" s="132"/>
      <c r="AD26" s="132"/>
      <c r="AE26" s="132"/>
      <c r="AF26" s="132"/>
      <c r="AG26" s="132"/>
      <c r="AH26" s="132"/>
      <c r="AI26" s="132"/>
      <c r="AJ26" s="132"/>
      <c r="AK26" s="132"/>
      <c r="AL26" s="132"/>
      <c r="AM26" s="132"/>
      <c r="AN26" s="132"/>
      <c r="AO26" s="132"/>
      <c r="AP26" s="132"/>
      <c r="AQ26" s="132"/>
      <c r="AR26" s="132"/>
      <c r="AS26" s="132"/>
      <c r="AT26" s="132"/>
      <c r="AU26" s="132"/>
      <c r="AV26" s="132"/>
      <c r="AW26" s="142"/>
    </row>
    <row r="27" spans="1:49" ht="60" customHeight="1" x14ac:dyDescent="0.35">
      <c r="A27" s="139" t="s">
        <v>3100</v>
      </c>
      <c r="B27" s="125" t="s">
        <v>3129</v>
      </c>
      <c r="C27" s="126" t="s">
        <v>3130</v>
      </c>
      <c r="D27" s="128" t="s">
        <v>3131</v>
      </c>
      <c r="E27" s="128" t="s">
        <v>3132</v>
      </c>
      <c r="F27" s="128" t="s">
        <v>3133</v>
      </c>
      <c r="G27" s="128" t="s">
        <v>3134</v>
      </c>
      <c r="H27" s="128" t="s">
        <v>3135</v>
      </c>
      <c r="I27" s="130" t="str">
        <f>IF(COUNTIF(J27:AW27,"&lt;&gt;")=0,"",SUMPRODUCT(((Recommendations[ImplStatus]="Implemented")+(Recommendations[ImplStatus]="Compensated"))*ISNUMBER(MATCH(Recommendations[Id],J27:AW27,0)))/COUNTIF(J27:AW27,"&lt;&gt;"))</f>
        <v/>
      </c>
      <c r="J27" s="132"/>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42"/>
    </row>
    <row r="28" spans="1:49" ht="60" customHeight="1" x14ac:dyDescent="0.35">
      <c r="A28" s="139" t="s">
        <v>3100</v>
      </c>
      <c r="B28" s="125" t="s">
        <v>3136</v>
      </c>
      <c r="C28" s="126" t="s">
        <v>3137</v>
      </c>
      <c r="D28" s="128" t="s">
        <v>3138</v>
      </c>
      <c r="E28" s="128" t="s">
        <v>3139</v>
      </c>
      <c r="F28" s="128" t="s">
        <v>3140</v>
      </c>
      <c r="G28" s="128" t="s">
        <v>3141</v>
      </c>
      <c r="H28" s="128" t="s">
        <v>3142</v>
      </c>
      <c r="I28" s="130" t="str">
        <f>IF(COUNTIF(J28:AW28,"&lt;&gt;")=0,"",SUMPRODUCT(((Recommendations[ImplStatus]="Implemented")+(Recommendations[ImplStatus]="Compensated"))*ISNUMBER(MATCH(Recommendations[Id],J28:AW28,0)))/COUNTIF(J28:AW28,"&lt;&gt;"))</f>
        <v/>
      </c>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c r="AW28" s="142"/>
    </row>
    <row r="29" spans="1:49" ht="60" customHeight="1" x14ac:dyDescent="0.35">
      <c r="A29" s="139" t="s">
        <v>3100</v>
      </c>
      <c r="B29" s="125" t="s">
        <v>3143</v>
      </c>
      <c r="C29" s="126" t="s">
        <v>3144</v>
      </c>
      <c r="D29" s="128" t="s">
        <v>3145</v>
      </c>
      <c r="E29" s="128" t="s">
        <v>3146</v>
      </c>
      <c r="F29" s="128" t="s">
        <v>3147</v>
      </c>
      <c r="G29" s="128" t="s">
        <v>3031</v>
      </c>
      <c r="H29" s="128" t="s">
        <v>3148</v>
      </c>
      <c r="I29" s="130">
        <f>IF(COUNTIF(J29:AW29,"&lt;&gt;")=0,"",SUMPRODUCT(((Recommendations[ImplStatus]="Implemented")+(Recommendations[ImplStatus]="Compensated"))*ISNUMBER(MATCH(Recommendations[Id],J29:AW29,0)))/COUNTIF(J29:AW29,"&lt;&gt;"))</f>
        <v>0</v>
      </c>
      <c r="J29" s="132" t="s">
        <v>1080</v>
      </c>
      <c r="K29" s="132" t="s">
        <v>1249</v>
      </c>
      <c r="L29" s="132" t="s">
        <v>1254</v>
      </c>
      <c r="M29" s="132"/>
      <c r="N29" s="132"/>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42"/>
    </row>
    <row r="30" spans="1:49" ht="60" customHeight="1" x14ac:dyDescent="0.35">
      <c r="A30" s="139" t="s">
        <v>3100</v>
      </c>
      <c r="B30" s="125" t="s">
        <v>3149</v>
      </c>
      <c r="C30" s="126" t="s">
        <v>3150</v>
      </c>
      <c r="D30" s="128" t="s">
        <v>3151</v>
      </c>
      <c r="E30" s="128" t="s">
        <v>3152</v>
      </c>
      <c r="F30" s="128" t="s">
        <v>3153</v>
      </c>
      <c r="G30" s="128" t="s">
        <v>3114</v>
      </c>
      <c r="H30" s="128" t="s">
        <v>3154</v>
      </c>
      <c r="I30" s="130">
        <f>IF(COUNTIF(J30:AW30,"&lt;&gt;")=0,"",SUMPRODUCT(((Recommendations[ImplStatus]="Implemented")+(Recommendations[ImplStatus]="Compensated"))*ISNUMBER(MATCH(Recommendations[Id],J30:AW30,0)))/COUNTIF(J30:AW30,"&lt;&gt;"))</f>
        <v>0</v>
      </c>
      <c r="J30" s="132" t="s">
        <v>174</v>
      </c>
      <c r="K30" s="132" t="s">
        <v>179</v>
      </c>
      <c r="L30" s="132" t="s">
        <v>183</v>
      </c>
      <c r="M30" s="132" t="s">
        <v>187</v>
      </c>
      <c r="N30" s="132" t="s">
        <v>191</v>
      </c>
      <c r="O30" s="132" t="s">
        <v>195</v>
      </c>
      <c r="P30" s="132" t="s">
        <v>911</v>
      </c>
      <c r="Q30" s="132" t="s">
        <v>921</v>
      </c>
      <c r="R30" s="132" t="s">
        <v>926</v>
      </c>
      <c r="S30" s="132" t="s">
        <v>930</v>
      </c>
      <c r="T30" s="132" t="s">
        <v>934</v>
      </c>
      <c r="U30" s="132" t="s">
        <v>938</v>
      </c>
      <c r="V30" s="132" t="s">
        <v>942</v>
      </c>
      <c r="W30" s="132" t="s">
        <v>947</v>
      </c>
      <c r="X30" s="132" t="s">
        <v>952</v>
      </c>
      <c r="Y30" s="132" t="s">
        <v>1184</v>
      </c>
      <c r="Z30" s="132" t="s">
        <v>1189</v>
      </c>
      <c r="AA30" s="132" t="s">
        <v>1194</v>
      </c>
      <c r="AB30" s="132" t="s">
        <v>1199</v>
      </c>
      <c r="AC30" s="132" t="s">
        <v>1209</v>
      </c>
      <c r="AD30" s="132" t="s">
        <v>1214</v>
      </c>
      <c r="AE30" s="132" t="s">
        <v>1229</v>
      </c>
      <c r="AF30" s="132" t="s">
        <v>1234</v>
      </c>
      <c r="AG30" s="132"/>
      <c r="AH30" s="132"/>
      <c r="AI30" s="132"/>
      <c r="AJ30" s="132"/>
      <c r="AK30" s="132"/>
      <c r="AL30" s="132"/>
      <c r="AM30" s="132"/>
      <c r="AN30" s="132"/>
      <c r="AO30" s="132"/>
      <c r="AP30" s="132"/>
      <c r="AQ30" s="132"/>
      <c r="AR30" s="132"/>
      <c r="AS30" s="132"/>
      <c r="AT30" s="132"/>
      <c r="AU30" s="132"/>
      <c r="AV30" s="132"/>
      <c r="AW30" s="142"/>
    </row>
    <row r="31" spans="1:49" ht="60" customHeight="1" outlineLevel="1" x14ac:dyDescent="0.35">
      <c r="A31" s="138" t="s">
        <v>3155</v>
      </c>
      <c r="B31" s="124"/>
      <c r="C31" s="123" t="s">
        <v>3156</v>
      </c>
      <c r="D31" s="127"/>
      <c r="E31" s="127"/>
      <c r="F31" s="127"/>
      <c r="G31" s="127"/>
      <c r="H31" s="127"/>
      <c r="I31" s="129" t="str">
        <f>IF(COUNTIF(J31:AW31,"&lt;&gt;")=0,"",SUMPRODUCT(((Recommendations[ImplStatus]="Implemented")+(Recommendations[ImplStatus]="Compensated"))*ISNUMBER(MATCH(Recommendations[Id],J31:AW31,0)))/COUNTIF(J31:AW31,"&lt;&gt;"))</f>
        <v/>
      </c>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41"/>
    </row>
    <row r="32" spans="1:49" ht="60" customHeight="1" x14ac:dyDescent="0.35">
      <c r="A32" s="139" t="s">
        <v>3155</v>
      </c>
      <c r="B32" s="125" t="s">
        <v>3157</v>
      </c>
      <c r="C32" s="126" t="s">
        <v>3158</v>
      </c>
      <c r="D32" s="128" t="s">
        <v>3159</v>
      </c>
      <c r="E32" s="128" t="s">
        <v>3160</v>
      </c>
      <c r="F32" s="128" t="s">
        <v>3161</v>
      </c>
      <c r="G32" s="128" t="s">
        <v>3162</v>
      </c>
      <c r="H32" s="128" t="s">
        <v>3163</v>
      </c>
      <c r="I32" s="130">
        <f>IF(COUNTIF(J32:AW32,"&lt;&gt;")=0,"",SUMPRODUCT(((Recommendations[ImplStatus]="Implemented")+(Recommendations[ImplStatus]="Compensated"))*ISNUMBER(MATCH(Recommendations[Id],J32:AW32,0)))/COUNTIF(J32:AW32,"&lt;&gt;"))</f>
        <v>0</v>
      </c>
      <c r="J32" s="132" t="s">
        <v>97</v>
      </c>
      <c r="K32" s="132" t="s">
        <v>112</v>
      </c>
      <c r="L32" s="132" t="s">
        <v>121</v>
      </c>
      <c r="M32" s="132" t="s">
        <v>235</v>
      </c>
      <c r="N32" s="132"/>
      <c r="O32" s="132"/>
      <c r="P32" s="132"/>
      <c r="Q32" s="132"/>
      <c r="R32" s="132"/>
      <c r="S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42"/>
    </row>
    <row r="33" spans="1:49" ht="60" customHeight="1" x14ac:dyDescent="0.35">
      <c r="A33" s="139" t="s">
        <v>3155</v>
      </c>
      <c r="B33" s="125" t="s">
        <v>3164</v>
      </c>
      <c r="C33" s="126" t="s">
        <v>3165</v>
      </c>
      <c r="D33" s="128" t="s">
        <v>3166</v>
      </c>
      <c r="E33" s="128" t="s">
        <v>3167</v>
      </c>
      <c r="F33" s="128" t="s">
        <v>3168</v>
      </c>
      <c r="G33" s="128" t="s">
        <v>3169</v>
      </c>
      <c r="H33" s="128" t="s">
        <v>3170</v>
      </c>
      <c r="I33" s="130">
        <f>IF(COUNTIF(J33:AW33,"&lt;&gt;")=0,"",SUMPRODUCT(((Recommendations[ImplStatus]="Implemented")+(Recommendations[ImplStatus]="Compensated"))*ISNUMBER(MATCH(Recommendations[Id],J33:AW33,0)))/COUNTIF(J33:AW33,"&lt;&gt;"))</f>
        <v>0</v>
      </c>
      <c r="J33" s="132" t="s">
        <v>159</v>
      </c>
      <c r="K33" s="132" t="s">
        <v>204</v>
      </c>
      <c r="L33" s="132" t="s">
        <v>209</v>
      </c>
      <c r="M33" s="132" t="s">
        <v>213</v>
      </c>
      <c r="N33" s="132" t="s">
        <v>217</v>
      </c>
      <c r="O33" s="132" t="s">
        <v>221</v>
      </c>
      <c r="P33" s="132" t="s">
        <v>225</v>
      </c>
      <c r="Q33" s="132" t="s">
        <v>368</v>
      </c>
      <c r="R33" s="132" t="s">
        <v>373</v>
      </c>
      <c r="S33" s="132" t="s">
        <v>378</v>
      </c>
      <c r="T33" s="132" t="s">
        <v>427</v>
      </c>
      <c r="U33" s="132" t="s">
        <v>446</v>
      </c>
      <c r="V33" s="132" t="s">
        <v>464</v>
      </c>
      <c r="W33" s="132" t="s">
        <v>469</v>
      </c>
      <c r="X33" s="132" t="s">
        <v>511</v>
      </c>
      <c r="Y33" s="132" t="s">
        <v>516</v>
      </c>
      <c r="Z33" s="132" t="s">
        <v>521</v>
      </c>
      <c r="AA33" s="132" t="s">
        <v>526</v>
      </c>
      <c r="AB33" s="132" t="s">
        <v>531</v>
      </c>
      <c r="AC33" s="132" t="s">
        <v>536</v>
      </c>
      <c r="AD33" s="132" t="s">
        <v>540</v>
      </c>
      <c r="AE33" s="132" t="s">
        <v>545</v>
      </c>
      <c r="AF33" s="132" t="s">
        <v>550</v>
      </c>
      <c r="AG33" s="132" t="s">
        <v>555</v>
      </c>
      <c r="AH33" s="132" t="s">
        <v>559</v>
      </c>
      <c r="AI33" s="132" t="s">
        <v>564</v>
      </c>
      <c r="AJ33" s="132" t="s">
        <v>569</v>
      </c>
      <c r="AK33" s="132" t="s">
        <v>574</v>
      </c>
      <c r="AL33" s="132" t="s">
        <v>864</v>
      </c>
      <c r="AM33" s="132" t="s">
        <v>869</v>
      </c>
      <c r="AN33" s="132" t="s">
        <v>874</v>
      </c>
      <c r="AO33" s="132" t="s">
        <v>1657</v>
      </c>
      <c r="AP33" s="132" t="s">
        <v>1662</v>
      </c>
      <c r="AQ33" s="132" t="s">
        <v>1666</v>
      </c>
      <c r="AR33" s="132"/>
      <c r="AS33" s="132"/>
      <c r="AT33" s="132"/>
      <c r="AU33" s="132"/>
      <c r="AV33" s="132"/>
      <c r="AW33" s="142"/>
    </row>
    <row r="34" spans="1:49" ht="60" customHeight="1" x14ac:dyDescent="0.35">
      <c r="A34" s="139" t="s">
        <v>3155</v>
      </c>
      <c r="B34" s="125" t="s">
        <v>3171</v>
      </c>
      <c r="C34" s="126" t="s">
        <v>3172</v>
      </c>
      <c r="D34" s="128" t="s">
        <v>3173</v>
      </c>
      <c r="E34" s="128" t="s">
        <v>3174</v>
      </c>
      <c r="F34" s="128" t="s">
        <v>3175</v>
      </c>
      <c r="G34" s="128" t="s">
        <v>3176</v>
      </c>
      <c r="H34" s="128" t="s">
        <v>3177</v>
      </c>
      <c r="I34" s="130">
        <f>IF(COUNTIF(J34:AW34,"&lt;&gt;")=0,"",SUMPRODUCT(((Recommendations[ImplStatus]="Implemented")+(Recommendations[ImplStatus]="Compensated"))*ISNUMBER(MATCH(Recommendations[Id],J34:AW34,0)))/COUNTIF(J34:AW34,"&lt;&gt;"))</f>
        <v>0</v>
      </c>
      <c r="J34" s="132" t="s">
        <v>1090</v>
      </c>
      <c r="K34" s="132" t="s">
        <v>1105</v>
      </c>
      <c r="L34" s="132" t="s">
        <v>1150</v>
      </c>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42"/>
    </row>
    <row r="35" spans="1:49" ht="60" customHeight="1" x14ac:dyDescent="0.35">
      <c r="A35" s="139" t="s">
        <v>3155</v>
      </c>
      <c r="B35" s="125" t="s">
        <v>3178</v>
      </c>
      <c r="C35" s="126" t="s">
        <v>3179</v>
      </c>
      <c r="D35" s="128" t="s">
        <v>3180</v>
      </c>
      <c r="E35" s="128" t="s">
        <v>3181</v>
      </c>
      <c r="F35" s="128" t="s">
        <v>3182</v>
      </c>
      <c r="G35" s="128" t="s">
        <v>3183</v>
      </c>
      <c r="H35" s="128" t="s">
        <v>3184</v>
      </c>
      <c r="I35" s="130" t="str">
        <f>IF(COUNTIF(J35:AW35,"&lt;&gt;")=0,"",SUMPRODUCT(((Recommendations[ImplStatus]="Implemented")+(Recommendations[ImplStatus]="Compensated"))*ISNUMBER(MATCH(Recommendations[Id],J35:AW35,0)))/COUNTIF(J35:AW35,"&lt;&gt;"))</f>
        <v/>
      </c>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42"/>
    </row>
    <row r="36" spans="1:49" ht="60" customHeight="1" x14ac:dyDescent="0.35">
      <c r="A36" s="139" t="s">
        <v>3155</v>
      </c>
      <c r="B36" s="125" t="s">
        <v>3185</v>
      </c>
      <c r="C36" s="126" t="s">
        <v>3186</v>
      </c>
      <c r="D36" s="128" t="s">
        <v>3187</v>
      </c>
      <c r="E36" s="128" t="s">
        <v>3188</v>
      </c>
      <c r="F36" s="128" t="s">
        <v>3189</v>
      </c>
      <c r="G36" s="128" t="s">
        <v>3190</v>
      </c>
      <c r="H36" s="128" t="s">
        <v>3191</v>
      </c>
      <c r="I36" s="130" t="str">
        <f>IF(COUNTIF(J36:AW36,"&lt;&gt;")=0,"",SUMPRODUCT(((Recommendations[ImplStatus]="Implemented")+(Recommendations[ImplStatus]="Compensated"))*ISNUMBER(MATCH(Recommendations[Id],J36:AW36,0)))/COUNTIF(J36:AW36,"&lt;&gt;"))</f>
        <v/>
      </c>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42"/>
    </row>
    <row r="37" spans="1:49" ht="60" customHeight="1" x14ac:dyDescent="0.35">
      <c r="A37" s="139" t="s">
        <v>3155</v>
      </c>
      <c r="B37" s="125" t="s">
        <v>3192</v>
      </c>
      <c r="C37" s="126" t="s">
        <v>3193</v>
      </c>
      <c r="D37" s="128" t="s">
        <v>3194</v>
      </c>
      <c r="E37" s="128" t="s">
        <v>3195</v>
      </c>
      <c r="F37" s="128" t="s">
        <v>3196</v>
      </c>
      <c r="G37" s="128" t="s">
        <v>3197</v>
      </c>
      <c r="H37" s="128" t="s">
        <v>3198</v>
      </c>
      <c r="I37" s="130">
        <f>IF(COUNTIF(J37:AW37,"&lt;&gt;")=0,"",SUMPRODUCT(((Recommendations[ImplStatus]="Implemented")+(Recommendations[ImplStatus]="Compensated"))*ISNUMBER(MATCH(Recommendations[Id],J37:AW37,0)))/COUNTIF(J37:AW37,"&lt;&gt;"))</f>
        <v>0</v>
      </c>
      <c r="J37" s="132" t="s">
        <v>134</v>
      </c>
      <c r="K37" s="132" t="s">
        <v>148</v>
      </c>
      <c r="L37" s="132" t="s">
        <v>244</v>
      </c>
      <c r="M37" s="132" t="s">
        <v>249</v>
      </c>
      <c r="N37" s="132" t="s">
        <v>254</v>
      </c>
      <c r="O37" s="132" t="s">
        <v>259</v>
      </c>
      <c r="P37" s="132" t="s">
        <v>264</v>
      </c>
      <c r="Q37" s="132" t="s">
        <v>308</v>
      </c>
      <c r="R37" s="132" t="s">
        <v>313</v>
      </c>
      <c r="S37" s="132" t="s">
        <v>323</v>
      </c>
      <c r="T37" s="132" t="s">
        <v>333</v>
      </c>
      <c r="U37" s="132" t="s">
        <v>338</v>
      </c>
      <c r="V37" s="132" t="s">
        <v>343</v>
      </c>
      <c r="W37" s="132" t="s">
        <v>396</v>
      </c>
      <c r="X37" s="132" t="s">
        <v>401</v>
      </c>
      <c r="Y37" s="132" t="s">
        <v>409</v>
      </c>
      <c r="Z37" s="132" t="s">
        <v>413</v>
      </c>
      <c r="AA37" s="132" t="s">
        <v>432</v>
      </c>
      <c r="AB37" s="132" t="s">
        <v>436</v>
      </c>
      <c r="AC37" s="132" t="s">
        <v>460</v>
      </c>
      <c r="AD37" s="132" t="s">
        <v>474</v>
      </c>
      <c r="AE37" s="132" t="s">
        <v>483</v>
      </c>
      <c r="AF37" s="132" t="s">
        <v>488</v>
      </c>
      <c r="AG37" s="132" t="s">
        <v>493</v>
      </c>
      <c r="AH37" s="132" t="s">
        <v>498</v>
      </c>
      <c r="AI37" s="132" t="s">
        <v>502</v>
      </c>
      <c r="AJ37" s="132" t="s">
        <v>578</v>
      </c>
      <c r="AK37" s="132" t="s">
        <v>583</v>
      </c>
      <c r="AL37" s="132" t="s">
        <v>667</v>
      </c>
      <c r="AM37" s="132" t="s">
        <v>672</v>
      </c>
      <c r="AN37" s="132" t="s">
        <v>687</v>
      </c>
      <c r="AO37" s="132" t="s">
        <v>1263</v>
      </c>
      <c r="AP37" s="132" t="s">
        <v>1277</v>
      </c>
      <c r="AQ37" s="132" t="s">
        <v>1282</v>
      </c>
      <c r="AR37" s="132" t="s">
        <v>1287</v>
      </c>
      <c r="AS37" s="132" t="s">
        <v>1292</v>
      </c>
      <c r="AT37" s="132" t="s">
        <v>1297</v>
      </c>
      <c r="AU37" s="132" t="s">
        <v>1302</v>
      </c>
      <c r="AV37" s="132" t="s">
        <v>1307</v>
      </c>
      <c r="AW37" s="142" t="s">
        <v>1312</v>
      </c>
    </row>
    <row r="38" spans="1:49" ht="60" customHeight="1" x14ac:dyDescent="0.35">
      <c r="A38" s="139" t="s">
        <v>3155</v>
      </c>
      <c r="B38" s="125" t="s">
        <v>3199</v>
      </c>
      <c r="C38" s="126" t="s">
        <v>3200</v>
      </c>
      <c r="D38" s="128" t="s">
        <v>3201</v>
      </c>
      <c r="E38" s="128" t="s">
        <v>3202</v>
      </c>
      <c r="F38" s="128" t="s">
        <v>3203</v>
      </c>
      <c r="G38" s="128" t="s">
        <v>3204</v>
      </c>
      <c r="H38" s="128" t="s">
        <v>3205</v>
      </c>
      <c r="I38" s="130" t="str">
        <f>IF(COUNTIF(J38:AW38,"&lt;&gt;")=0,"",SUMPRODUCT(((Recommendations[ImplStatus]="Implemented")+(Recommendations[ImplStatus]="Compensated"))*ISNUMBER(MATCH(Recommendations[Id],J38:AW38,0)))/COUNTIF(J38:AW38,"&lt;&gt;"))</f>
        <v/>
      </c>
      <c r="J38" s="132"/>
      <c r="K38" s="132"/>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2"/>
      <c r="AR38" s="132"/>
      <c r="AS38" s="132"/>
      <c r="AT38" s="132"/>
      <c r="AU38" s="132"/>
      <c r="AV38" s="132"/>
      <c r="AW38" s="142"/>
    </row>
    <row r="39" spans="1:49" ht="60" customHeight="1" x14ac:dyDescent="0.35">
      <c r="A39" s="139" t="s">
        <v>3155</v>
      </c>
      <c r="B39" s="125" t="s">
        <v>3206</v>
      </c>
      <c r="C39" s="126" t="s">
        <v>3207</v>
      </c>
      <c r="D39" s="128" t="s">
        <v>3208</v>
      </c>
      <c r="E39" s="128" t="s">
        <v>3209</v>
      </c>
      <c r="F39" s="128" t="s">
        <v>3210</v>
      </c>
      <c r="G39" s="128" t="s">
        <v>3211</v>
      </c>
      <c r="H39" s="128" t="s">
        <v>3212</v>
      </c>
      <c r="I39" s="130" t="str">
        <f>IF(COUNTIF(J39:AW39,"&lt;&gt;")=0,"",SUMPRODUCT(((Recommendations[ImplStatus]="Implemented")+(Recommendations[ImplStatus]="Compensated"))*ISNUMBER(MATCH(Recommendations[Id],J39:AW39,0)))/COUNTIF(J39:AW39,"&lt;&gt;"))</f>
        <v/>
      </c>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L39" s="132"/>
      <c r="AM39" s="132"/>
      <c r="AN39" s="132"/>
      <c r="AO39" s="132"/>
      <c r="AP39" s="132"/>
      <c r="AQ39" s="132"/>
      <c r="AR39" s="132"/>
      <c r="AS39" s="132"/>
      <c r="AT39" s="132"/>
      <c r="AU39" s="132"/>
      <c r="AV39" s="132"/>
      <c r="AW39" s="142"/>
    </row>
    <row r="40" spans="1:49" ht="60" customHeight="1" x14ac:dyDescent="0.35">
      <c r="A40" s="139" t="s">
        <v>3155</v>
      </c>
      <c r="B40" s="125" t="s">
        <v>3213</v>
      </c>
      <c r="C40" s="126" t="s">
        <v>3214</v>
      </c>
      <c r="D40" s="128" t="s">
        <v>3215</v>
      </c>
      <c r="E40" s="128" t="s">
        <v>3216</v>
      </c>
      <c r="F40" s="128" t="s">
        <v>3217</v>
      </c>
      <c r="G40" s="128" t="s">
        <v>3218</v>
      </c>
      <c r="H40" s="128" t="s">
        <v>3219</v>
      </c>
      <c r="I40" s="130" t="str">
        <f>IF(COUNTIF(J40:AW40,"&lt;&gt;")=0,"",SUMPRODUCT(((Recommendations[ImplStatus]="Implemented")+(Recommendations[ImplStatus]="Compensated"))*ISNUMBER(MATCH(Recommendations[Id],J40:AW40,0)))/COUNTIF(J40:AW40,"&lt;&gt;"))</f>
        <v/>
      </c>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32"/>
      <c r="AT40" s="132"/>
      <c r="AU40" s="132"/>
      <c r="AV40" s="132"/>
      <c r="AW40" s="142"/>
    </row>
    <row r="41" spans="1:49" ht="60" customHeight="1" x14ac:dyDescent="0.35">
      <c r="A41" s="139" t="s">
        <v>3155</v>
      </c>
      <c r="B41" s="125" t="s">
        <v>3220</v>
      </c>
      <c r="C41" s="126" t="s">
        <v>3221</v>
      </c>
      <c r="D41" s="128" t="s">
        <v>3222</v>
      </c>
      <c r="E41" s="128" t="s">
        <v>3223</v>
      </c>
      <c r="F41" s="128" t="s">
        <v>3224</v>
      </c>
      <c r="G41" s="128" t="s">
        <v>3162</v>
      </c>
      <c r="H41" s="128" t="s">
        <v>3225</v>
      </c>
      <c r="I41" s="130" t="str">
        <f>IF(COUNTIF(J41:AW41,"&lt;&gt;")=0,"",SUMPRODUCT(((Recommendations[ImplStatus]="Implemented")+(Recommendations[ImplStatus]="Compensated"))*ISNUMBER(MATCH(Recommendations[Id],J41:AW41,0)))/COUNTIF(J41:AW41,"&lt;&gt;"))</f>
        <v/>
      </c>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L41" s="132"/>
      <c r="AM41" s="132"/>
      <c r="AN41" s="132"/>
      <c r="AO41" s="132"/>
      <c r="AP41" s="132"/>
      <c r="AQ41" s="132"/>
      <c r="AR41" s="132"/>
      <c r="AS41" s="132"/>
      <c r="AT41" s="132"/>
      <c r="AU41" s="132"/>
      <c r="AV41" s="132"/>
      <c r="AW41" s="142"/>
    </row>
    <row r="42" spans="1:49" ht="60" customHeight="1" outlineLevel="1" x14ac:dyDescent="0.35">
      <c r="A42" s="138" t="s">
        <v>3226</v>
      </c>
      <c r="B42" s="124"/>
      <c r="C42" s="123" t="s">
        <v>3227</v>
      </c>
      <c r="D42" s="127"/>
      <c r="E42" s="127"/>
      <c r="F42" s="127"/>
      <c r="G42" s="127"/>
      <c r="H42" s="127"/>
      <c r="I42" s="129" t="str">
        <f>IF(COUNTIF(J42:AW42,"&lt;&gt;")=0,"",SUMPRODUCT(((Recommendations[ImplStatus]="Implemented")+(Recommendations[ImplStatus]="Compensated"))*ISNUMBER(MATCH(Recommendations[Id],J42:AW42,0)))/COUNTIF(J42:AW42,"&lt;&gt;"))</f>
        <v/>
      </c>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131"/>
      <c r="AO42" s="131"/>
      <c r="AP42" s="131"/>
      <c r="AQ42" s="131"/>
      <c r="AR42" s="131"/>
      <c r="AS42" s="131"/>
      <c r="AT42" s="131"/>
      <c r="AU42" s="131"/>
      <c r="AV42" s="131"/>
      <c r="AW42" s="141"/>
    </row>
    <row r="43" spans="1:49" ht="60" customHeight="1" x14ac:dyDescent="0.35">
      <c r="A43" s="139" t="s">
        <v>3226</v>
      </c>
      <c r="B43" s="125" t="s">
        <v>3228</v>
      </c>
      <c r="C43" s="126" t="s">
        <v>3229</v>
      </c>
      <c r="D43" s="128" t="s">
        <v>3230</v>
      </c>
      <c r="E43" s="128" t="s">
        <v>3231</v>
      </c>
      <c r="F43" s="128" t="s">
        <v>3232</v>
      </c>
      <c r="G43" s="128" t="s">
        <v>3233</v>
      </c>
      <c r="H43" s="128" t="s">
        <v>3234</v>
      </c>
      <c r="I43" s="130">
        <f>IF(COUNTIF(J43:AW43,"&lt;&gt;")=0,"",SUMPRODUCT(((Recommendations[ImplStatus]="Implemented")+(Recommendations[ImplStatus]="Compensated"))*ISNUMBER(MATCH(Recommendations[Id],J43:AW43,0)))/COUNTIF(J43:AW43,"&lt;&gt;"))</f>
        <v>0</v>
      </c>
      <c r="J43" s="132" t="s">
        <v>348</v>
      </c>
      <c r="K43" s="132" t="s">
        <v>353</v>
      </c>
      <c r="L43" s="132" t="s">
        <v>383</v>
      </c>
      <c r="M43" s="132" t="s">
        <v>388</v>
      </c>
      <c r="N43" s="132" t="s">
        <v>392</v>
      </c>
      <c r="O43" s="132" t="s">
        <v>720</v>
      </c>
      <c r="P43" s="132" t="s">
        <v>788</v>
      </c>
      <c r="Q43" s="132" t="s">
        <v>841</v>
      </c>
      <c r="R43" s="132"/>
      <c r="S43" s="132"/>
      <c r="T43" s="132"/>
      <c r="U43" s="132"/>
      <c r="V43" s="132"/>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42"/>
    </row>
    <row r="44" spans="1:49" ht="60" customHeight="1" x14ac:dyDescent="0.35">
      <c r="A44" s="139" t="s">
        <v>3226</v>
      </c>
      <c r="B44" s="125" t="s">
        <v>3235</v>
      </c>
      <c r="C44" s="126" t="s">
        <v>3236</v>
      </c>
      <c r="D44" s="128" t="s">
        <v>3237</v>
      </c>
      <c r="E44" s="128" t="s">
        <v>3238</v>
      </c>
      <c r="F44" s="128" t="s">
        <v>3239</v>
      </c>
      <c r="G44" s="128" t="s">
        <v>3240</v>
      </c>
      <c r="H44" s="128" t="s">
        <v>3241</v>
      </c>
      <c r="I44" s="130" t="str">
        <f>IF(COUNTIF(J44:AW44,"&lt;&gt;")=0,"",SUMPRODUCT(((Recommendations[ImplStatus]="Implemented")+(Recommendations[ImplStatus]="Compensated"))*ISNUMBER(MATCH(Recommendations[Id],J44:AW44,0)))/COUNTIF(J44:AW44,"&lt;&gt;"))</f>
        <v/>
      </c>
      <c r="J44" s="132"/>
      <c r="K44" s="132"/>
      <c r="L44" s="132"/>
      <c r="M44" s="132"/>
      <c r="N44" s="132"/>
      <c r="O44" s="132"/>
      <c r="P44" s="132"/>
      <c r="Q44" s="132"/>
      <c r="R44" s="132"/>
      <c r="S44" s="132"/>
      <c r="T44" s="132"/>
      <c r="U44" s="132"/>
      <c r="V44" s="132"/>
      <c r="W44" s="132"/>
      <c r="X44" s="132"/>
      <c r="Y44" s="132"/>
      <c r="Z44" s="132"/>
      <c r="AA44" s="132"/>
      <c r="AB44" s="132"/>
      <c r="AC44" s="132"/>
      <c r="AD44" s="132"/>
      <c r="AE44" s="132"/>
      <c r="AF44" s="132"/>
      <c r="AG44" s="132"/>
      <c r="AH44" s="132"/>
      <c r="AI44" s="132"/>
      <c r="AJ44" s="132"/>
      <c r="AK44" s="132"/>
      <c r="AL44" s="132"/>
      <c r="AM44" s="132"/>
      <c r="AN44" s="132"/>
      <c r="AO44" s="132"/>
      <c r="AP44" s="132"/>
      <c r="AQ44" s="132"/>
      <c r="AR44" s="132"/>
      <c r="AS44" s="132"/>
      <c r="AT44" s="132"/>
      <c r="AU44" s="132"/>
      <c r="AV44" s="132"/>
      <c r="AW44" s="142"/>
    </row>
    <row r="45" spans="1:49" ht="60" customHeight="1" x14ac:dyDescent="0.35">
      <c r="A45" s="139" t="s">
        <v>3226</v>
      </c>
      <c r="B45" s="125" t="s">
        <v>3242</v>
      </c>
      <c r="C45" s="126" t="s">
        <v>3243</v>
      </c>
      <c r="D45" s="128" t="s">
        <v>3244</v>
      </c>
      <c r="E45" s="128" t="s">
        <v>3245</v>
      </c>
      <c r="F45" s="128" t="s">
        <v>3246</v>
      </c>
      <c r="G45" s="128" t="s">
        <v>3247</v>
      </c>
      <c r="H45" s="128" t="s">
        <v>3248</v>
      </c>
      <c r="I45" s="130">
        <f>IF(COUNTIF(J45:AW45,"&lt;&gt;")=0,"",SUMPRODUCT(((Recommendations[ImplStatus]="Implemented")+(Recommendations[ImplStatus]="Compensated"))*ISNUMBER(MATCH(Recommendations[Id],J45:AW45,0)))/COUNTIF(J45:AW45,"&lt;&gt;"))</f>
        <v>0</v>
      </c>
      <c r="J45" s="132" t="s">
        <v>240</v>
      </c>
      <c r="K45" s="132" t="s">
        <v>293</v>
      </c>
      <c r="L45" s="132" t="s">
        <v>298</v>
      </c>
      <c r="M45" s="132" t="s">
        <v>303</v>
      </c>
      <c r="N45" s="132" t="s">
        <v>720</v>
      </c>
      <c r="O45" s="132" t="s">
        <v>793</v>
      </c>
      <c r="P45" s="132" t="s">
        <v>826</v>
      </c>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42"/>
    </row>
    <row r="46" spans="1:49" ht="60" customHeight="1" x14ac:dyDescent="0.35">
      <c r="A46" s="139" t="s">
        <v>3226</v>
      </c>
      <c r="B46" s="125" t="s">
        <v>3249</v>
      </c>
      <c r="C46" s="126" t="s">
        <v>3250</v>
      </c>
      <c r="D46" s="128" t="s">
        <v>3251</v>
      </c>
      <c r="E46" s="128" t="s">
        <v>3252</v>
      </c>
      <c r="F46" s="128" t="s">
        <v>3253</v>
      </c>
      <c r="G46" s="128" t="s">
        <v>3247</v>
      </c>
      <c r="H46" s="128" t="s">
        <v>3254</v>
      </c>
      <c r="I46" s="130" t="str">
        <f>IF(COUNTIF(J46:AW46,"&lt;&gt;")=0,"",SUMPRODUCT(((Recommendations[ImplStatus]="Implemented")+(Recommendations[ImplStatus]="Compensated"))*ISNUMBER(MATCH(Recommendations[Id],J46:AW46,0)))/COUNTIF(J46:AW46,"&lt;&gt;"))</f>
        <v/>
      </c>
      <c r="J46" s="132"/>
      <c r="K46" s="132"/>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c r="AI46" s="132"/>
      <c r="AJ46" s="132"/>
      <c r="AK46" s="132"/>
      <c r="AL46" s="132"/>
      <c r="AM46" s="132"/>
      <c r="AN46" s="132"/>
      <c r="AO46" s="132"/>
      <c r="AP46" s="132"/>
      <c r="AQ46" s="132"/>
      <c r="AR46" s="132"/>
      <c r="AS46" s="132"/>
      <c r="AT46" s="132"/>
      <c r="AU46" s="132"/>
      <c r="AV46" s="132"/>
      <c r="AW46" s="142"/>
    </row>
    <row r="47" spans="1:49" ht="60" customHeight="1" x14ac:dyDescent="0.35">
      <c r="A47" s="139" t="s">
        <v>3226</v>
      </c>
      <c r="B47" s="125" t="s">
        <v>3255</v>
      </c>
      <c r="C47" s="126" t="s">
        <v>3256</v>
      </c>
      <c r="D47" s="128" t="s">
        <v>3257</v>
      </c>
      <c r="E47" s="128" t="s">
        <v>3258</v>
      </c>
      <c r="F47" s="128" t="s">
        <v>3259</v>
      </c>
      <c r="G47" s="128" t="s">
        <v>3260</v>
      </c>
      <c r="H47" s="128" t="s">
        <v>3261</v>
      </c>
      <c r="I47" s="130" t="str">
        <f>IF(COUNTIF(J47:AW47,"&lt;&gt;")=0,"",SUMPRODUCT(((Recommendations[ImplStatus]="Implemented")+(Recommendations[ImplStatus]="Compensated"))*ISNUMBER(MATCH(Recommendations[Id],J47:AW47,0)))/COUNTIF(J47:AW47,"&lt;&gt;"))</f>
        <v/>
      </c>
      <c r="J47" s="132"/>
      <c r="K47" s="132"/>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32"/>
      <c r="AL47" s="132"/>
      <c r="AM47" s="132"/>
      <c r="AN47" s="132"/>
      <c r="AO47" s="132"/>
      <c r="AP47" s="132"/>
      <c r="AQ47" s="132"/>
      <c r="AR47" s="132"/>
      <c r="AS47" s="132"/>
      <c r="AT47" s="132"/>
      <c r="AU47" s="132"/>
      <c r="AV47" s="132"/>
      <c r="AW47" s="142"/>
    </row>
    <row r="48" spans="1:49" ht="60" customHeight="1" x14ac:dyDescent="0.35">
      <c r="A48" s="139" t="s">
        <v>3226</v>
      </c>
      <c r="B48" s="125" t="s">
        <v>3262</v>
      </c>
      <c r="C48" s="126" t="s">
        <v>3263</v>
      </c>
      <c r="D48" s="128" t="s">
        <v>3264</v>
      </c>
      <c r="E48" s="128" t="s">
        <v>3265</v>
      </c>
      <c r="F48" s="128" t="s">
        <v>3266</v>
      </c>
      <c r="G48" s="128" t="s">
        <v>3267</v>
      </c>
      <c r="H48" s="128" t="s">
        <v>3268</v>
      </c>
      <c r="I48" s="130">
        <f>IF(COUNTIF(J48:AW48,"&lt;&gt;")=0,"",SUMPRODUCT(((Recommendations[ImplStatus]="Implemented")+(Recommendations[ImplStatus]="Compensated"))*ISNUMBER(MATCH(Recommendations[Id],J48:AW48,0)))/COUNTIF(J48:AW48,"&lt;&gt;"))</f>
        <v>0</v>
      </c>
      <c r="J48" s="132" t="s">
        <v>725</v>
      </c>
      <c r="K48" s="132" t="s">
        <v>730</v>
      </c>
      <c r="L48" s="132" t="s">
        <v>735</v>
      </c>
      <c r="M48" s="132" t="s">
        <v>740</v>
      </c>
      <c r="N48" s="132" t="s">
        <v>745</v>
      </c>
      <c r="O48" s="132" t="s">
        <v>750</v>
      </c>
      <c r="P48" s="132" t="s">
        <v>755</v>
      </c>
      <c r="Q48" s="132" t="s">
        <v>760</v>
      </c>
      <c r="R48" s="132" t="s">
        <v>765</v>
      </c>
      <c r="S48" s="132" t="s">
        <v>770</v>
      </c>
      <c r="T48" s="132" t="s">
        <v>774</v>
      </c>
      <c r="U48" s="132" t="s">
        <v>779</v>
      </c>
      <c r="V48" s="132" t="s">
        <v>783</v>
      </c>
      <c r="W48" s="132" t="s">
        <v>821</v>
      </c>
      <c r="X48" s="132" t="s">
        <v>831</v>
      </c>
      <c r="Y48" s="132" t="s">
        <v>846</v>
      </c>
      <c r="Z48" s="132" t="s">
        <v>851</v>
      </c>
      <c r="AA48" s="132" t="s">
        <v>855</v>
      </c>
      <c r="AB48" s="132" t="s">
        <v>1653</v>
      </c>
      <c r="AC48" s="132" t="s">
        <v>1685</v>
      </c>
      <c r="AD48" s="132" t="s">
        <v>1690</v>
      </c>
      <c r="AE48" s="132" t="s">
        <v>1695</v>
      </c>
      <c r="AF48" s="132" t="s">
        <v>1699</v>
      </c>
      <c r="AG48" s="132"/>
      <c r="AH48" s="132"/>
      <c r="AI48" s="132"/>
      <c r="AJ48" s="132"/>
      <c r="AK48" s="132"/>
      <c r="AL48" s="132"/>
      <c r="AM48" s="132"/>
      <c r="AN48" s="132"/>
      <c r="AO48" s="132"/>
      <c r="AP48" s="132"/>
      <c r="AQ48" s="132"/>
      <c r="AR48" s="132"/>
      <c r="AS48" s="132"/>
      <c r="AT48" s="132"/>
      <c r="AU48" s="132"/>
      <c r="AV48" s="132"/>
      <c r="AW48" s="142"/>
    </row>
    <row r="49" spans="1:49" ht="60" customHeight="1" x14ac:dyDescent="0.35">
      <c r="A49" s="139" t="s">
        <v>3226</v>
      </c>
      <c r="B49" s="125" t="s">
        <v>3269</v>
      </c>
      <c r="C49" s="126" t="s">
        <v>3270</v>
      </c>
      <c r="D49" s="128" t="s">
        <v>3271</v>
      </c>
      <c r="E49" s="128" t="s">
        <v>3272</v>
      </c>
      <c r="F49" s="128" t="s">
        <v>3273</v>
      </c>
      <c r="G49" s="128" t="s">
        <v>3031</v>
      </c>
      <c r="H49" s="128" t="s">
        <v>3274</v>
      </c>
      <c r="I49" s="130" t="str">
        <f>IF(COUNTIF(J49:AW49,"&lt;&gt;")=0,"",SUMPRODUCT(((Recommendations[ImplStatus]="Implemented")+(Recommendations[ImplStatus]="Compensated"))*ISNUMBER(MATCH(Recommendations[Id],J49:AW49,0)))/COUNTIF(J49:AW49,"&lt;&gt;"))</f>
        <v/>
      </c>
      <c r="J49" s="132"/>
      <c r="K49" s="132"/>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c r="AI49" s="132"/>
      <c r="AJ49" s="132"/>
      <c r="AK49" s="132"/>
      <c r="AL49" s="132"/>
      <c r="AM49" s="132"/>
      <c r="AN49" s="132"/>
      <c r="AO49" s="132"/>
      <c r="AP49" s="132"/>
      <c r="AQ49" s="132"/>
      <c r="AR49" s="132"/>
      <c r="AS49" s="132"/>
      <c r="AT49" s="132"/>
      <c r="AU49" s="132"/>
      <c r="AV49" s="132"/>
      <c r="AW49" s="142"/>
    </row>
    <row r="50" spans="1:49" ht="60" customHeight="1" x14ac:dyDescent="0.35">
      <c r="A50" s="139" t="s">
        <v>3226</v>
      </c>
      <c r="B50" s="125" t="s">
        <v>3275</v>
      </c>
      <c r="C50" s="126" t="s">
        <v>3276</v>
      </c>
      <c r="D50" s="128" t="s">
        <v>3277</v>
      </c>
      <c r="E50" s="128" t="s">
        <v>3278</v>
      </c>
      <c r="F50" s="128" t="s">
        <v>3279</v>
      </c>
      <c r="G50" s="128" t="s">
        <v>3280</v>
      </c>
      <c r="H50" s="128" t="s">
        <v>3281</v>
      </c>
      <c r="I50" s="130" t="str">
        <f>IF(COUNTIF(J50:AW50,"&lt;&gt;")=0,"",SUMPRODUCT(((Recommendations[ImplStatus]="Implemented")+(Recommendations[ImplStatus]="Compensated"))*ISNUMBER(MATCH(Recommendations[Id],J50:AW50,0)))/COUNTIF(J50:AW50,"&lt;&gt;"))</f>
        <v/>
      </c>
      <c r="J50" s="132"/>
      <c r="K50" s="132"/>
      <c r="L50" s="132"/>
      <c r="M50" s="132"/>
      <c r="N50" s="132"/>
      <c r="O50" s="132"/>
      <c r="P50" s="132"/>
      <c r="Q50" s="132"/>
      <c r="R50" s="132"/>
      <c r="S50" s="132"/>
      <c r="T50" s="132"/>
      <c r="U50" s="132"/>
      <c r="V50" s="132"/>
      <c r="W50" s="132"/>
      <c r="X50" s="132"/>
      <c r="Y50" s="132"/>
      <c r="Z50" s="132"/>
      <c r="AA50" s="132"/>
      <c r="AB50" s="132"/>
      <c r="AC50" s="132"/>
      <c r="AD50" s="132"/>
      <c r="AE50" s="132"/>
      <c r="AF50" s="132"/>
      <c r="AG50" s="132"/>
      <c r="AH50" s="132"/>
      <c r="AI50" s="132"/>
      <c r="AJ50" s="132"/>
      <c r="AK50" s="132"/>
      <c r="AL50" s="132"/>
      <c r="AM50" s="132"/>
      <c r="AN50" s="132"/>
      <c r="AO50" s="132"/>
      <c r="AP50" s="132"/>
      <c r="AQ50" s="132"/>
      <c r="AR50" s="132"/>
      <c r="AS50" s="132"/>
      <c r="AT50" s="132"/>
      <c r="AU50" s="132"/>
      <c r="AV50" s="132"/>
      <c r="AW50" s="142"/>
    </row>
    <row r="51" spans="1:49" ht="60" customHeight="1" outlineLevel="1" x14ac:dyDescent="0.35">
      <c r="A51" s="138" t="s">
        <v>3282</v>
      </c>
      <c r="B51" s="124"/>
      <c r="C51" s="123" t="s">
        <v>3283</v>
      </c>
      <c r="D51" s="127"/>
      <c r="E51" s="127"/>
      <c r="F51" s="127"/>
      <c r="G51" s="127"/>
      <c r="H51" s="127"/>
      <c r="I51" s="129" t="str">
        <f>IF(COUNTIF(J51:AW51,"&lt;&gt;")=0,"",SUMPRODUCT(((Recommendations[ImplStatus]="Implemented")+(Recommendations[ImplStatus]="Compensated"))*ISNUMBER(MATCH(Recommendations[Id],J51:AW51,0)))/COUNTIF(J51:AW51,"&lt;&gt;"))</f>
        <v/>
      </c>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1"/>
      <c r="AO51" s="131"/>
      <c r="AP51" s="131"/>
      <c r="AQ51" s="131"/>
      <c r="AR51" s="131"/>
      <c r="AS51" s="131"/>
      <c r="AT51" s="131"/>
      <c r="AU51" s="131"/>
      <c r="AV51" s="131"/>
      <c r="AW51" s="141"/>
    </row>
    <row r="52" spans="1:49" ht="60" customHeight="1" x14ac:dyDescent="0.35">
      <c r="A52" s="139" t="s">
        <v>3282</v>
      </c>
      <c r="B52" s="125" t="s">
        <v>3284</v>
      </c>
      <c r="C52" s="126" t="s">
        <v>3285</v>
      </c>
      <c r="D52" s="128" t="s">
        <v>3286</v>
      </c>
      <c r="E52" s="128" t="s">
        <v>3287</v>
      </c>
      <c r="F52" s="128" t="s">
        <v>3288</v>
      </c>
      <c r="G52" s="128" t="s">
        <v>3289</v>
      </c>
      <c r="H52" s="128" t="s">
        <v>3290</v>
      </c>
      <c r="I52" s="130" t="str">
        <f>IF(COUNTIF(J52:AW52,"&lt;&gt;")=0,"",SUMPRODUCT(((Recommendations[ImplStatus]="Implemented")+(Recommendations[ImplStatus]="Compensated"))*ISNUMBER(MATCH(Recommendations[Id],J52:AW52,0)))/COUNTIF(J52:AW52,"&lt;&gt;"))</f>
        <v/>
      </c>
      <c r="J52" s="132"/>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32"/>
      <c r="AO52" s="132"/>
      <c r="AP52" s="132"/>
      <c r="AQ52" s="132"/>
      <c r="AR52" s="132"/>
      <c r="AS52" s="132"/>
      <c r="AT52" s="132"/>
      <c r="AU52" s="132"/>
      <c r="AV52" s="132"/>
      <c r="AW52" s="142"/>
    </row>
    <row r="53" spans="1:49" ht="60" customHeight="1" x14ac:dyDescent="0.35">
      <c r="A53" s="139" t="s">
        <v>3282</v>
      </c>
      <c r="B53" s="125" t="s">
        <v>3291</v>
      </c>
      <c r="C53" s="126" t="s">
        <v>3292</v>
      </c>
      <c r="D53" s="128" t="s">
        <v>3293</v>
      </c>
      <c r="E53" s="128" t="s">
        <v>3294</v>
      </c>
      <c r="F53" s="128" t="s">
        <v>3295</v>
      </c>
      <c r="G53" s="128" t="s">
        <v>3296</v>
      </c>
      <c r="H53" s="128" t="s">
        <v>3297</v>
      </c>
      <c r="I53" s="130" t="str">
        <f>IF(COUNTIF(J53:AW53,"&lt;&gt;")=0,"",SUMPRODUCT(((Recommendations[ImplStatus]="Implemented")+(Recommendations[ImplStatus]="Compensated"))*ISNUMBER(MATCH(Recommendations[Id],J53:AW53,0)))/COUNTIF(J53:AW53,"&lt;&gt;"))</f>
        <v/>
      </c>
      <c r="J53" s="132"/>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c r="AI53" s="132"/>
      <c r="AJ53" s="132"/>
      <c r="AK53" s="132"/>
      <c r="AL53" s="132"/>
      <c r="AM53" s="132"/>
      <c r="AN53" s="132"/>
      <c r="AO53" s="132"/>
      <c r="AP53" s="132"/>
      <c r="AQ53" s="132"/>
      <c r="AR53" s="132"/>
      <c r="AS53" s="132"/>
      <c r="AT53" s="132"/>
      <c r="AU53" s="132"/>
      <c r="AV53" s="132"/>
      <c r="AW53" s="142"/>
    </row>
    <row r="54" spans="1:49" ht="60" customHeight="1" x14ac:dyDescent="0.35">
      <c r="A54" s="139" t="s">
        <v>3282</v>
      </c>
      <c r="B54" s="125" t="s">
        <v>3298</v>
      </c>
      <c r="C54" s="126" t="s">
        <v>3299</v>
      </c>
      <c r="D54" s="128" t="s">
        <v>3300</v>
      </c>
      <c r="E54" s="128" t="s">
        <v>3301</v>
      </c>
      <c r="F54" s="128" t="s">
        <v>3302</v>
      </c>
      <c r="G54" s="128" t="s">
        <v>3303</v>
      </c>
      <c r="H54" s="128" t="s">
        <v>19</v>
      </c>
      <c r="I54" s="130" t="str">
        <f>IF(COUNTIF(J54:AW54,"&lt;&gt;")=0,"",SUMPRODUCT(((Recommendations[ImplStatus]="Implemented")+(Recommendations[ImplStatus]="Compensated"))*ISNUMBER(MATCH(Recommendations[Id],J54:AW54,0)))/COUNTIF(J54:AW54,"&lt;&gt;"))</f>
        <v/>
      </c>
      <c r="J54" s="132"/>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c r="AI54" s="132"/>
      <c r="AJ54" s="132"/>
      <c r="AK54" s="132"/>
      <c r="AL54" s="132"/>
      <c r="AM54" s="132"/>
      <c r="AN54" s="132"/>
      <c r="AO54" s="132"/>
      <c r="AP54" s="132"/>
      <c r="AQ54" s="132"/>
      <c r="AR54" s="132"/>
      <c r="AS54" s="132"/>
      <c r="AT54" s="132"/>
      <c r="AU54" s="132"/>
      <c r="AV54" s="132"/>
      <c r="AW54" s="142"/>
    </row>
    <row r="55" spans="1:49" ht="60" customHeight="1" x14ac:dyDescent="0.35">
      <c r="A55" s="139" t="s">
        <v>3282</v>
      </c>
      <c r="B55" s="125" t="s">
        <v>3304</v>
      </c>
      <c r="C55" s="126" t="s">
        <v>3305</v>
      </c>
      <c r="D55" s="128" t="s">
        <v>3306</v>
      </c>
      <c r="E55" s="128" t="s">
        <v>3307</v>
      </c>
      <c r="F55" s="128" t="s">
        <v>3308</v>
      </c>
      <c r="G55" s="128" t="s">
        <v>3309</v>
      </c>
      <c r="H55" s="128" t="s">
        <v>19</v>
      </c>
      <c r="I55" s="130" t="str">
        <f>IF(COUNTIF(J55:AW55,"&lt;&gt;")=0,"",SUMPRODUCT(((Recommendations[ImplStatus]="Implemented")+(Recommendations[ImplStatus]="Compensated"))*ISNUMBER(MATCH(Recommendations[Id],J55:AW55,0)))/COUNTIF(J55:AW55,"&lt;&gt;"))</f>
        <v/>
      </c>
      <c r="J55" s="132"/>
      <c r="K55" s="132"/>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c r="AI55" s="132"/>
      <c r="AJ55" s="132"/>
      <c r="AK55" s="132"/>
      <c r="AL55" s="132"/>
      <c r="AM55" s="132"/>
      <c r="AN55" s="132"/>
      <c r="AO55" s="132"/>
      <c r="AP55" s="132"/>
      <c r="AQ55" s="132"/>
      <c r="AR55" s="132"/>
      <c r="AS55" s="132"/>
      <c r="AT55" s="132"/>
      <c r="AU55" s="132"/>
      <c r="AV55" s="132"/>
      <c r="AW55" s="142"/>
    </row>
    <row r="56" spans="1:49" ht="60" customHeight="1" x14ac:dyDescent="0.35">
      <c r="A56" s="139" t="s">
        <v>3282</v>
      </c>
      <c r="B56" s="125" t="s">
        <v>3310</v>
      </c>
      <c r="C56" s="126" t="s">
        <v>3311</v>
      </c>
      <c r="D56" s="128" t="s">
        <v>3312</v>
      </c>
      <c r="E56" s="128" t="s">
        <v>3313</v>
      </c>
      <c r="F56" s="128" t="s">
        <v>3314</v>
      </c>
      <c r="G56" s="128" t="s">
        <v>3315</v>
      </c>
      <c r="H56" s="128" t="s">
        <v>3316</v>
      </c>
      <c r="I56" s="130" t="str">
        <f>IF(COUNTIF(J56:AW56,"&lt;&gt;")=0,"",SUMPRODUCT(((Recommendations[ImplStatus]="Implemented")+(Recommendations[ImplStatus]="Compensated"))*ISNUMBER(MATCH(Recommendations[Id],J56:AW56,0)))/COUNTIF(J56:AW56,"&lt;&gt;"))</f>
        <v/>
      </c>
      <c r="J56" s="132"/>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132"/>
      <c r="AH56" s="132"/>
      <c r="AI56" s="132"/>
      <c r="AJ56" s="132"/>
      <c r="AK56" s="132"/>
      <c r="AL56" s="132"/>
      <c r="AM56" s="132"/>
      <c r="AN56" s="132"/>
      <c r="AO56" s="132"/>
      <c r="AP56" s="132"/>
      <c r="AQ56" s="132"/>
      <c r="AR56" s="132"/>
      <c r="AS56" s="132"/>
      <c r="AT56" s="132"/>
      <c r="AU56" s="132"/>
      <c r="AV56" s="132"/>
      <c r="AW56" s="142"/>
    </row>
    <row r="57" spans="1:49" ht="60" customHeight="1" outlineLevel="1" x14ac:dyDescent="0.35">
      <c r="A57" s="138" t="s">
        <v>3317</v>
      </c>
      <c r="B57" s="124"/>
      <c r="C57" s="123" t="s">
        <v>3318</v>
      </c>
      <c r="D57" s="127"/>
      <c r="E57" s="127"/>
      <c r="F57" s="127"/>
      <c r="G57" s="127"/>
      <c r="H57" s="127"/>
      <c r="I57" s="129" t="str">
        <f>IF(COUNTIF(J57:AW57,"&lt;&gt;")=0,"",SUMPRODUCT(((Recommendations[ImplStatus]="Implemented")+(Recommendations[ImplStatus]="Compensated"))*ISNUMBER(MATCH(Recommendations[Id],J57:AW57,0)))/COUNTIF(J57:AW57,"&lt;&gt;"))</f>
        <v/>
      </c>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131"/>
      <c r="AO57" s="131"/>
      <c r="AP57" s="131"/>
      <c r="AQ57" s="131"/>
      <c r="AR57" s="131"/>
      <c r="AS57" s="131"/>
      <c r="AT57" s="131"/>
      <c r="AU57" s="131"/>
      <c r="AV57" s="131"/>
      <c r="AW57" s="141"/>
    </row>
    <row r="58" spans="1:49" ht="60" customHeight="1" x14ac:dyDescent="0.35">
      <c r="A58" s="139" t="s">
        <v>3317</v>
      </c>
      <c r="B58" s="125" t="s">
        <v>3319</v>
      </c>
      <c r="C58" s="126" t="s">
        <v>3320</v>
      </c>
      <c r="D58" s="128" t="s">
        <v>3321</v>
      </c>
      <c r="E58" s="128" t="s">
        <v>3322</v>
      </c>
      <c r="F58" s="128" t="s">
        <v>3323</v>
      </c>
      <c r="G58" s="128" t="s">
        <v>3324</v>
      </c>
      <c r="H58" s="128" t="s">
        <v>3325</v>
      </c>
      <c r="I58" s="130" t="str">
        <f>IF(COUNTIF(J58:AW58,"&lt;&gt;")=0,"",SUMPRODUCT(((Recommendations[ImplStatus]="Implemented")+(Recommendations[ImplStatus]="Compensated"))*ISNUMBER(MATCH(Recommendations[Id],J58:AW58,0)))/COUNTIF(J58:AW58,"&lt;&gt;"))</f>
        <v/>
      </c>
      <c r="J58" s="132"/>
      <c r="K58" s="132"/>
      <c r="L58" s="132"/>
      <c r="M58" s="132"/>
      <c r="N58" s="132"/>
      <c r="O58" s="132"/>
      <c r="P58" s="132"/>
      <c r="Q58" s="132"/>
      <c r="R58" s="132"/>
      <c r="S58" s="132"/>
      <c r="T58" s="132"/>
      <c r="U58" s="132"/>
      <c r="V58" s="132"/>
      <c r="W58" s="132"/>
      <c r="X58" s="132"/>
      <c r="Y58" s="132"/>
      <c r="Z58" s="132"/>
      <c r="AA58" s="132"/>
      <c r="AB58" s="132"/>
      <c r="AC58" s="132"/>
      <c r="AD58" s="132"/>
      <c r="AE58" s="132"/>
      <c r="AF58" s="132"/>
      <c r="AG58" s="132"/>
      <c r="AH58" s="132"/>
      <c r="AI58" s="132"/>
      <c r="AJ58" s="132"/>
      <c r="AK58" s="132"/>
      <c r="AL58" s="132"/>
      <c r="AM58" s="132"/>
      <c r="AN58" s="132"/>
      <c r="AO58" s="132"/>
      <c r="AP58" s="132"/>
      <c r="AQ58" s="132"/>
      <c r="AR58" s="132"/>
      <c r="AS58" s="132"/>
      <c r="AT58" s="132"/>
      <c r="AU58" s="132"/>
      <c r="AV58" s="132"/>
      <c r="AW58" s="142"/>
    </row>
    <row r="59" spans="1:49" ht="60" customHeight="1" x14ac:dyDescent="0.35">
      <c r="A59" s="139" t="s">
        <v>3317</v>
      </c>
      <c r="B59" s="125" t="s">
        <v>3326</v>
      </c>
      <c r="C59" s="126" t="s">
        <v>3327</v>
      </c>
      <c r="D59" s="128" t="s">
        <v>3328</v>
      </c>
      <c r="E59" s="128" t="s">
        <v>3329</v>
      </c>
      <c r="F59" s="128" t="s">
        <v>3330</v>
      </c>
      <c r="G59" s="128" t="s">
        <v>3331</v>
      </c>
      <c r="H59" s="128" t="s">
        <v>3332</v>
      </c>
      <c r="I59" s="130" t="str">
        <f>IF(COUNTIF(J59:AW59,"&lt;&gt;")=0,"",SUMPRODUCT(((Recommendations[ImplStatus]="Implemented")+(Recommendations[ImplStatus]="Compensated"))*ISNUMBER(MATCH(Recommendations[Id],J59:AW59,0)))/COUNTIF(J59:AW59,"&lt;&gt;"))</f>
        <v/>
      </c>
      <c r="J59" s="132"/>
      <c r="K59" s="132"/>
      <c r="L59" s="132"/>
      <c r="M59" s="132"/>
      <c r="N59" s="132"/>
      <c r="O59" s="132"/>
      <c r="P59" s="132"/>
      <c r="Q59" s="132"/>
      <c r="R59" s="132"/>
      <c r="S59" s="132"/>
      <c r="T59" s="132"/>
      <c r="U59" s="132"/>
      <c r="V59" s="132"/>
      <c r="W59" s="132"/>
      <c r="X59" s="132"/>
      <c r="Y59" s="132"/>
      <c r="Z59" s="132"/>
      <c r="AA59" s="132"/>
      <c r="AB59" s="132"/>
      <c r="AC59" s="132"/>
      <c r="AD59" s="132"/>
      <c r="AE59" s="132"/>
      <c r="AF59" s="132"/>
      <c r="AG59" s="132"/>
      <c r="AH59" s="132"/>
      <c r="AI59" s="132"/>
      <c r="AJ59" s="132"/>
      <c r="AK59" s="132"/>
      <c r="AL59" s="132"/>
      <c r="AM59" s="132"/>
      <c r="AN59" s="132"/>
      <c r="AO59" s="132"/>
      <c r="AP59" s="132"/>
      <c r="AQ59" s="132"/>
      <c r="AR59" s="132"/>
      <c r="AS59" s="132"/>
      <c r="AT59" s="132"/>
      <c r="AU59" s="132"/>
      <c r="AV59" s="132"/>
      <c r="AW59" s="142"/>
    </row>
    <row r="60" spans="1:49" ht="60" customHeight="1" x14ac:dyDescent="0.35">
      <c r="A60" s="139" t="s">
        <v>3317</v>
      </c>
      <c r="B60" s="125" t="s">
        <v>3333</v>
      </c>
      <c r="C60" s="126" t="s">
        <v>3334</v>
      </c>
      <c r="D60" s="128" t="s">
        <v>3335</v>
      </c>
      <c r="E60" s="128" t="s">
        <v>3336</v>
      </c>
      <c r="F60" s="128" t="s">
        <v>3337</v>
      </c>
      <c r="G60" s="128" t="s">
        <v>3338</v>
      </c>
      <c r="H60" s="128" t="s">
        <v>3339</v>
      </c>
      <c r="I60" s="130" t="str">
        <f>IF(COUNTIF(J60:AW60,"&lt;&gt;")=0,"",SUMPRODUCT(((Recommendations[ImplStatus]="Implemented")+(Recommendations[ImplStatus]="Compensated"))*ISNUMBER(MATCH(Recommendations[Id],J60:AW60,0)))/COUNTIF(J60:AW60,"&lt;&gt;"))</f>
        <v/>
      </c>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c r="AP60" s="132"/>
      <c r="AQ60" s="132"/>
      <c r="AR60" s="132"/>
      <c r="AS60" s="132"/>
      <c r="AT60" s="132"/>
      <c r="AU60" s="132"/>
      <c r="AV60" s="132"/>
      <c r="AW60" s="142"/>
    </row>
    <row r="61" spans="1:49" ht="60" customHeight="1" outlineLevel="1" x14ac:dyDescent="0.35">
      <c r="A61" s="138" t="s">
        <v>3340</v>
      </c>
      <c r="B61" s="124"/>
      <c r="C61" s="123" t="s">
        <v>3341</v>
      </c>
      <c r="D61" s="127"/>
      <c r="E61" s="127"/>
      <c r="F61" s="127"/>
      <c r="G61" s="127"/>
      <c r="H61" s="127"/>
      <c r="I61" s="129" t="str">
        <f>IF(COUNTIF(J61:AW61,"&lt;&gt;")=0,"",SUMPRODUCT(((Recommendations[ImplStatus]="Implemented")+(Recommendations[ImplStatus]="Compensated"))*ISNUMBER(MATCH(Recommendations[Id],J61:AW61,0)))/COUNTIF(J61:AW61,"&lt;&gt;"))</f>
        <v/>
      </c>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41"/>
    </row>
    <row r="62" spans="1:49" ht="60" customHeight="1" x14ac:dyDescent="0.35">
      <c r="A62" s="139" t="s">
        <v>3340</v>
      </c>
      <c r="B62" s="125" t="s">
        <v>3342</v>
      </c>
      <c r="C62" s="126" t="s">
        <v>3343</v>
      </c>
      <c r="D62" s="128" t="s">
        <v>3344</v>
      </c>
      <c r="E62" s="128" t="s">
        <v>3345</v>
      </c>
      <c r="F62" s="128" t="s">
        <v>3346</v>
      </c>
      <c r="G62" s="128" t="s">
        <v>3347</v>
      </c>
      <c r="H62" s="128" t="s">
        <v>3348</v>
      </c>
      <c r="I62" s="130" t="str">
        <f>IF(COUNTIF(J62:AW62,"&lt;&gt;")=0,"",SUMPRODUCT(((Recommendations[ImplStatus]="Implemented")+(Recommendations[ImplStatus]="Compensated"))*ISNUMBER(MATCH(Recommendations[Id],J62:AW62,0)))/COUNTIF(J62:AW62,"&lt;&gt;"))</f>
        <v/>
      </c>
      <c r="J62" s="132"/>
      <c r="K62" s="132"/>
      <c r="L62" s="132"/>
      <c r="M62" s="132"/>
      <c r="N62" s="132"/>
      <c r="O62" s="132"/>
      <c r="P62" s="132"/>
      <c r="Q62" s="132"/>
      <c r="R62" s="132"/>
      <c r="S62" s="132"/>
      <c r="T62" s="132"/>
      <c r="U62" s="132"/>
      <c r="V62" s="132"/>
      <c r="W62" s="132"/>
      <c r="X62" s="132"/>
      <c r="Y62" s="132"/>
      <c r="Z62" s="132"/>
      <c r="AA62" s="132"/>
      <c r="AB62" s="132"/>
      <c r="AC62" s="132"/>
      <c r="AD62" s="132"/>
      <c r="AE62" s="132"/>
      <c r="AF62" s="132"/>
      <c r="AG62" s="132"/>
      <c r="AH62" s="132"/>
      <c r="AI62" s="132"/>
      <c r="AJ62" s="132"/>
      <c r="AK62" s="132"/>
      <c r="AL62" s="132"/>
      <c r="AM62" s="132"/>
      <c r="AN62" s="132"/>
      <c r="AO62" s="132"/>
      <c r="AP62" s="132"/>
      <c r="AQ62" s="132"/>
      <c r="AR62" s="132"/>
      <c r="AS62" s="132"/>
      <c r="AT62" s="132"/>
      <c r="AU62" s="132"/>
      <c r="AV62" s="132"/>
      <c r="AW62" s="142"/>
    </row>
    <row r="63" spans="1:49" ht="60" customHeight="1" x14ac:dyDescent="0.35">
      <c r="A63" s="139" t="s">
        <v>3340</v>
      </c>
      <c r="B63" s="125" t="s">
        <v>3349</v>
      </c>
      <c r="C63" s="126" t="s">
        <v>3350</v>
      </c>
      <c r="D63" s="128" t="s">
        <v>3351</v>
      </c>
      <c r="E63" s="128" t="s">
        <v>3352</v>
      </c>
      <c r="F63" s="128" t="s">
        <v>3353</v>
      </c>
      <c r="G63" s="128" t="s">
        <v>3354</v>
      </c>
      <c r="H63" s="128" t="s">
        <v>3355</v>
      </c>
      <c r="I63" s="130" t="str">
        <f>IF(COUNTIF(J63:AW63,"&lt;&gt;")=0,"",SUMPRODUCT(((Recommendations[ImplStatus]="Implemented")+(Recommendations[ImplStatus]="Compensated"))*ISNUMBER(MATCH(Recommendations[Id],J63:AW63,0)))/COUNTIF(J63:AW63,"&lt;&gt;"))</f>
        <v/>
      </c>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c r="AI63" s="132"/>
      <c r="AJ63" s="132"/>
      <c r="AK63" s="132"/>
      <c r="AL63" s="132"/>
      <c r="AM63" s="132"/>
      <c r="AN63" s="132"/>
      <c r="AO63" s="132"/>
      <c r="AP63" s="132"/>
      <c r="AQ63" s="132"/>
      <c r="AR63" s="132"/>
      <c r="AS63" s="132"/>
      <c r="AT63" s="132"/>
      <c r="AU63" s="132"/>
      <c r="AV63" s="132"/>
      <c r="AW63" s="142"/>
    </row>
    <row r="64" spans="1:49" ht="60" customHeight="1" x14ac:dyDescent="0.35">
      <c r="A64" s="139" t="s">
        <v>3340</v>
      </c>
      <c r="B64" s="125" t="s">
        <v>3356</v>
      </c>
      <c r="C64" s="126" t="s">
        <v>3357</v>
      </c>
      <c r="D64" s="128" t="s">
        <v>3358</v>
      </c>
      <c r="E64" s="128" t="s">
        <v>3359</v>
      </c>
      <c r="F64" s="128" t="s">
        <v>3360</v>
      </c>
      <c r="G64" s="128" t="s">
        <v>3361</v>
      </c>
      <c r="H64" s="128" t="s">
        <v>3362</v>
      </c>
      <c r="I64" s="130" t="str">
        <f>IF(COUNTIF(J64:AW64,"&lt;&gt;")=0,"",SUMPRODUCT(((Recommendations[ImplStatus]="Implemented")+(Recommendations[ImplStatus]="Compensated"))*ISNUMBER(MATCH(Recommendations[Id],J64:AW64,0)))/COUNTIF(J64:AW64,"&lt;&gt;"))</f>
        <v/>
      </c>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32"/>
      <c r="AO64" s="132"/>
      <c r="AP64" s="132"/>
      <c r="AQ64" s="132"/>
      <c r="AR64" s="132"/>
      <c r="AS64" s="132"/>
      <c r="AT64" s="132"/>
      <c r="AU64" s="132"/>
      <c r="AV64" s="132"/>
      <c r="AW64" s="142"/>
    </row>
    <row r="65" spans="1:49" ht="60" customHeight="1" x14ac:dyDescent="0.35">
      <c r="A65" s="139" t="s">
        <v>3340</v>
      </c>
      <c r="B65" s="125" t="s">
        <v>3363</v>
      </c>
      <c r="C65" s="126" t="s">
        <v>3364</v>
      </c>
      <c r="D65" s="128" t="s">
        <v>3365</v>
      </c>
      <c r="E65" s="128" t="s">
        <v>3366</v>
      </c>
      <c r="F65" s="128" t="s">
        <v>3367</v>
      </c>
      <c r="G65" s="128" t="s">
        <v>3368</v>
      </c>
      <c r="H65" s="128" t="s">
        <v>3369</v>
      </c>
      <c r="I65" s="130" t="str">
        <f>IF(COUNTIF(J65:AW65,"&lt;&gt;")=0,"",SUMPRODUCT(((Recommendations[ImplStatus]="Implemented")+(Recommendations[ImplStatus]="Compensated"))*ISNUMBER(MATCH(Recommendations[Id],J65:AW65,0)))/COUNTIF(J65:AW65,"&lt;&gt;"))</f>
        <v/>
      </c>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2"/>
      <c r="AN65" s="132"/>
      <c r="AO65" s="132"/>
      <c r="AP65" s="132"/>
      <c r="AQ65" s="132"/>
      <c r="AR65" s="132"/>
      <c r="AS65" s="132"/>
      <c r="AT65" s="132"/>
      <c r="AU65" s="132"/>
      <c r="AV65" s="132"/>
      <c r="AW65" s="142"/>
    </row>
    <row r="66" spans="1:49" ht="60" customHeight="1" x14ac:dyDescent="0.35">
      <c r="A66" s="139" t="s">
        <v>3340</v>
      </c>
      <c r="B66" s="125" t="s">
        <v>3370</v>
      </c>
      <c r="C66" s="126" t="s">
        <v>3371</v>
      </c>
      <c r="D66" s="128" t="s">
        <v>3372</v>
      </c>
      <c r="E66" s="128" t="s">
        <v>3373</v>
      </c>
      <c r="F66" s="128" t="s">
        <v>3374</v>
      </c>
      <c r="G66" s="128" t="s">
        <v>3375</v>
      </c>
      <c r="H66" s="128" t="s">
        <v>3376</v>
      </c>
      <c r="I66" s="130" t="str">
        <f>IF(COUNTIF(J66:AW66,"&lt;&gt;")=0,"",SUMPRODUCT(((Recommendations[ImplStatus]="Implemented")+(Recommendations[ImplStatus]="Compensated"))*ISNUMBER(MATCH(Recommendations[Id],J66:AW66,0)))/COUNTIF(J66:AW66,"&lt;&gt;"))</f>
        <v/>
      </c>
      <c r="J66" s="132"/>
      <c r="K66" s="132"/>
      <c r="L66" s="132"/>
      <c r="M66" s="132"/>
      <c r="N66" s="132"/>
      <c r="O66" s="132"/>
      <c r="P66" s="132"/>
      <c r="Q66" s="132"/>
      <c r="R66" s="132"/>
      <c r="S66" s="132"/>
      <c r="T66" s="132"/>
      <c r="U66" s="132"/>
      <c r="V66" s="132"/>
      <c r="W66" s="132"/>
      <c r="X66" s="132"/>
      <c r="Y66" s="132"/>
      <c r="Z66" s="132"/>
      <c r="AA66" s="132"/>
      <c r="AB66" s="132"/>
      <c r="AC66" s="132"/>
      <c r="AD66" s="132"/>
      <c r="AE66" s="132"/>
      <c r="AF66" s="132"/>
      <c r="AG66" s="132"/>
      <c r="AH66" s="132"/>
      <c r="AI66" s="132"/>
      <c r="AJ66" s="132"/>
      <c r="AK66" s="132"/>
      <c r="AL66" s="132"/>
      <c r="AM66" s="132"/>
      <c r="AN66" s="132"/>
      <c r="AO66" s="132"/>
      <c r="AP66" s="132"/>
      <c r="AQ66" s="132"/>
      <c r="AR66" s="132"/>
      <c r="AS66" s="132"/>
      <c r="AT66" s="132"/>
      <c r="AU66" s="132"/>
      <c r="AV66" s="132"/>
      <c r="AW66" s="142"/>
    </row>
    <row r="67" spans="1:49" ht="60" customHeight="1" x14ac:dyDescent="0.35">
      <c r="A67" s="139" t="s">
        <v>3340</v>
      </c>
      <c r="B67" s="125" t="s">
        <v>3377</v>
      </c>
      <c r="C67" s="126" t="s">
        <v>3378</v>
      </c>
      <c r="D67" s="128" t="s">
        <v>3379</v>
      </c>
      <c r="E67" s="128" t="s">
        <v>3380</v>
      </c>
      <c r="F67" s="128" t="s">
        <v>3381</v>
      </c>
      <c r="G67" s="128" t="s">
        <v>3382</v>
      </c>
      <c r="H67" s="128" t="s">
        <v>3383</v>
      </c>
      <c r="I67" s="130">
        <f>IF(COUNTIF(J67:AW67,"&lt;&gt;")=0,"",SUMPRODUCT(((Recommendations[ImplStatus]="Implemented")+(Recommendations[ImplStatus]="Compensated"))*ISNUMBER(MATCH(Recommendations[Id],J67:AW67,0)))/COUNTIF(J67:AW67,"&lt;&gt;"))</f>
        <v>0</v>
      </c>
      <c r="J67" s="132" t="s">
        <v>1327</v>
      </c>
      <c r="K67" s="132" t="s">
        <v>1332</v>
      </c>
      <c r="L67" s="132" t="s">
        <v>1435</v>
      </c>
      <c r="M67" s="132" t="s">
        <v>1440</v>
      </c>
      <c r="N67" s="132" t="s">
        <v>1445</v>
      </c>
      <c r="O67" s="132"/>
      <c r="P67" s="132"/>
      <c r="Q67" s="132"/>
      <c r="R67" s="132"/>
      <c r="S67" s="132"/>
      <c r="T67" s="132"/>
      <c r="U67" s="132"/>
      <c r="V67" s="132"/>
      <c r="W67" s="132"/>
      <c r="X67" s="132"/>
      <c r="Y67" s="132"/>
      <c r="Z67" s="132"/>
      <c r="AA67" s="132"/>
      <c r="AB67" s="132"/>
      <c r="AC67" s="132"/>
      <c r="AD67" s="132"/>
      <c r="AE67" s="132"/>
      <c r="AF67" s="132"/>
      <c r="AG67" s="132"/>
      <c r="AH67" s="132"/>
      <c r="AI67" s="132"/>
      <c r="AJ67" s="132"/>
      <c r="AK67" s="132"/>
      <c r="AL67" s="132"/>
      <c r="AM67" s="132"/>
      <c r="AN67" s="132"/>
      <c r="AO67" s="132"/>
      <c r="AP67" s="132"/>
      <c r="AQ67" s="132"/>
      <c r="AR67" s="132"/>
      <c r="AS67" s="132"/>
      <c r="AT67" s="132"/>
      <c r="AU67" s="132"/>
      <c r="AV67" s="132"/>
      <c r="AW67" s="142"/>
    </row>
    <row r="68" spans="1:49" ht="60" customHeight="1" x14ac:dyDescent="0.35">
      <c r="A68" s="139" t="s">
        <v>3340</v>
      </c>
      <c r="B68" s="125" t="s">
        <v>3384</v>
      </c>
      <c r="C68" s="126" t="s">
        <v>3385</v>
      </c>
      <c r="D68" s="128" t="s">
        <v>3386</v>
      </c>
      <c r="E68" s="128" t="s">
        <v>3387</v>
      </c>
      <c r="F68" s="128" t="s">
        <v>3388</v>
      </c>
      <c r="G68" s="128" t="s">
        <v>3389</v>
      </c>
      <c r="H68" s="128" t="s">
        <v>3390</v>
      </c>
      <c r="I68" s="130" t="str">
        <f>IF(COUNTIF(J68:AW68,"&lt;&gt;")=0,"",SUMPRODUCT(((Recommendations[ImplStatus]="Implemented")+(Recommendations[ImplStatus]="Compensated"))*ISNUMBER(MATCH(Recommendations[Id],J68:AW68,0)))/COUNTIF(J68:AW68,"&lt;&gt;"))</f>
        <v/>
      </c>
      <c r="J68" s="132"/>
      <c r="K68" s="132"/>
      <c r="L68" s="132"/>
      <c r="M68" s="132"/>
      <c r="N68" s="132"/>
      <c r="O68" s="132"/>
      <c r="P68" s="132"/>
      <c r="Q68" s="132"/>
      <c r="R68" s="132"/>
      <c r="S68" s="132"/>
      <c r="T68" s="132"/>
      <c r="U68" s="132"/>
      <c r="V68" s="132"/>
      <c r="W68" s="132"/>
      <c r="X68" s="132"/>
      <c r="Y68" s="132"/>
      <c r="Z68" s="132"/>
      <c r="AA68" s="132"/>
      <c r="AB68" s="132"/>
      <c r="AC68" s="132"/>
      <c r="AD68" s="132"/>
      <c r="AE68" s="132"/>
      <c r="AF68" s="132"/>
      <c r="AG68" s="132"/>
      <c r="AH68" s="132"/>
      <c r="AI68" s="132"/>
      <c r="AJ68" s="132"/>
      <c r="AK68" s="132"/>
      <c r="AL68" s="132"/>
      <c r="AM68" s="132"/>
      <c r="AN68" s="132"/>
      <c r="AO68" s="132"/>
      <c r="AP68" s="132"/>
      <c r="AQ68" s="132"/>
      <c r="AR68" s="132"/>
      <c r="AS68" s="132"/>
      <c r="AT68" s="132"/>
      <c r="AU68" s="132"/>
      <c r="AV68" s="132"/>
      <c r="AW68" s="142"/>
    </row>
    <row r="69" spans="1:49" ht="60" customHeight="1" outlineLevel="1" x14ac:dyDescent="0.35">
      <c r="A69" s="138" t="s">
        <v>3391</v>
      </c>
      <c r="B69" s="124"/>
      <c r="C69" s="123" t="s">
        <v>3392</v>
      </c>
      <c r="D69" s="127"/>
      <c r="E69" s="127"/>
      <c r="F69" s="127"/>
      <c r="G69" s="127"/>
      <c r="H69" s="127"/>
      <c r="I69" s="129" t="str">
        <f>IF(COUNTIF(J69:AW69,"&lt;&gt;")=0,"",SUMPRODUCT(((Recommendations[ImplStatus]="Implemented")+(Recommendations[ImplStatus]="Compensated"))*ISNUMBER(MATCH(Recommendations[Id],J69:AW69,0)))/COUNTIF(J69:AW69,"&lt;&gt;"))</f>
        <v/>
      </c>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131"/>
      <c r="AT69" s="131"/>
      <c r="AU69" s="131"/>
      <c r="AV69" s="131"/>
      <c r="AW69" s="141"/>
    </row>
    <row r="70" spans="1:49" ht="60" customHeight="1" x14ac:dyDescent="0.35">
      <c r="A70" s="139" t="s">
        <v>3391</v>
      </c>
      <c r="B70" s="125" t="s">
        <v>3393</v>
      </c>
      <c r="C70" s="126" t="s">
        <v>3394</v>
      </c>
      <c r="D70" s="128" t="s">
        <v>3395</v>
      </c>
      <c r="E70" s="128" t="s">
        <v>3396</v>
      </c>
      <c r="F70" s="128" t="s">
        <v>3397</v>
      </c>
      <c r="G70" s="128" t="s">
        <v>3398</v>
      </c>
      <c r="H70" s="128" t="s">
        <v>3399</v>
      </c>
      <c r="I70" s="130" t="str">
        <f>IF(COUNTIF(J70:AW70,"&lt;&gt;")=0,"",SUMPRODUCT(((Recommendations[ImplStatus]="Implemented")+(Recommendations[ImplStatus]="Compensated"))*ISNUMBER(MATCH(Recommendations[Id],J70:AW70,0)))/COUNTIF(J70:AW70,"&lt;&gt;"))</f>
        <v/>
      </c>
      <c r="J70" s="132"/>
      <c r="K70" s="132"/>
      <c r="L70" s="132"/>
      <c r="M70" s="132"/>
      <c r="N70" s="132"/>
      <c r="O70" s="132"/>
      <c r="P70" s="132"/>
      <c r="Q70" s="132"/>
      <c r="R70" s="132"/>
      <c r="S70" s="132"/>
      <c r="T70" s="132"/>
      <c r="U70" s="132"/>
      <c r="V70" s="132"/>
      <c r="W70" s="132"/>
      <c r="X70" s="132"/>
      <c r="Y70" s="132"/>
      <c r="Z70" s="132"/>
      <c r="AA70" s="132"/>
      <c r="AB70" s="132"/>
      <c r="AC70" s="132"/>
      <c r="AD70" s="132"/>
      <c r="AE70" s="132"/>
      <c r="AF70" s="132"/>
      <c r="AG70" s="132"/>
      <c r="AH70" s="132"/>
      <c r="AI70" s="132"/>
      <c r="AJ70" s="132"/>
      <c r="AK70" s="132"/>
      <c r="AL70" s="132"/>
      <c r="AM70" s="132"/>
      <c r="AN70" s="132"/>
      <c r="AO70" s="132"/>
      <c r="AP70" s="132"/>
      <c r="AQ70" s="132"/>
      <c r="AR70" s="132"/>
      <c r="AS70" s="132"/>
      <c r="AT70" s="132"/>
      <c r="AU70" s="132"/>
      <c r="AV70" s="132"/>
      <c r="AW70" s="142"/>
    </row>
    <row r="71" spans="1:49" ht="60" customHeight="1" x14ac:dyDescent="0.35">
      <c r="A71" s="139" t="s">
        <v>3391</v>
      </c>
      <c r="B71" s="125" t="s">
        <v>3400</v>
      </c>
      <c r="C71" s="126" t="s">
        <v>3401</v>
      </c>
      <c r="D71" s="128" t="s">
        <v>3402</v>
      </c>
      <c r="E71" s="128" t="s">
        <v>3403</v>
      </c>
      <c r="F71" s="128" t="s">
        <v>3404</v>
      </c>
      <c r="G71" s="128" t="s">
        <v>3405</v>
      </c>
      <c r="H71" s="128" t="s">
        <v>3406</v>
      </c>
      <c r="I71" s="130" t="str">
        <f>IF(COUNTIF(J71:AW71,"&lt;&gt;")=0,"",SUMPRODUCT(((Recommendations[ImplStatus]="Implemented")+(Recommendations[ImplStatus]="Compensated"))*ISNUMBER(MATCH(Recommendations[Id],J71:AW71,0)))/COUNTIF(J71:AW71,"&lt;&gt;"))</f>
        <v/>
      </c>
      <c r="J71" s="132"/>
      <c r="K71" s="132"/>
      <c r="L71" s="132"/>
      <c r="M71" s="132"/>
      <c r="N71" s="132"/>
      <c r="O71" s="132"/>
      <c r="P71" s="132"/>
      <c r="Q71" s="132"/>
      <c r="R71" s="132"/>
      <c r="S71" s="132"/>
      <c r="T71" s="132"/>
      <c r="U71" s="132"/>
      <c r="V71" s="132"/>
      <c r="W71" s="132"/>
      <c r="X71" s="132"/>
      <c r="Y71" s="132"/>
      <c r="Z71" s="132"/>
      <c r="AA71" s="132"/>
      <c r="AB71" s="132"/>
      <c r="AC71" s="132"/>
      <c r="AD71" s="132"/>
      <c r="AE71" s="132"/>
      <c r="AF71" s="132"/>
      <c r="AG71" s="132"/>
      <c r="AH71" s="132"/>
      <c r="AI71" s="132"/>
      <c r="AJ71" s="132"/>
      <c r="AK71" s="132"/>
      <c r="AL71" s="132"/>
      <c r="AM71" s="132"/>
      <c r="AN71" s="132"/>
      <c r="AO71" s="132"/>
      <c r="AP71" s="132"/>
      <c r="AQ71" s="132"/>
      <c r="AR71" s="132"/>
      <c r="AS71" s="132"/>
      <c r="AT71" s="132"/>
      <c r="AU71" s="132"/>
      <c r="AV71" s="132"/>
      <c r="AW71" s="142"/>
    </row>
    <row r="72" spans="1:49" ht="60" customHeight="1" outlineLevel="1" x14ac:dyDescent="0.35">
      <c r="A72" s="138" t="s">
        <v>3407</v>
      </c>
      <c r="B72" s="124"/>
      <c r="C72" s="123" t="s">
        <v>3408</v>
      </c>
      <c r="D72" s="127"/>
      <c r="E72" s="127"/>
      <c r="F72" s="127"/>
      <c r="G72" s="127"/>
      <c r="H72" s="127"/>
      <c r="I72" s="129" t="str">
        <f>IF(COUNTIF(J72:AW72,"&lt;&gt;")=0,"",SUMPRODUCT(((Recommendations[ImplStatus]="Implemented")+(Recommendations[ImplStatus]="Compensated"))*ISNUMBER(MATCH(Recommendations[Id],J72:AW72,0)))/COUNTIF(J72:AW72,"&lt;&gt;"))</f>
        <v/>
      </c>
      <c r="J72" s="131"/>
      <c r="K72" s="131"/>
      <c r="L72" s="131"/>
      <c r="M72" s="131"/>
      <c r="N72" s="131"/>
      <c r="O72" s="131"/>
      <c r="P72" s="131"/>
      <c r="Q72" s="131"/>
      <c r="R72" s="131"/>
      <c r="S72" s="131"/>
      <c r="T72" s="131"/>
      <c r="U72" s="131"/>
      <c r="V72" s="131"/>
      <c r="W72" s="131"/>
      <c r="X72" s="131"/>
      <c r="Y72" s="131"/>
      <c r="Z72" s="131"/>
      <c r="AA72" s="131"/>
      <c r="AB72" s="131"/>
      <c r="AC72" s="131"/>
      <c r="AD72" s="131"/>
      <c r="AE72" s="131"/>
      <c r="AF72" s="131"/>
      <c r="AG72" s="131"/>
      <c r="AH72" s="131"/>
      <c r="AI72" s="131"/>
      <c r="AJ72" s="131"/>
      <c r="AK72" s="131"/>
      <c r="AL72" s="131"/>
      <c r="AM72" s="131"/>
      <c r="AN72" s="131"/>
      <c r="AO72" s="131"/>
      <c r="AP72" s="131"/>
      <c r="AQ72" s="131"/>
      <c r="AR72" s="131"/>
      <c r="AS72" s="131"/>
      <c r="AT72" s="131"/>
      <c r="AU72" s="131"/>
      <c r="AV72" s="131"/>
      <c r="AW72" s="141"/>
    </row>
    <row r="73" spans="1:49" ht="60" customHeight="1" x14ac:dyDescent="0.35">
      <c r="A73" s="139" t="s">
        <v>3407</v>
      </c>
      <c r="B73" s="125" t="s">
        <v>3409</v>
      </c>
      <c r="C73" s="126" t="s">
        <v>3410</v>
      </c>
      <c r="D73" s="128" t="s">
        <v>3411</v>
      </c>
      <c r="E73" s="128" t="s">
        <v>3412</v>
      </c>
      <c r="F73" s="128" t="s">
        <v>3413</v>
      </c>
      <c r="G73" s="128" t="s">
        <v>3414</v>
      </c>
      <c r="H73" s="128" t="s">
        <v>3415</v>
      </c>
      <c r="I73" s="130" t="str">
        <f>IF(COUNTIF(J73:AW73,"&lt;&gt;")=0,"",SUMPRODUCT(((Recommendations[ImplStatus]="Implemented")+(Recommendations[ImplStatus]="Compensated"))*ISNUMBER(MATCH(Recommendations[Id],J73:AW73,0)))/COUNTIF(J73:AW73,"&lt;&gt;"))</f>
        <v/>
      </c>
      <c r="J73" s="132"/>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2"/>
      <c r="AI73" s="132"/>
      <c r="AJ73" s="132"/>
      <c r="AK73" s="132"/>
      <c r="AL73" s="132"/>
      <c r="AM73" s="132"/>
      <c r="AN73" s="132"/>
      <c r="AO73" s="132"/>
      <c r="AP73" s="132"/>
      <c r="AQ73" s="132"/>
      <c r="AR73" s="132"/>
      <c r="AS73" s="132"/>
      <c r="AT73" s="132"/>
      <c r="AU73" s="132"/>
      <c r="AV73" s="132"/>
      <c r="AW73" s="142"/>
    </row>
    <row r="74" spans="1:49" ht="60" customHeight="1" x14ac:dyDescent="0.35">
      <c r="A74" s="139" t="s">
        <v>3407</v>
      </c>
      <c r="B74" s="125" t="s">
        <v>3416</v>
      </c>
      <c r="C74" s="126" t="s">
        <v>3417</v>
      </c>
      <c r="D74" s="128" t="s">
        <v>3418</v>
      </c>
      <c r="E74" s="128" t="s">
        <v>3419</v>
      </c>
      <c r="F74" s="128" t="s">
        <v>3420</v>
      </c>
      <c r="G74" s="128" t="s">
        <v>3421</v>
      </c>
      <c r="H74" s="128" t="s">
        <v>3422</v>
      </c>
      <c r="I74" s="130" t="str">
        <f>IF(COUNTIF(J74:AW74,"&lt;&gt;")=0,"",SUMPRODUCT(((Recommendations[ImplStatus]="Implemented")+(Recommendations[ImplStatus]="Compensated"))*ISNUMBER(MATCH(Recommendations[Id],J74:AW74,0)))/COUNTIF(J74:AW74,"&lt;&gt;"))</f>
        <v/>
      </c>
      <c r="J74" s="132"/>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c r="AI74" s="132"/>
      <c r="AJ74" s="132"/>
      <c r="AK74" s="132"/>
      <c r="AL74" s="132"/>
      <c r="AM74" s="132"/>
      <c r="AN74" s="132"/>
      <c r="AO74" s="132"/>
      <c r="AP74" s="132"/>
      <c r="AQ74" s="132"/>
      <c r="AR74" s="132"/>
      <c r="AS74" s="132"/>
      <c r="AT74" s="132"/>
      <c r="AU74" s="132"/>
      <c r="AV74" s="132"/>
      <c r="AW74" s="142"/>
    </row>
    <row r="75" spans="1:49" ht="60" customHeight="1" x14ac:dyDescent="0.35">
      <c r="A75" s="139" t="s">
        <v>3407</v>
      </c>
      <c r="B75" s="125" t="s">
        <v>3423</v>
      </c>
      <c r="C75" s="126" t="s">
        <v>3424</v>
      </c>
      <c r="D75" s="128" t="s">
        <v>3425</v>
      </c>
      <c r="E75" s="128" t="s">
        <v>3426</v>
      </c>
      <c r="F75" s="128" t="s">
        <v>3427</v>
      </c>
      <c r="G75" s="128" t="s">
        <v>3428</v>
      </c>
      <c r="H75" s="128" t="s">
        <v>3429</v>
      </c>
      <c r="I75" s="130" t="str">
        <f>IF(COUNTIF(J75:AW75,"&lt;&gt;")=0,"",SUMPRODUCT(((Recommendations[ImplStatus]="Implemented")+(Recommendations[ImplStatus]="Compensated"))*ISNUMBER(MATCH(Recommendations[Id],J75:AW75,0)))/COUNTIF(J75:AW75,"&lt;&gt;"))</f>
        <v/>
      </c>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42"/>
    </row>
    <row r="76" spans="1:49" ht="60" customHeight="1" x14ac:dyDescent="0.35">
      <c r="A76" s="139" t="s">
        <v>3407</v>
      </c>
      <c r="B76" s="125" t="s">
        <v>3430</v>
      </c>
      <c r="C76" s="126" t="s">
        <v>3431</v>
      </c>
      <c r="D76" s="128" t="s">
        <v>3432</v>
      </c>
      <c r="E76" s="128" t="s">
        <v>3433</v>
      </c>
      <c r="F76" s="128" t="s">
        <v>3434</v>
      </c>
      <c r="G76" s="128" t="s">
        <v>3435</v>
      </c>
      <c r="H76" s="128" t="s">
        <v>3436</v>
      </c>
      <c r="I76" s="130" t="str">
        <f>IF(COUNTIF(J76:AW76,"&lt;&gt;")=0,"",SUMPRODUCT(((Recommendations[ImplStatus]="Implemented")+(Recommendations[ImplStatus]="Compensated"))*ISNUMBER(MATCH(Recommendations[Id],J76:AW76,0)))/COUNTIF(J76:AW76,"&lt;&gt;"))</f>
        <v/>
      </c>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c r="AI76" s="132"/>
      <c r="AJ76" s="132"/>
      <c r="AK76" s="132"/>
      <c r="AL76" s="132"/>
      <c r="AM76" s="132"/>
      <c r="AN76" s="132"/>
      <c r="AO76" s="132"/>
      <c r="AP76" s="132"/>
      <c r="AQ76" s="132"/>
      <c r="AR76" s="132"/>
      <c r="AS76" s="132"/>
      <c r="AT76" s="132"/>
      <c r="AU76" s="132"/>
      <c r="AV76" s="132"/>
      <c r="AW76" s="142"/>
    </row>
    <row r="77" spans="1:49" ht="60" customHeight="1" x14ac:dyDescent="0.35">
      <c r="A77" s="139" t="s">
        <v>3407</v>
      </c>
      <c r="B77" s="125" t="s">
        <v>3437</v>
      </c>
      <c r="C77" s="126" t="s">
        <v>3438</v>
      </c>
      <c r="D77" s="128" t="s">
        <v>3439</v>
      </c>
      <c r="E77" s="128" t="s">
        <v>3440</v>
      </c>
      <c r="F77" s="128" t="s">
        <v>3441</v>
      </c>
      <c r="G77" s="128" t="s">
        <v>3435</v>
      </c>
      <c r="H77" s="128" t="s">
        <v>3442</v>
      </c>
      <c r="I77" s="130" t="str">
        <f>IF(COUNTIF(J77:AW77,"&lt;&gt;")=0,"",SUMPRODUCT(((Recommendations[ImplStatus]="Implemented")+(Recommendations[ImplStatus]="Compensated"))*ISNUMBER(MATCH(Recommendations[Id],J77:AW77,0)))/COUNTIF(J77:AW77,"&lt;&gt;"))</f>
        <v/>
      </c>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32"/>
      <c r="AJ77" s="132"/>
      <c r="AK77" s="132"/>
      <c r="AL77" s="132"/>
      <c r="AM77" s="132"/>
      <c r="AN77" s="132"/>
      <c r="AO77" s="132"/>
      <c r="AP77" s="132"/>
      <c r="AQ77" s="132"/>
      <c r="AR77" s="132"/>
      <c r="AS77" s="132"/>
      <c r="AT77" s="132"/>
      <c r="AU77" s="132"/>
      <c r="AV77" s="132"/>
      <c r="AW77" s="142"/>
    </row>
    <row r="78" spans="1:49" ht="60" customHeight="1" outlineLevel="1" x14ac:dyDescent="0.35">
      <c r="A78" s="138" t="s">
        <v>3443</v>
      </c>
      <c r="B78" s="124"/>
      <c r="C78" s="123" t="s">
        <v>3444</v>
      </c>
      <c r="D78" s="127"/>
      <c r="E78" s="127"/>
      <c r="F78" s="127"/>
      <c r="G78" s="127"/>
      <c r="H78" s="127"/>
      <c r="I78" s="129" t="str">
        <f>IF(COUNTIF(J78:AW78,"&lt;&gt;")=0,"",SUMPRODUCT(((Recommendations[ImplStatus]="Implemented")+(Recommendations[ImplStatus]="Compensated"))*ISNUMBER(MATCH(Recommendations[Id],J78:AW78,0)))/COUNTIF(J78:AW78,"&lt;&gt;"))</f>
        <v/>
      </c>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1"/>
      <c r="AI78" s="131"/>
      <c r="AJ78" s="131"/>
      <c r="AK78" s="131"/>
      <c r="AL78" s="131"/>
      <c r="AM78" s="131"/>
      <c r="AN78" s="131"/>
      <c r="AO78" s="131"/>
      <c r="AP78" s="131"/>
      <c r="AQ78" s="131"/>
      <c r="AR78" s="131"/>
      <c r="AS78" s="131"/>
      <c r="AT78" s="131"/>
      <c r="AU78" s="131"/>
      <c r="AV78" s="131"/>
      <c r="AW78" s="141"/>
    </row>
    <row r="79" spans="1:49" ht="60" customHeight="1" x14ac:dyDescent="0.35">
      <c r="A79" s="139" t="s">
        <v>3443</v>
      </c>
      <c r="B79" s="125" t="s">
        <v>3443</v>
      </c>
      <c r="C79" s="126" t="s">
        <v>3445</v>
      </c>
      <c r="D79" s="128" t="s">
        <v>3446</v>
      </c>
      <c r="E79" s="128" t="s">
        <v>3447</v>
      </c>
      <c r="F79" s="128" t="s">
        <v>3448</v>
      </c>
      <c r="G79" s="128" t="s">
        <v>3449</v>
      </c>
      <c r="H79" s="128" t="s">
        <v>3450</v>
      </c>
      <c r="I79" s="130" t="str">
        <f>IF(COUNTIF(J79:AW79,"&lt;&gt;")=0,"",SUMPRODUCT(((Recommendations[ImplStatus]="Implemented")+(Recommendations[ImplStatus]="Compensated"))*ISNUMBER(MATCH(Recommendations[Id],J79:AW79,0)))/COUNTIF(J79:AW79,"&lt;&gt;"))</f>
        <v/>
      </c>
      <c r="J79" s="132"/>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2"/>
      <c r="AI79" s="132"/>
      <c r="AJ79" s="132"/>
      <c r="AK79" s="132"/>
      <c r="AL79" s="132"/>
      <c r="AM79" s="132"/>
      <c r="AN79" s="132"/>
      <c r="AO79" s="132"/>
      <c r="AP79" s="132"/>
      <c r="AQ79" s="132"/>
      <c r="AR79" s="132"/>
      <c r="AS79" s="132"/>
      <c r="AT79" s="132"/>
      <c r="AU79" s="132"/>
      <c r="AV79" s="132"/>
      <c r="AW79" s="142"/>
    </row>
    <row r="80" spans="1:49" ht="60" customHeight="1" x14ac:dyDescent="0.35">
      <c r="A80" s="139" t="s">
        <v>3443</v>
      </c>
      <c r="B80" s="125" t="s">
        <v>3451</v>
      </c>
      <c r="C80" s="126" t="s">
        <v>3452</v>
      </c>
      <c r="D80" s="128" t="s">
        <v>3453</v>
      </c>
      <c r="E80" s="128" t="s">
        <v>3454</v>
      </c>
      <c r="F80" s="128" t="s">
        <v>3455</v>
      </c>
      <c r="G80" s="128" t="s">
        <v>3456</v>
      </c>
      <c r="H80" s="128" t="s">
        <v>3457</v>
      </c>
      <c r="I80" s="130" t="str">
        <f>IF(COUNTIF(J80:AW80,"&lt;&gt;")=0,"",SUMPRODUCT(((Recommendations[ImplStatus]="Implemented")+(Recommendations[ImplStatus]="Compensated"))*ISNUMBER(MATCH(Recommendations[Id],J80:AW80,0)))/COUNTIF(J80:AW80,"&lt;&gt;"))</f>
        <v/>
      </c>
      <c r="J80" s="132"/>
      <c r="K80" s="132"/>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2"/>
      <c r="AI80" s="132"/>
      <c r="AJ80" s="132"/>
      <c r="AK80" s="132"/>
      <c r="AL80" s="132"/>
      <c r="AM80" s="132"/>
      <c r="AN80" s="132"/>
      <c r="AO80" s="132"/>
      <c r="AP80" s="132"/>
      <c r="AQ80" s="132"/>
      <c r="AR80" s="132"/>
      <c r="AS80" s="132"/>
      <c r="AT80" s="132"/>
      <c r="AU80" s="132"/>
      <c r="AV80" s="132"/>
      <c r="AW80" s="142"/>
    </row>
    <row r="81" spans="1:49" ht="60" customHeight="1" x14ac:dyDescent="0.35">
      <c r="A81" s="139" t="s">
        <v>3443</v>
      </c>
      <c r="B81" s="125" t="s">
        <v>3458</v>
      </c>
      <c r="C81" s="126" t="s">
        <v>3459</v>
      </c>
      <c r="D81" s="128" t="s">
        <v>3460</v>
      </c>
      <c r="E81" s="128" t="s">
        <v>3461</v>
      </c>
      <c r="F81" s="128" t="s">
        <v>3462</v>
      </c>
      <c r="G81" s="128" t="s">
        <v>3463</v>
      </c>
      <c r="H81" s="128" t="s">
        <v>3464</v>
      </c>
      <c r="I81" s="130" t="str">
        <f>IF(COUNTIF(J81:AW81,"&lt;&gt;")=0,"",SUMPRODUCT(((Recommendations[ImplStatus]="Implemented")+(Recommendations[ImplStatus]="Compensated"))*ISNUMBER(MATCH(Recommendations[Id],J81:AW81,0)))/COUNTIF(J81:AW81,"&lt;&gt;"))</f>
        <v/>
      </c>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132"/>
      <c r="AQ81" s="132"/>
      <c r="AR81" s="132"/>
      <c r="AS81" s="132"/>
      <c r="AT81" s="132"/>
      <c r="AU81" s="132"/>
      <c r="AV81" s="132"/>
      <c r="AW81" s="142"/>
    </row>
    <row r="82" spans="1:49" ht="60" customHeight="1" outlineLevel="1" x14ac:dyDescent="0.35">
      <c r="A82" s="138" t="s">
        <v>3465</v>
      </c>
      <c r="B82" s="124"/>
      <c r="C82" s="123" t="s">
        <v>3466</v>
      </c>
      <c r="D82" s="127"/>
      <c r="E82" s="127"/>
      <c r="F82" s="127"/>
      <c r="G82" s="127"/>
      <c r="H82" s="127"/>
      <c r="I82" s="129" t="str">
        <f>IF(COUNTIF(J82:AW82,"&lt;&gt;")=0,"",SUMPRODUCT(((Recommendations[ImplStatus]="Implemented")+(Recommendations[ImplStatus]="Compensated"))*ISNUMBER(MATCH(Recommendations[Id],J82:AW82,0)))/COUNTIF(J82:AW82,"&lt;&gt;"))</f>
        <v/>
      </c>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131"/>
      <c r="AO82" s="131"/>
      <c r="AP82" s="131"/>
      <c r="AQ82" s="131"/>
      <c r="AR82" s="131"/>
      <c r="AS82" s="131"/>
      <c r="AT82" s="131"/>
      <c r="AU82" s="131"/>
      <c r="AV82" s="131"/>
      <c r="AW82" s="141"/>
    </row>
    <row r="83" spans="1:49" ht="60" customHeight="1" x14ac:dyDescent="0.35">
      <c r="A83" s="139" t="s">
        <v>3465</v>
      </c>
      <c r="B83" s="125" t="s">
        <v>3467</v>
      </c>
      <c r="C83" s="126" t="s">
        <v>3468</v>
      </c>
      <c r="D83" s="128" t="s">
        <v>3469</v>
      </c>
      <c r="E83" s="128" t="s">
        <v>3470</v>
      </c>
      <c r="F83" s="128" t="s">
        <v>3471</v>
      </c>
      <c r="G83" s="128" t="s">
        <v>3472</v>
      </c>
      <c r="H83" s="128" t="s">
        <v>3473</v>
      </c>
      <c r="I83" s="130" t="str">
        <f>IF(COUNTIF(J83:AW83,"&lt;&gt;")=0,"",SUMPRODUCT(((Recommendations[ImplStatus]="Implemented")+(Recommendations[ImplStatus]="Compensated"))*ISNUMBER(MATCH(Recommendations[Id],J83:AW83,0)))/COUNTIF(J83:AW83,"&lt;&gt;"))</f>
        <v/>
      </c>
      <c r="J83" s="132"/>
      <c r="K83" s="132"/>
      <c r="L83" s="132"/>
      <c r="M83" s="132"/>
      <c r="N83" s="132"/>
      <c r="O83" s="132"/>
      <c r="P83" s="132"/>
      <c r="Q83" s="132"/>
      <c r="R83" s="132"/>
      <c r="S83" s="132"/>
      <c r="T83" s="132"/>
      <c r="U83" s="132"/>
      <c r="V83" s="132"/>
      <c r="W83" s="132"/>
      <c r="X83" s="132"/>
      <c r="Y83" s="132"/>
      <c r="Z83" s="132"/>
      <c r="AA83" s="132"/>
      <c r="AB83" s="132"/>
      <c r="AC83" s="132"/>
      <c r="AD83" s="132"/>
      <c r="AE83" s="132"/>
      <c r="AF83" s="132"/>
      <c r="AG83" s="132"/>
      <c r="AH83" s="132"/>
      <c r="AI83" s="132"/>
      <c r="AJ83" s="132"/>
      <c r="AK83" s="132"/>
      <c r="AL83" s="132"/>
      <c r="AM83" s="132"/>
      <c r="AN83" s="132"/>
      <c r="AO83" s="132"/>
      <c r="AP83" s="132"/>
      <c r="AQ83" s="132"/>
      <c r="AR83" s="132"/>
      <c r="AS83" s="132"/>
      <c r="AT83" s="132"/>
      <c r="AU83" s="132"/>
      <c r="AV83" s="132"/>
      <c r="AW83" s="142"/>
    </row>
    <row r="84" spans="1:49" ht="60" customHeight="1" x14ac:dyDescent="0.35">
      <c r="A84" s="139" t="s">
        <v>3465</v>
      </c>
      <c r="B84" s="125" t="s">
        <v>3474</v>
      </c>
      <c r="C84" s="126" t="s">
        <v>3475</v>
      </c>
      <c r="D84" s="128" t="s">
        <v>3476</v>
      </c>
      <c r="E84" s="128" t="s">
        <v>3477</v>
      </c>
      <c r="F84" s="128" t="s">
        <v>3478</v>
      </c>
      <c r="G84" s="128" t="s">
        <v>3479</v>
      </c>
      <c r="H84" s="128" t="s">
        <v>3480</v>
      </c>
      <c r="I84" s="130" t="str">
        <f>IF(COUNTIF(J84:AW84,"&lt;&gt;")=0,"",SUMPRODUCT(((Recommendations[ImplStatus]="Implemented")+(Recommendations[ImplStatus]="Compensated"))*ISNUMBER(MATCH(Recommendations[Id],J84:AW84,0)))/COUNTIF(J84:AW84,"&lt;&gt;"))</f>
        <v/>
      </c>
      <c r="J84" s="132"/>
      <c r="K84" s="132"/>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c r="AI84" s="132"/>
      <c r="AJ84" s="132"/>
      <c r="AK84" s="132"/>
      <c r="AL84" s="132"/>
      <c r="AM84" s="132"/>
      <c r="AN84" s="132"/>
      <c r="AO84" s="132"/>
      <c r="AP84" s="132"/>
      <c r="AQ84" s="132"/>
      <c r="AR84" s="132"/>
      <c r="AS84" s="132"/>
      <c r="AT84" s="132"/>
      <c r="AU84" s="132"/>
      <c r="AV84" s="132"/>
      <c r="AW84" s="142"/>
    </row>
    <row r="85" spans="1:49" ht="60" customHeight="1" x14ac:dyDescent="0.35">
      <c r="A85" s="139" t="s">
        <v>3465</v>
      </c>
      <c r="B85" s="125" t="s">
        <v>3481</v>
      </c>
      <c r="C85" s="126" t="s">
        <v>3482</v>
      </c>
      <c r="D85" s="128" t="s">
        <v>3483</v>
      </c>
      <c r="E85" s="128" t="s">
        <v>3484</v>
      </c>
      <c r="F85" s="128" t="s">
        <v>3485</v>
      </c>
      <c r="G85" s="128" t="s">
        <v>3486</v>
      </c>
      <c r="H85" s="128" t="s">
        <v>3487</v>
      </c>
      <c r="I85" s="130" t="str">
        <f>IF(COUNTIF(J85:AW85,"&lt;&gt;")=0,"",SUMPRODUCT(((Recommendations[ImplStatus]="Implemented")+(Recommendations[ImplStatus]="Compensated"))*ISNUMBER(MATCH(Recommendations[Id],J85:AW85,0)))/COUNTIF(J85:AW85,"&lt;&gt;"))</f>
        <v/>
      </c>
      <c r="J85" s="132"/>
      <c r="K85" s="132"/>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c r="AI85" s="132"/>
      <c r="AJ85" s="132"/>
      <c r="AK85" s="132"/>
      <c r="AL85" s="132"/>
      <c r="AM85" s="132"/>
      <c r="AN85" s="132"/>
      <c r="AO85" s="132"/>
      <c r="AP85" s="132"/>
      <c r="AQ85" s="132"/>
      <c r="AR85" s="132"/>
      <c r="AS85" s="132"/>
      <c r="AT85" s="132"/>
      <c r="AU85" s="132"/>
      <c r="AV85" s="132"/>
      <c r="AW85" s="142"/>
    </row>
    <row r="86" spans="1:49" ht="60" customHeight="1" x14ac:dyDescent="0.35">
      <c r="A86" s="139" t="s">
        <v>3465</v>
      </c>
      <c r="B86" s="125" t="s">
        <v>3488</v>
      </c>
      <c r="C86" s="126" t="s">
        <v>3489</v>
      </c>
      <c r="D86" s="128" t="s">
        <v>3490</v>
      </c>
      <c r="E86" s="128" t="s">
        <v>3491</v>
      </c>
      <c r="F86" s="128" t="s">
        <v>3492</v>
      </c>
      <c r="G86" s="128" t="s">
        <v>3493</v>
      </c>
      <c r="H86" s="128" t="s">
        <v>19</v>
      </c>
      <c r="I86" s="130" t="str">
        <f>IF(COUNTIF(J86:AW86,"&lt;&gt;")=0,"",SUMPRODUCT(((Recommendations[ImplStatus]="Implemented")+(Recommendations[ImplStatus]="Compensated"))*ISNUMBER(MATCH(Recommendations[Id],J86:AW86,0)))/COUNTIF(J86:AW86,"&lt;&gt;"))</f>
        <v/>
      </c>
      <c r="J86" s="132"/>
      <c r="K86" s="132"/>
      <c r="L86" s="132"/>
      <c r="M86" s="132"/>
      <c r="N86" s="132"/>
      <c r="O86" s="132"/>
      <c r="P86" s="132"/>
      <c r="Q86" s="132"/>
      <c r="R86" s="132"/>
      <c r="S86" s="132"/>
      <c r="T86" s="132"/>
      <c r="U86" s="132"/>
      <c r="V86" s="132"/>
      <c r="W86" s="132"/>
      <c r="X86" s="132"/>
      <c r="Y86" s="132"/>
      <c r="Z86" s="132"/>
      <c r="AA86" s="132"/>
      <c r="AB86" s="132"/>
      <c r="AC86" s="132"/>
      <c r="AD86" s="132"/>
      <c r="AE86" s="132"/>
      <c r="AF86" s="132"/>
      <c r="AG86" s="132"/>
      <c r="AH86" s="132"/>
      <c r="AI86" s="132"/>
      <c r="AJ86" s="132"/>
      <c r="AK86" s="132"/>
      <c r="AL86" s="132"/>
      <c r="AM86" s="132"/>
      <c r="AN86" s="132"/>
      <c r="AO86" s="132"/>
      <c r="AP86" s="132"/>
      <c r="AQ86" s="132"/>
      <c r="AR86" s="132"/>
      <c r="AS86" s="132"/>
      <c r="AT86" s="132"/>
      <c r="AU86" s="132"/>
      <c r="AV86" s="132"/>
      <c r="AW86" s="142"/>
    </row>
    <row r="87" spans="1:49" ht="60" customHeight="1" outlineLevel="1" x14ac:dyDescent="0.35">
      <c r="A87" s="138" t="s">
        <v>3494</v>
      </c>
      <c r="B87" s="124"/>
      <c r="C87" s="123" t="s">
        <v>3495</v>
      </c>
      <c r="D87" s="127"/>
      <c r="E87" s="127"/>
      <c r="F87" s="127"/>
      <c r="G87" s="127"/>
      <c r="H87" s="127"/>
      <c r="I87" s="129" t="str">
        <f>IF(COUNTIF(J87:AW87,"&lt;&gt;")=0,"",SUMPRODUCT(((Recommendations[ImplStatus]="Implemented")+(Recommendations[ImplStatus]="Compensated"))*ISNUMBER(MATCH(Recommendations[Id],J87:AW87,0)))/COUNTIF(J87:AW87,"&lt;&gt;"))</f>
        <v/>
      </c>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c r="AN87" s="131"/>
      <c r="AO87" s="131"/>
      <c r="AP87" s="131"/>
      <c r="AQ87" s="131"/>
      <c r="AR87" s="131"/>
      <c r="AS87" s="131"/>
      <c r="AT87" s="131"/>
      <c r="AU87" s="131"/>
      <c r="AV87" s="131"/>
      <c r="AW87" s="141"/>
    </row>
    <row r="88" spans="1:49" ht="60" customHeight="1" x14ac:dyDescent="0.35">
      <c r="A88" s="139" t="s">
        <v>3494</v>
      </c>
      <c r="B88" s="125" t="s">
        <v>3496</v>
      </c>
      <c r="C88" s="126" t="s">
        <v>3497</v>
      </c>
      <c r="D88" s="128" t="s">
        <v>3498</v>
      </c>
      <c r="E88" s="128" t="s">
        <v>3499</v>
      </c>
      <c r="F88" s="128" t="s">
        <v>3500</v>
      </c>
      <c r="G88" s="128" t="s">
        <v>3501</v>
      </c>
      <c r="H88" s="128" t="s">
        <v>3502</v>
      </c>
      <c r="I88" s="130">
        <f>IF(COUNTIF(J88:AW88,"&lt;&gt;")=0,"",SUMPRODUCT(((Recommendations[ImplStatus]="Implemented")+(Recommendations[ImplStatus]="Compensated"))*ISNUMBER(MATCH(Recommendations[Id],J88:AW88,0)))/COUNTIF(J88:AW88,"&lt;&gt;"))</f>
        <v>0</v>
      </c>
      <c r="J88" s="132" t="s">
        <v>1507</v>
      </c>
      <c r="K88" s="132" t="s">
        <v>1512</v>
      </c>
      <c r="L88" s="132" t="s">
        <v>1517</v>
      </c>
      <c r="M88" s="132" t="s">
        <v>1522</v>
      </c>
      <c r="N88" s="132" t="s">
        <v>1526</v>
      </c>
      <c r="O88" s="132" t="s">
        <v>1530</v>
      </c>
      <c r="P88" s="132" t="s">
        <v>1534</v>
      </c>
      <c r="Q88" s="132" t="s">
        <v>1539</v>
      </c>
      <c r="R88" s="132" t="s">
        <v>1544</v>
      </c>
      <c r="S88" s="132" t="s">
        <v>1553</v>
      </c>
      <c r="T88" s="132" t="s">
        <v>1557</v>
      </c>
      <c r="U88" s="132" t="s">
        <v>1578</v>
      </c>
      <c r="V88" s="132" t="s">
        <v>1613</v>
      </c>
      <c r="W88" s="132" t="s">
        <v>1618</v>
      </c>
      <c r="X88" s="132" t="s">
        <v>1703</v>
      </c>
      <c r="Y88" s="132"/>
      <c r="Z88" s="132"/>
      <c r="AA88" s="132"/>
      <c r="AB88" s="132"/>
      <c r="AC88" s="132"/>
      <c r="AD88" s="132"/>
      <c r="AE88" s="132"/>
      <c r="AF88" s="132"/>
      <c r="AG88" s="132"/>
      <c r="AH88" s="132"/>
      <c r="AI88" s="132"/>
      <c r="AJ88" s="132"/>
      <c r="AK88" s="132"/>
      <c r="AL88" s="132"/>
      <c r="AM88" s="132"/>
      <c r="AN88" s="132"/>
      <c r="AO88" s="132"/>
      <c r="AP88" s="132"/>
      <c r="AQ88" s="132"/>
      <c r="AR88" s="132"/>
      <c r="AS88" s="132"/>
      <c r="AT88" s="132"/>
      <c r="AU88" s="132"/>
      <c r="AV88" s="132"/>
      <c r="AW88" s="142"/>
    </row>
    <row r="89" spans="1:49" ht="60" customHeight="1" x14ac:dyDescent="0.35">
      <c r="A89" s="139" t="s">
        <v>3494</v>
      </c>
      <c r="B89" s="125" t="s">
        <v>3503</v>
      </c>
      <c r="C89" s="126" t="s">
        <v>3504</v>
      </c>
      <c r="D89" s="128" t="s">
        <v>3505</v>
      </c>
      <c r="E89" s="128" t="s">
        <v>3506</v>
      </c>
      <c r="F89" s="128" t="s">
        <v>3507</v>
      </c>
      <c r="G89" s="128" t="s">
        <v>3031</v>
      </c>
      <c r="H89" s="128" t="s">
        <v>3508</v>
      </c>
      <c r="I89" s="130" t="str">
        <f>IF(COUNTIF(J89:AW89,"&lt;&gt;")=0,"",SUMPRODUCT(((Recommendations[ImplStatus]="Implemented")+(Recommendations[ImplStatus]="Compensated"))*ISNUMBER(MATCH(Recommendations[Id],J89:AW89,0)))/COUNTIF(J89:AW89,"&lt;&gt;"))</f>
        <v/>
      </c>
      <c r="J89" s="132"/>
      <c r="K89" s="132"/>
      <c r="L89" s="132"/>
      <c r="M89" s="132"/>
      <c r="N89" s="132"/>
      <c r="O89" s="132"/>
      <c r="P89" s="132"/>
      <c r="Q89" s="132"/>
      <c r="R89" s="132"/>
      <c r="S89" s="132"/>
      <c r="T89" s="132"/>
      <c r="U89" s="132"/>
      <c r="V89" s="132"/>
      <c r="W89" s="132"/>
      <c r="X89" s="132"/>
      <c r="Y89" s="132"/>
      <c r="Z89" s="132"/>
      <c r="AA89" s="132"/>
      <c r="AB89" s="132"/>
      <c r="AC89" s="132"/>
      <c r="AD89" s="132"/>
      <c r="AE89" s="132"/>
      <c r="AF89" s="132"/>
      <c r="AG89" s="132"/>
      <c r="AH89" s="132"/>
      <c r="AI89" s="132"/>
      <c r="AJ89" s="132"/>
      <c r="AK89" s="132"/>
      <c r="AL89" s="132"/>
      <c r="AM89" s="132"/>
      <c r="AN89" s="132"/>
      <c r="AO89" s="132"/>
      <c r="AP89" s="132"/>
      <c r="AQ89" s="132"/>
      <c r="AR89" s="132"/>
      <c r="AS89" s="132"/>
      <c r="AT89" s="132"/>
      <c r="AU89" s="132"/>
      <c r="AV89" s="132"/>
      <c r="AW89" s="142"/>
    </row>
    <row r="90" spans="1:49" ht="60" customHeight="1" x14ac:dyDescent="0.35">
      <c r="A90" s="139" t="s">
        <v>3494</v>
      </c>
      <c r="B90" s="125" t="s">
        <v>3509</v>
      </c>
      <c r="C90" s="126" t="s">
        <v>3510</v>
      </c>
      <c r="D90" s="128" t="s">
        <v>3511</v>
      </c>
      <c r="E90" s="128" t="s">
        <v>3512</v>
      </c>
      <c r="F90" s="128" t="s">
        <v>3513</v>
      </c>
      <c r="G90" s="128" t="s">
        <v>3501</v>
      </c>
      <c r="H90" s="128" t="s">
        <v>3514</v>
      </c>
      <c r="I90" s="130">
        <f>IF(COUNTIF(J90:AW90,"&lt;&gt;")=0,"",SUMPRODUCT(((Recommendations[ImplStatus]="Implemented")+(Recommendations[ImplStatus]="Compensated"))*ISNUMBER(MATCH(Recommendations[Id],J90:AW90,0)))/COUNTIF(J90:AW90,"&lt;&gt;"))</f>
        <v>0</v>
      </c>
      <c r="J90" s="132" t="s">
        <v>1337</v>
      </c>
      <c r="K90" s="132" t="s">
        <v>1342</v>
      </c>
      <c r="L90" s="132" t="s">
        <v>1347</v>
      </c>
      <c r="M90" s="132" t="s">
        <v>1449</v>
      </c>
      <c r="N90" s="132" t="s">
        <v>1608</v>
      </c>
      <c r="O90" s="132"/>
      <c r="P90" s="132"/>
      <c r="Q90" s="132"/>
      <c r="R90" s="132"/>
      <c r="S90" s="132"/>
      <c r="T90" s="132"/>
      <c r="U90" s="132"/>
      <c r="V90" s="132"/>
      <c r="W90" s="132"/>
      <c r="X90" s="132"/>
      <c r="Y90" s="132"/>
      <c r="Z90" s="132"/>
      <c r="AA90" s="132"/>
      <c r="AB90" s="132"/>
      <c r="AC90" s="132"/>
      <c r="AD90" s="132"/>
      <c r="AE90" s="132"/>
      <c r="AF90" s="132"/>
      <c r="AG90" s="132"/>
      <c r="AH90" s="132"/>
      <c r="AI90" s="132"/>
      <c r="AJ90" s="132"/>
      <c r="AK90" s="132"/>
      <c r="AL90" s="132"/>
      <c r="AM90" s="132"/>
      <c r="AN90" s="132"/>
      <c r="AO90" s="132"/>
      <c r="AP90" s="132"/>
      <c r="AQ90" s="132"/>
      <c r="AR90" s="132"/>
      <c r="AS90" s="132"/>
      <c r="AT90" s="132"/>
      <c r="AU90" s="132"/>
      <c r="AV90" s="132"/>
      <c r="AW90" s="142"/>
    </row>
    <row r="91" spans="1:49" ht="60" customHeight="1" x14ac:dyDescent="0.35">
      <c r="A91" s="139" t="s">
        <v>3494</v>
      </c>
      <c r="B91" s="125" t="s">
        <v>3515</v>
      </c>
      <c r="C91" s="126" t="s">
        <v>3516</v>
      </c>
      <c r="D91" s="128" t="s">
        <v>3517</v>
      </c>
      <c r="E91" s="128" t="s">
        <v>3518</v>
      </c>
      <c r="F91" s="128" t="s">
        <v>3519</v>
      </c>
      <c r="G91" s="128" t="s">
        <v>3031</v>
      </c>
      <c r="H91" s="128" t="s">
        <v>3520</v>
      </c>
      <c r="I91" s="130">
        <f>IF(COUNTIF(J91:AW91,"&lt;&gt;")=0,"",SUMPRODUCT(((Recommendations[ImplStatus]="Implemented")+(Recommendations[ImplStatus]="Compensated"))*ISNUMBER(MATCH(Recommendations[Id],J91:AW91,0)))/COUNTIF(J91:AW91,"&lt;&gt;"))</f>
        <v>0</v>
      </c>
      <c r="J91" s="132" t="s">
        <v>38</v>
      </c>
      <c r="K91" s="132" t="s">
        <v>43</v>
      </c>
      <c r="L91" s="132" t="s">
        <v>82</v>
      </c>
      <c r="M91" s="132" t="s">
        <v>87</v>
      </c>
      <c r="N91" s="132" t="s">
        <v>125</v>
      </c>
      <c r="O91" s="132" t="s">
        <v>130</v>
      </c>
      <c r="P91" s="132" t="s">
        <v>164</v>
      </c>
      <c r="Q91" s="132" t="s">
        <v>169</v>
      </c>
      <c r="R91" s="132" t="s">
        <v>199</v>
      </c>
      <c r="S91" s="132" t="s">
        <v>358</v>
      </c>
      <c r="T91" s="132" t="s">
        <v>363</v>
      </c>
      <c r="U91" s="132" t="s">
        <v>506</v>
      </c>
      <c r="V91" s="132" t="s">
        <v>1263</v>
      </c>
      <c r="W91" s="132" t="s">
        <v>1454</v>
      </c>
      <c r="X91" s="132" t="s">
        <v>1459</v>
      </c>
      <c r="Y91" s="132" t="s">
        <v>1463</v>
      </c>
      <c r="Z91" s="132" t="s">
        <v>1738</v>
      </c>
      <c r="AA91" s="132" t="s">
        <v>1743</v>
      </c>
      <c r="AB91" s="132" t="s">
        <v>1747</v>
      </c>
      <c r="AC91" s="132" t="s">
        <v>1751</v>
      </c>
      <c r="AD91" s="132" t="s">
        <v>1755</v>
      </c>
      <c r="AE91" s="132" t="s">
        <v>1760</v>
      </c>
      <c r="AF91" s="132" t="s">
        <v>1764</v>
      </c>
      <c r="AG91" s="132" t="s">
        <v>1769</v>
      </c>
      <c r="AH91" s="132" t="s">
        <v>1774</v>
      </c>
      <c r="AI91" s="132" t="s">
        <v>1779</v>
      </c>
      <c r="AJ91" s="132"/>
      <c r="AK91" s="132"/>
      <c r="AL91" s="132"/>
      <c r="AM91" s="132"/>
      <c r="AN91" s="132"/>
      <c r="AO91" s="132"/>
      <c r="AP91" s="132"/>
      <c r="AQ91" s="132"/>
      <c r="AR91" s="132"/>
      <c r="AS91" s="132"/>
      <c r="AT91" s="132"/>
      <c r="AU91" s="132"/>
      <c r="AV91" s="132"/>
      <c r="AW91" s="142"/>
    </row>
    <row r="92" spans="1:49" ht="60" customHeight="1" x14ac:dyDescent="0.35">
      <c r="A92" s="139" t="s">
        <v>3494</v>
      </c>
      <c r="B92" s="125" t="s">
        <v>3521</v>
      </c>
      <c r="C92" s="126" t="s">
        <v>3522</v>
      </c>
      <c r="D92" s="128" t="s">
        <v>3523</v>
      </c>
      <c r="E92" s="128" t="s">
        <v>3524</v>
      </c>
      <c r="F92" s="128" t="s">
        <v>3525</v>
      </c>
      <c r="G92" s="128" t="s">
        <v>3031</v>
      </c>
      <c r="H92" s="128" t="s">
        <v>3526</v>
      </c>
      <c r="I92" s="130" t="str">
        <f>IF(COUNTIF(J92:AW92,"&lt;&gt;")=0,"",SUMPRODUCT(((Recommendations[ImplStatus]="Implemented")+(Recommendations[ImplStatus]="Compensated"))*ISNUMBER(MATCH(Recommendations[Id],J92:AW92,0)))/COUNTIF(J92:AW92,"&lt;&gt;"))</f>
        <v/>
      </c>
      <c r="J92" s="132"/>
      <c r="K92" s="132"/>
      <c r="L92" s="132"/>
      <c r="M92" s="132"/>
      <c r="N92" s="132"/>
      <c r="O92" s="132"/>
      <c r="P92" s="132"/>
      <c r="Q92" s="132"/>
      <c r="R92" s="132"/>
      <c r="S92" s="132"/>
      <c r="T92" s="132"/>
      <c r="U92" s="132"/>
      <c r="V92" s="132"/>
      <c r="W92" s="132"/>
      <c r="X92" s="132"/>
      <c r="Y92" s="132"/>
      <c r="Z92" s="132"/>
      <c r="AA92" s="132"/>
      <c r="AB92" s="132"/>
      <c r="AC92" s="132"/>
      <c r="AD92" s="132"/>
      <c r="AE92" s="132"/>
      <c r="AF92" s="132"/>
      <c r="AG92" s="132"/>
      <c r="AH92" s="132"/>
      <c r="AI92" s="132"/>
      <c r="AJ92" s="132"/>
      <c r="AK92" s="132"/>
      <c r="AL92" s="132"/>
      <c r="AM92" s="132"/>
      <c r="AN92" s="132"/>
      <c r="AO92" s="132"/>
      <c r="AP92" s="132"/>
      <c r="AQ92" s="132"/>
      <c r="AR92" s="132"/>
      <c r="AS92" s="132"/>
      <c r="AT92" s="132"/>
      <c r="AU92" s="132"/>
      <c r="AV92" s="132"/>
      <c r="AW92" s="142"/>
    </row>
    <row r="93" spans="1:49" ht="60" customHeight="1" x14ac:dyDescent="0.35">
      <c r="A93" s="139" t="s">
        <v>3494</v>
      </c>
      <c r="B93" s="125" t="s">
        <v>3527</v>
      </c>
      <c r="C93" s="126" t="s">
        <v>3528</v>
      </c>
      <c r="D93" s="128" t="s">
        <v>3529</v>
      </c>
      <c r="E93" s="128" t="s">
        <v>3530</v>
      </c>
      <c r="F93" s="128" t="s">
        <v>3531</v>
      </c>
      <c r="G93" s="128" t="s">
        <v>3532</v>
      </c>
      <c r="H93" s="128" t="s">
        <v>3533</v>
      </c>
      <c r="I93" s="130">
        <f>IF(COUNTIF(J93:AW93,"&lt;&gt;")=0,"",SUMPRODUCT(((Recommendations[ImplStatus]="Implemented")+(Recommendations[ImplStatus]="Compensated"))*ISNUMBER(MATCH(Recommendations[Id],J93:AW93,0)))/COUNTIF(J93:AW93,"&lt;&gt;"))</f>
        <v>0</v>
      </c>
      <c r="J93" s="132" t="s">
        <v>43</v>
      </c>
      <c r="K93" s="132" t="s">
        <v>240</v>
      </c>
      <c r="L93" s="132" t="s">
        <v>373</v>
      </c>
      <c r="M93" s="132"/>
      <c r="N93" s="132"/>
      <c r="O93" s="132"/>
      <c r="P93" s="132"/>
      <c r="Q93" s="132"/>
      <c r="R93" s="132"/>
      <c r="S93" s="132"/>
      <c r="T93" s="132"/>
      <c r="U93" s="132"/>
      <c r="V93" s="132"/>
      <c r="W93" s="132"/>
      <c r="X93" s="132"/>
      <c r="Y93" s="132"/>
      <c r="Z93" s="132"/>
      <c r="AA93" s="132"/>
      <c r="AB93" s="132"/>
      <c r="AC93" s="132"/>
      <c r="AD93" s="132"/>
      <c r="AE93" s="132"/>
      <c r="AF93" s="132"/>
      <c r="AG93" s="132"/>
      <c r="AH93" s="132"/>
      <c r="AI93" s="132"/>
      <c r="AJ93" s="132"/>
      <c r="AK93" s="132"/>
      <c r="AL93" s="132"/>
      <c r="AM93" s="132"/>
      <c r="AN93" s="132"/>
      <c r="AO93" s="132"/>
      <c r="AP93" s="132"/>
      <c r="AQ93" s="132"/>
      <c r="AR93" s="132"/>
      <c r="AS93" s="132"/>
      <c r="AT93" s="132"/>
      <c r="AU93" s="132"/>
      <c r="AV93" s="132"/>
      <c r="AW93" s="142"/>
    </row>
    <row r="94" spans="1:49" ht="60" customHeight="1" x14ac:dyDescent="0.35">
      <c r="A94" s="139" t="s">
        <v>3494</v>
      </c>
      <c r="B94" s="125" t="s">
        <v>3534</v>
      </c>
      <c r="C94" s="126" t="s">
        <v>3535</v>
      </c>
      <c r="D94" s="128" t="s">
        <v>3536</v>
      </c>
      <c r="E94" s="128" t="s">
        <v>3537</v>
      </c>
      <c r="F94" s="128" t="s">
        <v>3538</v>
      </c>
      <c r="G94" s="128" t="s">
        <v>3539</v>
      </c>
      <c r="H94" s="128" t="s">
        <v>3540</v>
      </c>
      <c r="I94" s="130">
        <f>IF(COUNTIF(J94:AW94,"&lt;&gt;")=0,"",SUMPRODUCT(((Recommendations[ImplStatus]="Implemented")+(Recommendations[ImplStatus]="Compensated"))*ISNUMBER(MATCH(Recommendations[Id],J94:AW94,0)))/COUNTIF(J94:AW94,"&lt;&gt;"))</f>
        <v>0</v>
      </c>
      <c r="J94" s="132" t="s">
        <v>38</v>
      </c>
      <c r="K94" s="132" t="s">
        <v>82</v>
      </c>
      <c r="L94" s="132" t="s">
        <v>87</v>
      </c>
      <c r="M94" s="132" t="s">
        <v>92</v>
      </c>
      <c r="N94" s="132" t="s">
        <v>125</v>
      </c>
      <c r="O94" s="132" t="s">
        <v>130</v>
      </c>
      <c r="P94" s="132" t="s">
        <v>164</v>
      </c>
      <c r="Q94" s="132" t="s">
        <v>169</v>
      </c>
      <c r="R94" s="132" t="s">
        <v>199</v>
      </c>
      <c r="S94" s="132" t="s">
        <v>358</v>
      </c>
      <c r="T94" s="132" t="s">
        <v>363</v>
      </c>
      <c r="U94" s="132" t="s">
        <v>1454</v>
      </c>
      <c r="V94" s="132" t="s">
        <v>1459</v>
      </c>
      <c r="W94" s="132" t="s">
        <v>1738</v>
      </c>
      <c r="X94" s="132" t="s">
        <v>1743</v>
      </c>
      <c r="Y94" s="132" t="s">
        <v>1747</v>
      </c>
      <c r="Z94" s="132" t="s">
        <v>1751</v>
      </c>
      <c r="AA94" s="132" t="s">
        <v>1755</v>
      </c>
      <c r="AB94" s="132" t="s">
        <v>1760</v>
      </c>
      <c r="AC94" s="132" t="s">
        <v>1764</v>
      </c>
      <c r="AD94" s="132" t="s">
        <v>1769</v>
      </c>
      <c r="AE94" s="132" t="s">
        <v>1779</v>
      </c>
      <c r="AF94" s="132"/>
      <c r="AG94" s="132"/>
      <c r="AH94" s="132"/>
      <c r="AI94" s="132"/>
      <c r="AJ94" s="132"/>
      <c r="AK94" s="132"/>
      <c r="AL94" s="132"/>
      <c r="AM94" s="132"/>
      <c r="AN94" s="132"/>
      <c r="AO94" s="132"/>
      <c r="AP94" s="132"/>
      <c r="AQ94" s="132"/>
      <c r="AR94" s="132"/>
      <c r="AS94" s="132"/>
      <c r="AT94" s="132"/>
      <c r="AU94" s="132"/>
      <c r="AV94" s="132"/>
      <c r="AW94" s="142"/>
    </row>
    <row r="95" spans="1:49" ht="60" customHeight="1" x14ac:dyDescent="0.35">
      <c r="A95" s="139" t="s">
        <v>3494</v>
      </c>
      <c r="B95" s="125" t="s">
        <v>3541</v>
      </c>
      <c r="C95" s="126" t="s">
        <v>3542</v>
      </c>
      <c r="D95" s="128" t="s">
        <v>3543</v>
      </c>
      <c r="E95" s="128" t="s">
        <v>3544</v>
      </c>
      <c r="F95" s="128" t="s">
        <v>3545</v>
      </c>
      <c r="G95" s="128" t="s">
        <v>3546</v>
      </c>
      <c r="H95" s="128" t="s">
        <v>3547</v>
      </c>
      <c r="I95" s="130" t="str">
        <f>IF(COUNTIF(J95:AW95,"&lt;&gt;")=0,"",SUMPRODUCT(((Recommendations[ImplStatus]="Implemented")+(Recommendations[ImplStatus]="Compensated"))*ISNUMBER(MATCH(Recommendations[Id],J95:AW95,0)))/COUNTIF(J95:AW95,"&lt;&gt;"))</f>
        <v/>
      </c>
      <c r="J95" s="132"/>
      <c r="K95" s="132"/>
      <c r="L95" s="132"/>
      <c r="M95" s="132"/>
      <c r="N95" s="132"/>
      <c r="O95" s="132"/>
      <c r="P95" s="132"/>
      <c r="Q95" s="132"/>
      <c r="R95" s="132"/>
      <c r="S95" s="132"/>
      <c r="T95" s="132"/>
      <c r="U95" s="132"/>
      <c r="V95" s="132"/>
      <c r="W95" s="132"/>
      <c r="X95" s="132"/>
      <c r="Y95" s="132"/>
      <c r="Z95" s="132"/>
      <c r="AA95" s="132"/>
      <c r="AB95" s="132"/>
      <c r="AC95" s="132"/>
      <c r="AD95" s="132"/>
      <c r="AE95" s="132"/>
      <c r="AF95" s="132"/>
      <c r="AG95" s="132"/>
      <c r="AH95" s="132"/>
      <c r="AI95" s="132"/>
      <c r="AJ95" s="132"/>
      <c r="AK95" s="132"/>
      <c r="AL95" s="132"/>
      <c r="AM95" s="132"/>
      <c r="AN95" s="132"/>
      <c r="AO95" s="132"/>
      <c r="AP95" s="132"/>
      <c r="AQ95" s="132"/>
      <c r="AR95" s="132"/>
      <c r="AS95" s="132"/>
      <c r="AT95" s="132"/>
      <c r="AU95" s="132"/>
      <c r="AV95" s="132"/>
      <c r="AW95" s="142"/>
    </row>
    <row r="96" spans="1:49" ht="60" customHeight="1" x14ac:dyDescent="0.35">
      <c r="A96" s="139" t="s">
        <v>3494</v>
      </c>
      <c r="B96" s="125" t="s">
        <v>3548</v>
      </c>
      <c r="C96" s="126" t="s">
        <v>3549</v>
      </c>
      <c r="D96" s="128" t="s">
        <v>3550</v>
      </c>
      <c r="E96" s="128" t="s">
        <v>3551</v>
      </c>
      <c r="F96" s="128" t="s">
        <v>3552</v>
      </c>
      <c r="G96" s="128" t="s">
        <v>3553</v>
      </c>
      <c r="H96" s="128" t="s">
        <v>3554</v>
      </c>
      <c r="I96" s="130" t="str">
        <f>IF(COUNTIF(J96:AW96,"&lt;&gt;")=0,"",SUMPRODUCT(((Recommendations[ImplStatus]="Implemented")+(Recommendations[ImplStatus]="Compensated"))*ISNUMBER(MATCH(Recommendations[Id],J96:AW96,0)))/COUNTIF(J96:AW96,"&lt;&gt;"))</f>
        <v/>
      </c>
      <c r="J96" s="132"/>
      <c r="K96" s="132"/>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32"/>
      <c r="AJ96" s="132"/>
      <c r="AK96" s="132"/>
      <c r="AL96" s="132"/>
      <c r="AM96" s="132"/>
      <c r="AN96" s="132"/>
      <c r="AO96" s="132"/>
      <c r="AP96" s="132"/>
      <c r="AQ96" s="132"/>
      <c r="AR96" s="132"/>
      <c r="AS96" s="132"/>
      <c r="AT96" s="132"/>
      <c r="AU96" s="132"/>
      <c r="AV96" s="132"/>
      <c r="AW96" s="142"/>
    </row>
    <row r="97" spans="1:49" ht="60" customHeight="1" x14ac:dyDescent="0.35">
      <c r="A97" s="139" t="s">
        <v>3494</v>
      </c>
      <c r="B97" s="125" t="s">
        <v>3555</v>
      </c>
      <c r="C97" s="126" t="s">
        <v>3556</v>
      </c>
      <c r="D97" s="128" t="s">
        <v>3557</v>
      </c>
      <c r="E97" s="128" t="s">
        <v>3558</v>
      </c>
      <c r="F97" s="128" t="s">
        <v>3559</v>
      </c>
      <c r="G97" s="128" t="s">
        <v>3560</v>
      </c>
      <c r="H97" s="128" t="s">
        <v>3561</v>
      </c>
      <c r="I97" s="130" t="str">
        <f>IF(COUNTIF(J97:AW97,"&lt;&gt;")=0,"",SUMPRODUCT(((Recommendations[ImplStatus]="Implemented")+(Recommendations[ImplStatus]="Compensated"))*ISNUMBER(MATCH(Recommendations[Id],J97:AW97,0)))/COUNTIF(J97:AW97,"&lt;&gt;"))</f>
        <v/>
      </c>
      <c r="J97" s="132"/>
      <c r="K97" s="132"/>
      <c r="L97" s="132"/>
      <c r="M97" s="132"/>
      <c r="N97" s="132"/>
      <c r="O97" s="132"/>
      <c r="P97" s="132"/>
      <c r="Q97" s="132"/>
      <c r="R97" s="132"/>
      <c r="S97" s="132"/>
      <c r="T97" s="132"/>
      <c r="U97" s="132"/>
      <c r="V97" s="132"/>
      <c r="W97" s="132"/>
      <c r="X97" s="132"/>
      <c r="Y97" s="132"/>
      <c r="Z97" s="132"/>
      <c r="AA97" s="132"/>
      <c r="AB97" s="132"/>
      <c r="AC97" s="132"/>
      <c r="AD97" s="132"/>
      <c r="AE97" s="132"/>
      <c r="AF97" s="132"/>
      <c r="AG97" s="132"/>
      <c r="AH97" s="132"/>
      <c r="AI97" s="132"/>
      <c r="AJ97" s="132"/>
      <c r="AK97" s="132"/>
      <c r="AL97" s="132"/>
      <c r="AM97" s="132"/>
      <c r="AN97" s="132"/>
      <c r="AO97" s="132"/>
      <c r="AP97" s="132"/>
      <c r="AQ97" s="132"/>
      <c r="AR97" s="132"/>
      <c r="AS97" s="132"/>
      <c r="AT97" s="132"/>
      <c r="AU97" s="132"/>
      <c r="AV97" s="132"/>
      <c r="AW97" s="142"/>
    </row>
    <row r="98" spans="1:49" ht="60" customHeight="1" outlineLevel="1" x14ac:dyDescent="0.35">
      <c r="A98" s="138" t="s">
        <v>3562</v>
      </c>
      <c r="B98" s="124"/>
      <c r="C98" s="123" t="s">
        <v>3563</v>
      </c>
      <c r="D98" s="127"/>
      <c r="E98" s="127"/>
      <c r="F98" s="127"/>
      <c r="G98" s="127"/>
      <c r="H98" s="127"/>
      <c r="I98" s="129" t="str">
        <f>IF(COUNTIF(J98:AW98,"&lt;&gt;")=0,"",SUMPRODUCT(((Recommendations[ImplStatus]="Implemented")+(Recommendations[ImplStatus]="Compensated"))*ISNUMBER(MATCH(Recommendations[Id],J98:AW98,0)))/COUNTIF(J98:AW98,"&lt;&gt;"))</f>
        <v/>
      </c>
      <c r="J98" s="131"/>
      <c r="K98" s="131"/>
      <c r="L98" s="131"/>
      <c r="M98" s="131"/>
      <c r="N98" s="131"/>
      <c r="O98" s="131"/>
      <c r="P98" s="131"/>
      <c r="Q98" s="131"/>
      <c r="R98" s="131"/>
      <c r="S98" s="131"/>
      <c r="T98" s="131"/>
      <c r="U98" s="131"/>
      <c r="V98" s="131"/>
      <c r="W98" s="131"/>
      <c r="X98" s="131"/>
      <c r="Y98" s="131"/>
      <c r="Z98" s="131"/>
      <c r="AA98" s="131"/>
      <c r="AB98" s="131"/>
      <c r="AC98" s="131"/>
      <c r="AD98" s="131"/>
      <c r="AE98" s="131"/>
      <c r="AF98" s="131"/>
      <c r="AG98" s="131"/>
      <c r="AH98" s="131"/>
      <c r="AI98" s="131"/>
      <c r="AJ98" s="131"/>
      <c r="AK98" s="131"/>
      <c r="AL98" s="131"/>
      <c r="AM98" s="131"/>
      <c r="AN98" s="131"/>
      <c r="AO98" s="131"/>
      <c r="AP98" s="131"/>
      <c r="AQ98" s="131"/>
      <c r="AR98" s="131"/>
      <c r="AS98" s="131"/>
      <c r="AT98" s="131"/>
      <c r="AU98" s="131"/>
      <c r="AV98" s="131"/>
      <c r="AW98" s="141"/>
    </row>
    <row r="99" spans="1:49" ht="60" customHeight="1" x14ac:dyDescent="0.35">
      <c r="A99" s="139" t="s">
        <v>3562</v>
      </c>
      <c r="B99" s="125" t="s">
        <v>3564</v>
      </c>
      <c r="C99" s="126" t="s">
        <v>3565</v>
      </c>
      <c r="D99" s="128" t="s">
        <v>3566</v>
      </c>
      <c r="E99" s="128" t="s">
        <v>3567</v>
      </c>
      <c r="F99" s="128" t="s">
        <v>3568</v>
      </c>
      <c r="G99" s="128" t="s">
        <v>3569</v>
      </c>
      <c r="H99" s="128" t="s">
        <v>3570</v>
      </c>
      <c r="I99" s="130">
        <f>IF(COUNTIF(J99:AW99,"&lt;&gt;")=0,"",SUMPRODUCT(((Recommendations[ImplStatus]="Implemented")+(Recommendations[ImplStatus]="Compensated"))*ISNUMBER(MATCH(Recommendations[Id],J99:AW99,0)))/COUNTIF(J99:AW99,"&lt;&gt;"))</f>
        <v>0</v>
      </c>
      <c r="J99" s="132" t="s">
        <v>27</v>
      </c>
      <c r="K99" s="132" t="s">
        <v>33</v>
      </c>
      <c r="L99" s="132" t="s">
        <v>153</v>
      </c>
      <c r="M99" s="132"/>
      <c r="N99" s="132"/>
      <c r="O99" s="132"/>
      <c r="P99" s="132"/>
      <c r="Q99" s="132"/>
      <c r="R99" s="132"/>
      <c r="S99" s="132"/>
      <c r="T99" s="132"/>
      <c r="U99" s="132"/>
      <c r="V99" s="132"/>
      <c r="W99" s="132"/>
      <c r="X99" s="132"/>
      <c r="Y99" s="132"/>
      <c r="Z99" s="132"/>
      <c r="AA99" s="132"/>
      <c r="AB99" s="132"/>
      <c r="AC99" s="132"/>
      <c r="AD99" s="132"/>
      <c r="AE99" s="132"/>
      <c r="AF99" s="132"/>
      <c r="AG99" s="132"/>
      <c r="AH99" s="132"/>
      <c r="AI99" s="132"/>
      <c r="AJ99" s="132"/>
      <c r="AK99" s="132"/>
      <c r="AL99" s="132"/>
      <c r="AM99" s="132"/>
      <c r="AN99" s="132"/>
      <c r="AO99" s="132"/>
      <c r="AP99" s="132"/>
      <c r="AQ99" s="132"/>
      <c r="AR99" s="132"/>
      <c r="AS99" s="132"/>
      <c r="AT99" s="132"/>
      <c r="AU99" s="132"/>
      <c r="AV99" s="132"/>
      <c r="AW99" s="142"/>
    </row>
    <row r="100" spans="1:49" ht="60" customHeight="1" x14ac:dyDescent="0.35">
      <c r="A100" s="139" t="s">
        <v>3562</v>
      </c>
      <c r="B100" s="125" t="s">
        <v>3571</v>
      </c>
      <c r="C100" s="126" t="s">
        <v>3572</v>
      </c>
      <c r="D100" s="128" t="s">
        <v>3573</v>
      </c>
      <c r="E100" s="128" t="s">
        <v>3574</v>
      </c>
      <c r="F100" s="128" t="s">
        <v>3575</v>
      </c>
      <c r="G100" s="128" t="s">
        <v>3576</v>
      </c>
      <c r="H100" s="128" t="s">
        <v>3577</v>
      </c>
      <c r="I100" s="130">
        <f>IF(COUNTIF(J100:AW100,"&lt;&gt;")=0,"",SUMPRODUCT(((Recommendations[ImplStatus]="Implemented")+(Recommendations[ImplStatus]="Compensated"))*ISNUMBER(MATCH(Recommendations[Id],J100:AW100,0)))/COUNTIF(J100:AW100,"&lt;&gt;"))</f>
        <v>0</v>
      </c>
      <c r="J100" s="132" t="s">
        <v>1422</v>
      </c>
      <c r="K100" s="132" t="s">
        <v>1427</v>
      </c>
      <c r="L100" s="132" t="s">
        <v>1431</v>
      </c>
      <c r="M100" s="132"/>
      <c r="N100" s="132"/>
      <c r="O100" s="132"/>
      <c r="P100" s="132"/>
      <c r="Q100" s="132"/>
      <c r="R100" s="132"/>
      <c r="S100" s="132"/>
      <c r="T100" s="132"/>
      <c r="U100" s="132"/>
      <c r="V100" s="132"/>
      <c r="W100" s="132"/>
      <c r="X100" s="132"/>
      <c r="Y100" s="132"/>
      <c r="Z100" s="132"/>
      <c r="AA100" s="132"/>
      <c r="AB100" s="132"/>
      <c r="AC100" s="132"/>
      <c r="AD100" s="132"/>
      <c r="AE100" s="132"/>
      <c r="AF100" s="132"/>
      <c r="AG100" s="132"/>
      <c r="AH100" s="132"/>
      <c r="AI100" s="132"/>
      <c r="AJ100" s="132"/>
      <c r="AK100" s="132"/>
      <c r="AL100" s="132"/>
      <c r="AM100" s="132"/>
      <c r="AN100" s="132"/>
      <c r="AO100" s="132"/>
      <c r="AP100" s="132"/>
      <c r="AQ100" s="132"/>
      <c r="AR100" s="132"/>
      <c r="AS100" s="132"/>
      <c r="AT100" s="132"/>
      <c r="AU100" s="132"/>
      <c r="AV100" s="132"/>
      <c r="AW100" s="142"/>
    </row>
    <row r="101" spans="1:49" ht="60" customHeight="1" x14ac:dyDescent="0.35">
      <c r="A101" s="139" t="s">
        <v>3562</v>
      </c>
      <c r="B101" s="125" t="s">
        <v>3578</v>
      </c>
      <c r="C101" s="126" t="s">
        <v>3579</v>
      </c>
      <c r="D101" s="128" t="s">
        <v>3580</v>
      </c>
      <c r="E101" s="128" t="s">
        <v>3581</v>
      </c>
      <c r="F101" s="128" t="s">
        <v>19</v>
      </c>
      <c r="G101" s="128" t="s">
        <v>19</v>
      </c>
      <c r="H101" s="128" t="s">
        <v>19</v>
      </c>
      <c r="I101" s="130" t="str">
        <f>IF(COUNTIF(J101:AW101,"&lt;&gt;")=0,"",SUMPRODUCT(((Recommendations[ImplStatus]="Implemented")+(Recommendations[ImplStatus]="Compensated"))*ISNUMBER(MATCH(Recommendations[Id],J101:AW101,0)))/COUNTIF(J101:AW101,"&lt;&gt;"))</f>
        <v/>
      </c>
      <c r="J101" s="132"/>
      <c r="K101" s="132"/>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2"/>
      <c r="AH101" s="132"/>
      <c r="AI101" s="132"/>
      <c r="AJ101" s="132"/>
      <c r="AK101" s="132"/>
      <c r="AL101" s="132"/>
      <c r="AM101" s="132"/>
      <c r="AN101" s="132"/>
      <c r="AO101" s="132"/>
      <c r="AP101" s="132"/>
      <c r="AQ101" s="132"/>
      <c r="AR101" s="132"/>
      <c r="AS101" s="132"/>
      <c r="AT101" s="132"/>
      <c r="AU101" s="132"/>
      <c r="AV101" s="132"/>
      <c r="AW101" s="142"/>
    </row>
    <row r="102" spans="1:49" ht="60" customHeight="1" x14ac:dyDescent="0.35">
      <c r="A102" s="139" t="s">
        <v>3562</v>
      </c>
      <c r="B102" s="125" t="s">
        <v>3582</v>
      </c>
      <c r="C102" s="126" t="s">
        <v>3583</v>
      </c>
      <c r="D102" s="128" t="s">
        <v>3584</v>
      </c>
      <c r="E102" s="128" t="s">
        <v>3585</v>
      </c>
      <c r="F102" s="128" t="s">
        <v>3586</v>
      </c>
      <c r="G102" s="128" t="s">
        <v>3587</v>
      </c>
      <c r="H102" s="128" t="s">
        <v>3588</v>
      </c>
      <c r="I102" s="130">
        <f>IF(COUNTIF(J102:AW102,"&lt;&gt;")=0,"",SUMPRODUCT(((Recommendations[ImplStatus]="Implemented")+(Recommendations[ImplStatus]="Compensated"))*ISNUMBER(MATCH(Recommendations[Id],J102:AW102,0)))/COUNTIF(J102:AW102,"&lt;&gt;"))</f>
        <v>0</v>
      </c>
      <c r="J102" s="132" t="s">
        <v>230</v>
      </c>
      <c r="K102" s="132" t="s">
        <v>1593</v>
      </c>
      <c r="L102" s="132" t="s">
        <v>1598</v>
      </c>
      <c r="M102" s="132" t="s">
        <v>1670</v>
      </c>
      <c r="N102" s="132"/>
      <c r="O102" s="132"/>
      <c r="P102" s="132"/>
      <c r="Q102" s="132"/>
      <c r="R102" s="132"/>
      <c r="S102" s="132"/>
      <c r="T102" s="132"/>
      <c r="U102" s="132"/>
      <c r="V102" s="132"/>
      <c r="W102" s="132"/>
      <c r="X102" s="132"/>
      <c r="Y102" s="132"/>
      <c r="Z102" s="132"/>
      <c r="AA102" s="132"/>
      <c r="AB102" s="132"/>
      <c r="AC102" s="132"/>
      <c r="AD102" s="132"/>
      <c r="AE102" s="132"/>
      <c r="AF102" s="132"/>
      <c r="AG102" s="132"/>
      <c r="AH102" s="132"/>
      <c r="AI102" s="132"/>
      <c r="AJ102" s="132"/>
      <c r="AK102" s="132"/>
      <c r="AL102" s="132"/>
      <c r="AM102" s="132"/>
      <c r="AN102" s="132"/>
      <c r="AO102" s="132"/>
      <c r="AP102" s="132"/>
      <c r="AQ102" s="132"/>
      <c r="AR102" s="132"/>
      <c r="AS102" s="132"/>
      <c r="AT102" s="132"/>
      <c r="AU102" s="132"/>
      <c r="AV102" s="132"/>
      <c r="AW102" s="142"/>
    </row>
    <row r="103" spans="1:49" ht="60" customHeight="1" x14ac:dyDescent="0.35">
      <c r="A103" s="139" t="s">
        <v>3562</v>
      </c>
      <c r="B103" s="125" t="s">
        <v>3589</v>
      </c>
      <c r="C103" s="126" t="s">
        <v>3590</v>
      </c>
      <c r="D103" s="128" t="s">
        <v>3591</v>
      </c>
      <c r="E103" s="128" t="s">
        <v>3592</v>
      </c>
      <c r="F103" s="128" t="s">
        <v>3593</v>
      </c>
      <c r="G103" s="128" t="s">
        <v>3594</v>
      </c>
      <c r="H103" s="128" t="s">
        <v>3595</v>
      </c>
      <c r="I103" s="130" t="str">
        <f>IF(COUNTIF(J103:AW103,"&lt;&gt;")=0,"",SUMPRODUCT(((Recommendations[ImplStatus]="Implemented")+(Recommendations[ImplStatus]="Compensated"))*ISNUMBER(MATCH(Recommendations[Id],J103:AW103,0)))/COUNTIF(J103:AW103,"&lt;&gt;"))</f>
        <v/>
      </c>
      <c r="J103" s="132"/>
      <c r="K103" s="132"/>
      <c r="L103" s="132"/>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c r="AN103" s="132"/>
      <c r="AO103" s="132"/>
      <c r="AP103" s="132"/>
      <c r="AQ103" s="132"/>
      <c r="AR103" s="132"/>
      <c r="AS103" s="132"/>
      <c r="AT103" s="132"/>
      <c r="AU103" s="132"/>
      <c r="AV103" s="132"/>
      <c r="AW103" s="142"/>
    </row>
    <row r="104" spans="1:49" ht="60" customHeight="1" outlineLevel="1" x14ac:dyDescent="0.35">
      <c r="A104" s="138" t="s">
        <v>3596</v>
      </c>
      <c r="B104" s="124"/>
      <c r="C104" s="123" t="s">
        <v>3597</v>
      </c>
      <c r="D104" s="127"/>
      <c r="E104" s="127"/>
      <c r="F104" s="127"/>
      <c r="G104" s="127"/>
      <c r="H104" s="127"/>
      <c r="I104" s="129" t="str">
        <f>IF(COUNTIF(J104:AW104,"&lt;&gt;")=0,"",SUMPRODUCT(((Recommendations[ImplStatus]="Implemented")+(Recommendations[ImplStatus]="Compensated"))*ISNUMBER(MATCH(Recommendations[Id],J104:AW104,0)))/COUNTIF(J104:AW104,"&lt;&gt;"))</f>
        <v/>
      </c>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31"/>
      <c r="AG104" s="131"/>
      <c r="AH104" s="131"/>
      <c r="AI104" s="131"/>
      <c r="AJ104" s="131"/>
      <c r="AK104" s="131"/>
      <c r="AL104" s="131"/>
      <c r="AM104" s="131"/>
      <c r="AN104" s="131"/>
      <c r="AO104" s="131"/>
      <c r="AP104" s="131"/>
      <c r="AQ104" s="131"/>
      <c r="AR104" s="131"/>
      <c r="AS104" s="131"/>
      <c r="AT104" s="131"/>
      <c r="AU104" s="131"/>
      <c r="AV104" s="131"/>
      <c r="AW104" s="141"/>
    </row>
    <row r="105" spans="1:49" ht="60" customHeight="1" x14ac:dyDescent="0.35">
      <c r="A105" s="139" t="s">
        <v>3596</v>
      </c>
      <c r="B105" s="125" t="s">
        <v>3598</v>
      </c>
      <c r="C105" s="126" t="s">
        <v>3599</v>
      </c>
      <c r="D105" s="128" t="s">
        <v>3600</v>
      </c>
      <c r="E105" s="128" t="s">
        <v>3601</v>
      </c>
      <c r="F105" s="128" t="s">
        <v>3602</v>
      </c>
      <c r="G105" s="128" t="s">
        <v>3603</v>
      </c>
      <c r="H105" s="128" t="s">
        <v>19</v>
      </c>
      <c r="I105" s="130" t="str">
        <f>IF(COUNTIF(J105:AW105,"&lt;&gt;")=0,"",SUMPRODUCT(((Recommendations[ImplStatus]="Implemented")+(Recommendations[ImplStatus]="Compensated"))*ISNUMBER(MATCH(Recommendations[Id],J105:AW105,0)))/COUNTIF(J105:AW105,"&lt;&gt;"))</f>
        <v/>
      </c>
      <c r="J105" s="132"/>
      <c r="K105" s="132"/>
      <c r="L105" s="132"/>
      <c r="M105" s="132"/>
      <c r="N105" s="132"/>
      <c r="O105" s="132"/>
      <c r="P105" s="132"/>
      <c r="Q105" s="132"/>
      <c r="R105" s="132"/>
      <c r="S105" s="132"/>
      <c r="T105" s="132"/>
      <c r="U105" s="132"/>
      <c r="V105" s="132"/>
      <c r="W105" s="132"/>
      <c r="X105" s="132"/>
      <c r="Y105" s="132"/>
      <c r="Z105" s="132"/>
      <c r="AA105" s="132"/>
      <c r="AB105" s="132"/>
      <c r="AC105" s="132"/>
      <c r="AD105" s="132"/>
      <c r="AE105" s="132"/>
      <c r="AF105" s="132"/>
      <c r="AG105" s="132"/>
      <c r="AH105" s="132"/>
      <c r="AI105" s="132"/>
      <c r="AJ105" s="132"/>
      <c r="AK105" s="132"/>
      <c r="AL105" s="132"/>
      <c r="AM105" s="132"/>
      <c r="AN105" s="132"/>
      <c r="AO105" s="132"/>
      <c r="AP105" s="132"/>
      <c r="AQ105" s="132"/>
      <c r="AR105" s="132"/>
      <c r="AS105" s="132"/>
      <c r="AT105" s="132"/>
      <c r="AU105" s="132"/>
      <c r="AV105" s="132"/>
      <c r="AW105" s="142"/>
    </row>
    <row r="106" spans="1:49" ht="60" customHeight="1" x14ac:dyDescent="0.35">
      <c r="A106" s="139" t="s">
        <v>3596</v>
      </c>
      <c r="B106" s="125" t="s">
        <v>3604</v>
      </c>
      <c r="C106" s="126" t="s">
        <v>3605</v>
      </c>
      <c r="D106" s="128" t="s">
        <v>3606</v>
      </c>
      <c r="E106" s="128" t="s">
        <v>3607</v>
      </c>
      <c r="F106" s="128" t="s">
        <v>3608</v>
      </c>
      <c r="G106" s="128" t="s">
        <v>3609</v>
      </c>
      <c r="H106" s="128" t="s">
        <v>3610</v>
      </c>
      <c r="I106" s="130" t="str">
        <f>IF(COUNTIF(J106:AW106,"&lt;&gt;")=0,"",SUMPRODUCT(((Recommendations[ImplStatus]="Implemented")+(Recommendations[ImplStatus]="Compensated"))*ISNUMBER(MATCH(Recommendations[Id],J106:AW106,0)))/COUNTIF(J106:AW106,"&lt;&gt;"))</f>
        <v/>
      </c>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c r="AN106" s="132"/>
      <c r="AO106" s="132"/>
      <c r="AP106" s="132"/>
      <c r="AQ106" s="132"/>
      <c r="AR106" s="132"/>
      <c r="AS106" s="132"/>
      <c r="AT106" s="132"/>
      <c r="AU106" s="132"/>
      <c r="AV106" s="132"/>
      <c r="AW106" s="142"/>
    </row>
    <row r="107" spans="1:49" ht="60" customHeight="1" x14ac:dyDescent="0.35">
      <c r="A107" s="139" t="s">
        <v>3596</v>
      </c>
      <c r="B107" s="125" t="s">
        <v>3611</v>
      </c>
      <c r="C107" s="126" t="s">
        <v>3612</v>
      </c>
      <c r="D107" s="128" t="s">
        <v>3613</v>
      </c>
      <c r="E107" s="128" t="s">
        <v>3614</v>
      </c>
      <c r="F107" s="128" t="s">
        <v>3615</v>
      </c>
      <c r="G107" s="128" t="s">
        <v>3616</v>
      </c>
      <c r="H107" s="128" t="s">
        <v>3617</v>
      </c>
      <c r="I107" s="130" t="str">
        <f>IF(COUNTIF(J107:AW107,"&lt;&gt;")=0,"",SUMPRODUCT(((Recommendations[ImplStatus]="Implemented")+(Recommendations[ImplStatus]="Compensated"))*ISNUMBER(MATCH(Recommendations[Id],J107:AW107,0)))/COUNTIF(J107:AW107,"&lt;&gt;"))</f>
        <v/>
      </c>
      <c r="J107" s="132"/>
      <c r="K107" s="132"/>
      <c r="L107" s="132"/>
      <c r="M107" s="132"/>
      <c r="N107" s="132"/>
      <c r="O107" s="132"/>
      <c r="P107" s="132"/>
      <c r="Q107" s="132"/>
      <c r="R107" s="132"/>
      <c r="S107" s="132"/>
      <c r="T107" s="132"/>
      <c r="U107" s="132"/>
      <c r="V107" s="132"/>
      <c r="W107" s="132"/>
      <c r="X107" s="132"/>
      <c r="Y107" s="132"/>
      <c r="Z107" s="132"/>
      <c r="AA107" s="132"/>
      <c r="AB107" s="132"/>
      <c r="AC107" s="132"/>
      <c r="AD107" s="132"/>
      <c r="AE107" s="132"/>
      <c r="AF107" s="132"/>
      <c r="AG107" s="132"/>
      <c r="AH107" s="132"/>
      <c r="AI107" s="132"/>
      <c r="AJ107" s="132"/>
      <c r="AK107" s="132"/>
      <c r="AL107" s="132"/>
      <c r="AM107" s="132"/>
      <c r="AN107" s="132"/>
      <c r="AO107" s="132"/>
      <c r="AP107" s="132"/>
      <c r="AQ107" s="132"/>
      <c r="AR107" s="132"/>
      <c r="AS107" s="132"/>
      <c r="AT107" s="132"/>
      <c r="AU107" s="132"/>
      <c r="AV107" s="132"/>
      <c r="AW107" s="142"/>
    </row>
    <row r="108" spans="1:49" ht="60" customHeight="1" outlineLevel="1" x14ac:dyDescent="0.35">
      <c r="A108" s="138" t="s">
        <v>3618</v>
      </c>
      <c r="B108" s="124"/>
      <c r="C108" s="123" t="s">
        <v>3619</v>
      </c>
      <c r="D108" s="127"/>
      <c r="E108" s="127"/>
      <c r="F108" s="127"/>
      <c r="G108" s="127"/>
      <c r="H108" s="127"/>
      <c r="I108" s="129" t="str">
        <f>IF(COUNTIF(J108:AW108,"&lt;&gt;")=0,"",SUMPRODUCT(((Recommendations[ImplStatus]="Implemented")+(Recommendations[ImplStatus]="Compensated"))*ISNUMBER(MATCH(Recommendations[Id],J108:AW108,0)))/COUNTIF(J108:AW108,"&lt;&gt;"))</f>
        <v/>
      </c>
      <c r="J108" s="131"/>
      <c r="K108" s="131"/>
      <c r="L108" s="131"/>
      <c r="M108" s="131"/>
      <c r="N108" s="131"/>
      <c r="O108" s="131"/>
      <c r="P108" s="131"/>
      <c r="Q108" s="131"/>
      <c r="R108" s="131"/>
      <c r="S108" s="131"/>
      <c r="T108" s="131"/>
      <c r="U108" s="131"/>
      <c r="V108" s="131"/>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131"/>
      <c r="AT108" s="131"/>
      <c r="AU108" s="131"/>
      <c r="AV108" s="131"/>
      <c r="AW108" s="141"/>
    </row>
    <row r="109" spans="1:49" ht="60" customHeight="1" x14ac:dyDescent="0.35">
      <c r="A109" s="139" t="s">
        <v>3618</v>
      </c>
      <c r="B109" s="125" t="s">
        <v>3620</v>
      </c>
      <c r="C109" s="126" t="s">
        <v>3621</v>
      </c>
      <c r="D109" s="128" t="s">
        <v>3622</v>
      </c>
      <c r="E109" s="128" t="s">
        <v>3623</v>
      </c>
      <c r="F109" s="128" t="s">
        <v>3624</v>
      </c>
      <c r="G109" s="128" t="s">
        <v>3625</v>
      </c>
      <c r="H109" s="128" t="s">
        <v>3626</v>
      </c>
      <c r="I109" s="130" t="str">
        <f>IF(COUNTIF(J109:AW109,"&lt;&gt;")=0,"",SUMPRODUCT(((Recommendations[ImplStatus]="Implemented")+(Recommendations[ImplStatus]="Compensated"))*ISNUMBER(MATCH(Recommendations[Id],J109:AW109,0)))/COUNTIF(J109:AW109,"&lt;&gt;"))</f>
        <v/>
      </c>
      <c r="J109" s="132"/>
      <c r="K109" s="132"/>
      <c r="L109" s="132"/>
      <c r="M109" s="132"/>
      <c r="N109" s="132"/>
      <c r="O109" s="132"/>
      <c r="P109" s="132"/>
      <c r="Q109" s="132"/>
      <c r="R109" s="132"/>
      <c r="S109" s="132"/>
      <c r="T109" s="132"/>
      <c r="U109" s="132"/>
      <c r="V109" s="132"/>
      <c r="W109" s="132"/>
      <c r="X109" s="132"/>
      <c r="Y109" s="132"/>
      <c r="Z109" s="132"/>
      <c r="AA109" s="132"/>
      <c r="AB109" s="132"/>
      <c r="AC109" s="132"/>
      <c r="AD109" s="132"/>
      <c r="AE109" s="132"/>
      <c r="AF109" s="132"/>
      <c r="AG109" s="132"/>
      <c r="AH109" s="132"/>
      <c r="AI109" s="132"/>
      <c r="AJ109" s="132"/>
      <c r="AK109" s="132"/>
      <c r="AL109" s="132"/>
      <c r="AM109" s="132"/>
      <c r="AN109" s="132"/>
      <c r="AO109" s="132"/>
      <c r="AP109" s="132"/>
      <c r="AQ109" s="132"/>
      <c r="AR109" s="132"/>
      <c r="AS109" s="132"/>
      <c r="AT109" s="132"/>
      <c r="AU109" s="132"/>
      <c r="AV109" s="132"/>
      <c r="AW109" s="142"/>
    </row>
    <row r="110" spans="1:49" ht="60" customHeight="1" x14ac:dyDescent="0.35">
      <c r="A110" s="139" t="s">
        <v>3618</v>
      </c>
      <c r="B110" s="125" t="s">
        <v>3627</v>
      </c>
      <c r="C110" s="126" t="s">
        <v>3628</v>
      </c>
      <c r="D110" s="128" t="s">
        <v>3629</v>
      </c>
      <c r="E110" s="128" t="s">
        <v>3630</v>
      </c>
      <c r="F110" s="128" t="s">
        <v>3631</v>
      </c>
      <c r="G110" s="128" t="s">
        <v>3632</v>
      </c>
      <c r="H110" s="128" t="s">
        <v>3633</v>
      </c>
      <c r="I110" s="130" t="str">
        <f>IF(COUNTIF(J110:AW110,"&lt;&gt;")=0,"",SUMPRODUCT(((Recommendations[ImplStatus]="Implemented")+(Recommendations[ImplStatus]="Compensated"))*ISNUMBER(MATCH(Recommendations[Id],J110:AW110,0)))/COUNTIF(J110:AW110,"&lt;&gt;"))</f>
        <v/>
      </c>
      <c r="J110" s="132"/>
      <c r="K110" s="132"/>
      <c r="L110" s="132"/>
      <c r="M110" s="132"/>
      <c r="N110" s="132"/>
      <c r="O110" s="132"/>
      <c r="P110" s="132"/>
      <c r="Q110" s="132"/>
      <c r="R110" s="132"/>
      <c r="S110" s="132"/>
      <c r="T110" s="132"/>
      <c r="U110" s="132"/>
      <c r="V110" s="132"/>
      <c r="W110" s="132"/>
      <c r="X110" s="132"/>
      <c r="Y110" s="132"/>
      <c r="Z110" s="132"/>
      <c r="AA110" s="132"/>
      <c r="AB110" s="132"/>
      <c r="AC110" s="132"/>
      <c r="AD110" s="132"/>
      <c r="AE110" s="132"/>
      <c r="AF110" s="132"/>
      <c r="AG110" s="132"/>
      <c r="AH110" s="132"/>
      <c r="AI110" s="132"/>
      <c r="AJ110" s="132"/>
      <c r="AK110" s="132"/>
      <c r="AL110" s="132"/>
      <c r="AM110" s="132"/>
      <c r="AN110" s="132"/>
      <c r="AO110" s="132"/>
      <c r="AP110" s="132"/>
      <c r="AQ110" s="132"/>
      <c r="AR110" s="132"/>
      <c r="AS110" s="132"/>
      <c r="AT110" s="132"/>
      <c r="AU110" s="132"/>
      <c r="AV110" s="132"/>
      <c r="AW110" s="142"/>
    </row>
    <row r="111" spans="1:49" ht="60" customHeight="1" x14ac:dyDescent="0.35">
      <c r="A111" s="139" t="s">
        <v>3618</v>
      </c>
      <c r="B111" s="125" t="s">
        <v>3634</v>
      </c>
      <c r="C111" s="126" t="s">
        <v>3635</v>
      </c>
      <c r="D111" s="128" t="s">
        <v>3636</v>
      </c>
      <c r="E111" s="128" t="s">
        <v>3637</v>
      </c>
      <c r="F111" s="128" t="s">
        <v>3638</v>
      </c>
      <c r="G111" s="128" t="s">
        <v>3639</v>
      </c>
      <c r="H111" s="128" t="s">
        <v>3640</v>
      </c>
      <c r="I111" s="130" t="str">
        <f>IF(COUNTIF(J111:AW111,"&lt;&gt;")=0,"",SUMPRODUCT(((Recommendations[ImplStatus]="Implemented")+(Recommendations[ImplStatus]="Compensated"))*ISNUMBER(MATCH(Recommendations[Id],J111:AW111,0)))/COUNTIF(J111:AW111,"&lt;&gt;"))</f>
        <v/>
      </c>
      <c r="J111" s="132"/>
      <c r="K111" s="132"/>
      <c r="L111" s="132"/>
      <c r="M111" s="132"/>
      <c r="N111" s="132"/>
      <c r="O111" s="132"/>
      <c r="P111" s="132"/>
      <c r="Q111" s="132"/>
      <c r="R111" s="132"/>
      <c r="S111" s="132"/>
      <c r="T111" s="132"/>
      <c r="U111" s="132"/>
      <c r="V111" s="132"/>
      <c r="W111" s="132"/>
      <c r="X111" s="132"/>
      <c r="Y111" s="132"/>
      <c r="Z111" s="132"/>
      <c r="AA111" s="132"/>
      <c r="AB111" s="132"/>
      <c r="AC111" s="132"/>
      <c r="AD111" s="132"/>
      <c r="AE111" s="132"/>
      <c r="AF111" s="132"/>
      <c r="AG111" s="132"/>
      <c r="AH111" s="132"/>
      <c r="AI111" s="132"/>
      <c r="AJ111" s="132"/>
      <c r="AK111" s="132"/>
      <c r="AL111" s="132"/>
      <c r="AM111" s="132"/>
      <c r="AN111" s="132"/>
      <c r="AO111" s="132"/>
      <c r="AP111" s="132"/>
      <c r="AQ111" s="132"/>
      <c r="AR111" s="132"/>
      <c r="AS111" s="132"/>
      <c r="AT111" s="132"/>
      <c r="AU111" s="132"/>
      <c r="AV111" s="132"/>
      <c r="AW111" s="142"/>
    </row>
    <row r="112" spans="1:49" ht="60" customHeight="1" outlineLevel="1" x14ac:dyDescent="0.35">
      <c r="A112" s="138" t="s">
        <v>3641</v>
      </c>
      <c r="B112" s="124"/>
      <c r="C112" s="123" t="s">
        <v>3642</v>
      </c>
      <c r="D112" s="127"/>
      <c r="E112" s="127"/>
      <c r="F112" s="127"/>
      <c r="G112" s="127"/>
      <c r="H112" s="127"/>
      <c r="I112" s="129" t="str">
        <f>IF(COUNTIF(J112:AW112,"&lt;&gt;")=0,"",SUMPRODUCT(((Recommendations[ImplStatus]="Implemented")+(Recommendations[ImplStatus]="Compensated"))*ISNUMBER(MATCH(Recommendations[Id],J112:AW112,0)))/COUNTIF(J112:AW112,"&lt;&gt;"))</f>
        <v/>
      </c>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c r="AI112" s="131"/>
      <c r="AJ112" s="131"/>
      <c r="AK112" s="131"/>
      <c r="AL112" s="131"/>
      <c r="AM112" s="131"/>
      <c r="AN112" s="131"/>
      <c r="AO112" s="131"/>
      <c r="AP112" s="131"/>
      <c r="AQ112" s="131"/>
      <c r="AR112" s="131"/>
      <c r="AS112" s="131"/>
      <c r="AT112" s="131"/>
      <c r="AU112" s="131"/>
      <c r="AV112" s="131"/>
      <c r="AW112" s="141"/>
    </row>
    <row r="113" spans="1:49" ht="60" customHeight="1" x14ac:dyDescent="0.35">
      <c r="A113" s="139" t="s">
        <v>3641</v>
      </c>
      <c r="B113" s="125" t="s">
        <v>3643</v>
      </c>
      <c r="C113" s="126" t="s">
        <v>3644</v>
      </c>
      <c r="D113" s="128" t="s">
        <v>3645</v>
      </c>
      <c r="E113" s="128" t="s">
        <v>3646</v>
      </c>
      <c r="F113" s="128" t="s">
        <v>3647</v>
      </c>
      <c r="G113" s="128" t="s">
        <v>3648</v>
      </c>
      <c r="H113" s="128" t="s">
        <v>3649</v>
      </c>
      <c r="I113" s="130" t="str">
        <f>IF(COUNTIF(J113:AW113,"&lt;&gt;")=0,"",SUMPRODUCT(((Recommendations[ImplStatus]="Implemented")+(Recommendations[ImplStatus]="Compensated"))*ISNUMBER(MATCH(Recommendations[Id],J113:AW113,0)))/COUNTIF(J113:AW113,"&lt;&gt;"))</f>
        <v/>
      </c>
      <c r="J113" s="132"/>
      <c r="K113" s="132"/>
      <c r="L113" s="132"/>
      <c r="M113" s="132"/>
      <c r="N113" s="132"/>
      <c r="O113" s="132"/>
      <c r="P113" s="132"/>
      <c r="Q113" s="132"/>
      <c r="R113" s="132"/>
      <c r="S113" s="132"/>
      <c r="T113" s="132"/>
      <c r="U113" s="132"/>
      <c r="V113" s="132"/>
      <c r="W113" s="132"/>
      <c r="X113" s="132"/>
      <c r="Y113" s="132"/>
      <c r="Z113" s="132"/>
      <c r="AA113" s="132"/>
      <c r="AB113" s="132"/>
      <c r="AC113" s="132"/>
      <c r="AD113" s="132"/>
      <c r="AE113" s="132"/>
      <c r="AF113" s="132"/>
      <c r="AG113" s="132"/>
      <c r="AH113" s="132"/>
      <c r="AI113" s="132"/>
      <c r="AJ113" s="132"/>
      <c r="AK113" s="132"/>
      <c r="AL113" s="132"/>
      <c r="AM113" s="132"/>
      <c r="AN113" s="132"/>
      <c r="AO113" s="132"/>
      <c r="AP113" s="132"/>
      <c r="AQ113" s="132"/>
      <c r="AR113" s="132"/>
      <c r="AS113" s="132"/>
      <c r="AT113" s="132"/>
      <c r="AU113" s="132"/>
      <c r="AV113" s="132"/>
      <c r="AW113" s="142"/>
    </row>
    <row r="114" spans="1:49" ht="60" customHeight="1" x14ac:dyDescent="0.35">
      <c r="A114" s="139" t="s">
        <v>3641</v>
      </c>
      <c r="B114" s="125" t="s">
        <v>3650</v>
      </c>
      <c r="C114" s="126" t="s">
        <v>3651</v>
      </c>
      <c r="D114" s="128" t="s">
        <v>3652</v>
      </c>
      <c r="E114" s="128" t="s">
        <v>3653</v>
      </c>
      <c r="F114" s="128" t="s">
        <v>3654</v>
      </c>
      <c r="G114" s="128" t="s">
        <v>3648</v>
      </c>
      <c r="H114" s="128" t="s">
        <v>3655</v>
      </c>
      <c r="I114" s="130" t="str">
        <f>IF(COUNTIF(J114:AW114,"&lt;&gt;")=0,"",SUMPRODUCT(((Recommendations[ImplStatus]="Implemented")+(Recommendations[ImplStatus]="Compensated"))*ISNUMBER(MATCH(Recommendations[Id],J114:AW114,0)))/COUNTIF(J114:AW114,"&lt;&gt;"))</f>
        <v/>
      </c>
      <c r="J114" s="132"/>
      <c r="K114" s="132"/>
      <c r="L114" s="132"/>
      <c r="M114" s="132"/>
      <c r="N114" s="132"/>
      <c r="O114" s="132"/>
      <c r="P114" s="132"/>
      <c r="Q114" s="132"/>
      <c r="R114" s="132"/>
      <c r="S114" s="132"/>
      <c r="T114" s="132"/>
      <c r="U114" s="132"/>
      <c r="V114" s="132"/>
      <c r="W114" s="132"/>
      <c r="X114" s="132"/>
      <c r="Y114" s="132"/>
      <c r="Z114" s="132"/>
      <c r="AA114" s="132"/>
      <c r="AB114" s="132"/>
      <c r="AC114" s="132"/>
      <c r="AD114" s="132"/>
      <c r="AE114" s="132"/>
      <c r="AF114" s="132"/>
      <c r="AG114" s="132"/>
      <c r="AH114" s="132"/>
      <c r="AI114" s="132"/>
      <c r="AJ114" s="132"/>
      <c r="AK114" s="132"/>
      <c r="AL114" s="132"/>
      <c r="AM114" s="132"/>
      <c r="AN114" s="132"/>
      <c r="AO114" s="132"/>
      <c r="AP114" s="132"/>
      <c r="AQ114" s="132"/>
      <c r="AR114" s="132"/>
      <c r="AS114" s="132"/>
      <c r="AT114" s="132"/>
      <c r="AU114" s="132"/>
      <c r="AV114" s="132"/>
      <c r="AW114" s="142"/>
    </row>
    <row r="115" spans="1:49" ht="60" customHeight="1" x14ac:dyDescent="0.35">
      <c r="A115" s="140" t="s">
        <v>3641</v>
      </c>
      <c r="B115" s="133" t="s">
        <v>3656</v>
      </c>
      <c r="C115" s="134" t="s">
        <v>3657</v>
      </c>
      <c r="D115" s="135" t="s">
        <v>3658</v>
      </c>
      <c r="E115" s="135" t="s">
        <v>3659</v>
      </c>
      <c r="F115" s="135" t="s">
        <v>3660</v>
      </c>
      <c r="G115" s="135" t="s">
        <v>3661</v>
      </c>
      <c r="H115" s="135" t="s">
        <v>3662</v>
      </c>
      <c r="I115" s="136" t="str">
        <f>IF(COUNTIF(J115:AW115,"&lt;&gt;")=0,"",SUMPRODUCT(((Recommendations[ImplStatus]="Implemented")+(Recommendations[ImplStatus]="Compensated"))*ISNUMBER(MATCH(Recommendations[Id],J115:AW115,0)))/COUNTIF(J115:AW115,"&lt;&gt;"))</f>
        <v/>
      </c>
      <c r="J115" s="137"/>
      <c r="K115" s="137"/>
      <c r="L115" s="137"/>
      <c r="M115" s="137"/>
      <c r="N115" s="137"/>
      <c r="O115" s="137"/>
      <c r="P115" s="137"/>
      <c r="Q115" s="137"/>
      <c r="R115" s="137"/>
      <c r="S115" s="137"/>
      <c r="T115" s="137"/>
      <c r="U115" s="137"/>
      <c r="V115" s="137"/>
      <c r="W115" s="137"/>
      <c r="X115" s="137"/>
      <c r="Y115" s="137"/>
      <c r="Z115" s="137"/>
      <c r="AA115" s="137"/>
      <c r="AB115" s="137"/>
      <c r="AC115" s="137"/>
      <c r="AD115" s="137"/>
      <c r="AE115" s="137"/>
      <c r="AF115" s="137"/>
      <c r="AG115" s="137"/>
      <c r="AH115" s="137"/>
      <c r="AI115" s="137"/>
      <c r="AJ115" s="137"/>
      <c r="AK115" s="137"/>
      <c r="AL115" s="137"/>
      <c r="AM115" s="137"/>
      <c r="AN115" s="137"/>
      <c r="AO115" s="137"/>
      <c r="AP115" s="137"/>
      <c r="AQ115" s="137"/>
      <c r="AR115" s="137"/>
      <c r="AS115" s="137"/>
      <c r="AT115" s="137"/>
      <c r="AU115" s="137"/>
      <c r="AV115" s="137"/>
      <c r="AW115" s="143"/>
    </row>
    <row r="119" spans="1:49" ht="32" customHeight="1" x14ac:dyDescent="0.35">
      <c r="A119" s="288" t="s">
        <v>1787</v>
      </c>
      <c r="B119" s="288"/>
      <c r="C119" s="288"/>
      <c r="D119" s="288"/>
      <c r="E119" s="288"/>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IFERROR(INDEX('Recommendations'!$G$2:$G$376, MATCH(J2,'Recommendations'!$A$2:$A$376,0))="Implemented", FALSE))</xm:f>
            <x14:dxf>
              <font>
                <color rgb="FF000000"/>
              </font>
              <fill>
                <patternFill>
                  <bgColor rgb="FF3C7D22"/>
                </patternFill>
              </fill>
            </x14:dxf>
          </x14:cfRule>
          <x14:cfRule type="expression" priority="2" id="{00000000-000E-0000-0600-000002000000}">
            <xm:f>AND(J2&lt;&gt;"", IFERROR(INDEX('Recommendations'!$G$2:$G$376, MATCH(J2,'Recommendations'!$A$2:$A$376,0))="Compensated", FALSE))</xm:f>
            <x14:dxf>
              <font>
                <color rgb="FF000000"/>
              </font>
              <fill>
                <patternFill>
                  <bgColor rgb="FFC6E0B4"/>
                </patternFill>
              </fill>
            </x14:dxf>
          </x14:cfRule>
          <x14:cfRule type="expression" priority="3" id="{00000000-000E-0000-0600-000003000000}">
            <xm:f>AND(J2&lt;&gt;"", IFERROR(INDEX('Recommendations'!$G$2:$G$376, MATCH(J2,'Recommendations'!$A$2:$A$376,0))="Testing", FALSE))</xm:f>
            <x14:dxf>
              <font>
                <color rgb="FF000000"/>
              </font>
              <fill>
                <patternFill>
                  <bgColor rgb="FFFFC000"/>
                </patternFill>
              </fill>
            </x14:dxf>
          </x14:cfRule>
          <x14:cfRule type="expression" priority="4" id="{00000000-000E-0000-0600-000004000000}">
            <xm:f>AND(J2&lt;&gt;"", IFERROR(INDEX('Recommendations'!$G$2:$G$376, MATCH(J2,'Recommendations'!$A$2:$A$376,0))="Failed", FALSE))</xm:f>
            <x14:dxf>
              <font>
                <color rgb="FF000000"/>
              </font>
              <fill>
                <patternFill>
                  <bgColor rgb="FFD82891"/>
                </patternFill>
              </fill>
            </x14:dxf>
          </x14:cfRule>
          <x14:cfRule type="expression" priority="5" id="{00000000-000E-0000-0600-000005000000}">
            <xm:f>AND(J2&lt;&gt;"", IFERROR(INDEX('Recommendations'!$G$2:$G$376, MATCH(J2,'Recommendations'!$A$2:$A$376,0))="Risk Accepted", FALSE))</xm:f>
            <x14:dxf>
              <font>
                <color rgb="FF000000"/>
              </font>
              <fill>
                <patternFill>
                  <bgColor rgb="FFD9D9D9"/>
                </patternFill>
              </fill>
            </x14:dxf>
          </x14:cfRule>
          <x14:cfRule type="expression" priority="6" id="{00000000-000E-0000-0600-000006000000}">
            <xm:f>AND(J2&lt;&gt;"", IFERROR(INDEX('Recommendations'!$G$2:$G$376, MATCH(J2,'Recommendations'!$A$2:$A$376,0))="N/A",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3" t="s">
        <v>3663</v>
      </c>
      <c r="B1" s="184" t="s">
        <v>3664</v>
      </c>
      <c r="C1" s="184" t="s">
        <v>0</v>
      </c>
      <c r="D1" s="184" t="s">
        <v>3665</v>
      </c>
      <c r="E1" s="184" t="s">
        <v>3666</v>
      </c>
      <c r="F1" s="184" t="s">
        <v>3667</v>
      </c>
      <c r="G1" s="184" t="s">
        <v>2032</v>
      </c>
      <c r="H1" s="184" t="s">
        <v>2033</v>
      </c>
      <c r="I1" s="184" t="s">
        <v>2034</v>
      </c>
      <c r="J1" s="184" t="s">
        <v>2035</v>
      </c>
      <c r="K1" s="184" t="s">
        <v>2036</v>
      </c>
      <c r="L1" s="184" t="s">
        <v>2037</v>
      </c>
      <c r="M1" s="184" t="s">
        <v>2038</v>
      </c>
      <c r="N1" s="184" t="s">
        <v>2039</v>
      </c>
      <c r="O1" s="184" t="s">
        <v>2040</v>
      </c>
      <c r="P1" s="184" t="s">
        <v>2041</v>
      </c>
      <c r="Q1" s="184" t="s">
        <v>2042</v>
      </c>
      <c r="R1" s="184" t="s">
        <v>2043</v>
      </c>
      <c r="S1" s="184" t="s">
        <v>2044</v>
      </c>
      <c r="T1" s="184" t="s">
        <v>2045</v>
      </c>
      <c r="U1" s="184" t="s">
        <v>2046</v>
      </c>
      <c r="V1" s="184" t="s">
        <v>2047</v>
      </c>
      <c r="W1" s="184" t="s">
        <v>2048</v>
      </c>
      <c r="X1" s="184" t="s">
        <v>2049</v>
      </c>
      <c r="Y1" s="184" t="s">
        <v>2050</v>
      </c>
      <c r="Z1" s="184" t="s">
        <v>2051</v>
      </c>
      <c r="AA1" s="184" t="s">
        <v>2052</v>
      </c>
      <c r="AB1" s="184" t="s">
        <v>2053</v>
      </c>
      <c r="AC1" s="184" t="s">
        <v>2054</v>
      </c>
      <c r="AD1" s="184" t="s">
        <v>2055</v>
      </c>
      <c r="AE1" s="184" t="s">
        <v>2056</v>
      </c>
      <c r="AF1" s="184" t="s">
        <v>2057</v>
      </c>
      <c r="AG1" s="184" t="s">
        <v>2058</v>
      </c>
      <c r="AH1" s="184" t="s">
        <v>2059</v>
      </c>
      <c r="AI1" s="184" t="s">
        <v>2060</v>
      </c>
      <c r="AJ1" s="184" t="s">
        <v>2061</v>
      </c>
      <c r="AK1" s="184" t="s">
        <v>2062</v>
      </c>
      <c r="AL1" s="184" t="s">
        <v>2063</v>
      </c>
      <c r="AM1" s="184" t="s">
        <v>2064</v>
      </c>
      <c r="AN1" s="184" t="s">
        <v>2065</v>
      </c>
      <c r="AO1" s="184" t="s">
        <v>2066</v>
      </c>
      <c r="AP1" s="184" t="s">
        <v>2067</v>
      </c>
      <c r="AQ1" s="184" t="s">
        <v>2068</v>
      </c>
      <c r="AR1" s="184" t="s">
        <v>2069</v>
      </c>
      <c r="AS1" s="184" t="s">
        <v>2070</v>
      </c>
      <c r="AT1" s="184" t="s">
        <v>2071</v>
      </c>
      <c r="AU1" s="185" t="s">
        <v>2072</v>
      </c>
    </row>
    <row r="2" spans="1:47" ht="60" customHeight="1" outlineLevel="1" x14ac:dyDescent="0.35">
      <c r="A2" s="175" t="s">
        <v>3668</v>
      </c>
      <c r="B2" s="149" t="s">
        <v>19</v>
      </c>
      <c r="C2" s="147" t="s">
        <v>3669</v>
      </c>
      <c r="D2" s="153" t="s">
        <v>3670</v>
      </c>
      <c r="E2" s="156" t="s">
        <v>19</v>
      </c>
      <c r="F2" s="159" t="s">
        <v>19</v>
      </c>
      <c r="G2" s="162" t="str">
        <f>IF(COUNTIF(H2:AU2,"&lt;&gt;")=0,"",SUMPRODUCT(((Recommendations[ImplStatus]="Implemented")+(Recommendations[ImplStatus]="Compensated"))*ISNUMBER(MATCH(Recommendations[Id],H2:AU2,0)))/COUNTIF(H2:AU2,"&lt;&gt;"))</f>
        <v/>
      </c>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79"/>
    </row>
    <row r="3" spans="1:47" ht="60" customHeight="1" outlineLevel="1" x14ac:dyDescent="0.35">
      <c r="A3" s="176" t="s">
        <v>3668</v>
      </c>
      <c r="B3" s="150" t="s">
        <v>3671</v>
      </c>
      <c r="C3" s="148" t="s">
        <v>3672</v>
      </c>
      <c r="D3" s="154" t="s">
        <v>3673</v>
      </c>
      <c r="E3" s="157" t="s">
        <v>19</v>
      </c>
      <c r="F3" s="160" t="s">
        <v>19</v>
      </c>
      <c r="G3" s="163" t="str">
        <f>IF(COUNTIF(H3:AU3,"&lt;&gt;")=0,"",SUMPRODUCT(((Recommendations[ImplStatus]="Implemented")+(Recommendations[ImplStatus]="Compensated"))*ISNUMBER(MATCH(Recommendations[Id],H3:AU3,0)))/COUNTIF(H3:AU3,"&lt;&gt;"))</f>
        <v/>
      </c>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80"/>
    </row>
    <row r="4" spans="1:47" ht="60" customHeight="1" x14ac:dyDescent="0.35">
      <c r="A4" s="177" t="s">
        <v>3668</v>
      </c>
      <c r="B4" s="151" t="s">
        <v>3671</v>
      </c>
      <c r="C4" s="152" t="s">
        <v>3674</v>
      </c>
      <c r="D4" s="155" t="s">
        <v>3675</v>
      </c>
      <c r="E4" s="158" t="s">
        <v>3676</v>
      </c>
      <c r="F4" s="161" t="s">
        <v>3677</v>
      </c>
      <c r="G4" s="164" t="str">
        <f>IF(COUNTIF(H4:AU4,"&lt;&gt;")=0,"",SUMPRODUCT(((Recommendations[ImplStatus]="Implemented")+(Recommendations[ImplStatus]="Compensated"))*ISNUMBER(MATCH(Recommendations[Id],H4:AU4,0)))/COUNTIF(H4:AU4,"&lt;&gt;"))</f>
        <v/>
      </c>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81"/>
    </row>
    <row r="5" spans="1:47" ht="60" customHeight="1" x14ac:dyDescent="0.35">
      <c r="A5" s="177" t="s">
        <v>3668</v>
      </c>
      <c r="B5" s="151" t="s">
        <v>3671</v>
      </c>
      <c r="C5" s="152" t="s">
        <v>3678</v>
      </c>
      <c r="D5" s="155" t="s">
        <v>3679</v>
      </c>
      <c r="E5" s="158" t="s">
        <v>3680</v>
      </c>
      <c r="F5" s="161" t="s">
        <v>3681</v>
      </c>
      <c r="G5" s="164" t="str">
        <f>IF(COUNTIF(H5:AU5,"&lt;&gt;")=0,"",SUMPRODUCT(((Recommendations[ImplStatus]="Implemented")+(Recommendations[ImplStatus]="Compensated"))*ISNUMBER(MATCH(Recommendations[Id],H5:AU5,0)))/COUNTIF(H5:AU5,"&lt;&gt;"))</f>
        <v/>
      </c>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81"/>
    </row>
    <row r="6" spans="1:47" ht="60" customHeight="1" x14ac:dyDescent="0.35">
      <c r="A6" s="177" t="s">
        <v>3668</v>
      </c>
      <c r="B6" s="151" t="s">
        <v>3671</v>
      </c>
      <c r="C6" s="152" t="s">
        <v>3682</v>
      </c>
      <c r="D6" s="155" t="s">
        <v>3683</v>
      </c>
      <c r="E6" s="158" t="s">
        <v>3684</v>
      </c>
      <c r="F6" s="161" t="s">
        <v>3681</v>
      </c>
      <c r="G6" s="164" t="str">
        <f>IF(COUNTIF(H6:AU6,"&lt;&gt;")=0,"",SUMPRODUCT(((Recommendations[ImplStatus]="Implemented")+(Recommendations[ImplStatus]="Compensated"))*ISNUMBER(MATCH(Recommendations[Id],H6:AU6,0)))/COUNTIF(H6:AU6,"&lt;&gt;"))</f>
        <v/>
      </c>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67"/>
      <c r="AK6" s="167"/>
      <c r="AL6" s="167"/>
      <c r="AM6" s="167"/>
      <c r="AN6" s="167"/>
      <c r="AO6" s="167"/>
      <c r="AP6" s="167"/>
      <c r="AQ6" s="167"/>
      <c r="AR6" s="167"/>
      <c r="AS6" s="167"/>
      <c r="AT6" s="167"/>
      <c r="AU6" s="181"/>
    </row>
    <row r="7" spans="1:47" ht="60" customHeight="1" x14ac:dyDescent="0.35">
      <c r="A7" s="177" t="s">
        <v>3668</v>
      </c>
      <c r="B7" s="151" t="s">
        <v>3671</v>
      </c>
      <c r="C7" s="152" t="s">
        <v>3685</v>
      </c>
      <c r="D7" s="155" t="s">
        <v>3686</v>
      </c>
      <c r="E7" s="158" t="s">
        <v>3687</v>
      </c>
      <c r="F7" s="161" t="s">
        <v>3681</v>
      </c>
      <c r="G7" s="164" t="str">
        <f>IF(COUNTIF(H7:AU7,"&lt;&gt;")=0,"",SUMPRODUCT(((Recommendations[ImplStatus]="Implemented")+(Recommendations[ImplStatus]="Compensated"))*ISNUMBER(MATCH(Recommendations[Id],H7:AU7,0)))/COUNTIF(H7:AU7,"&lt;&gt;"))</f>
        <v/>
      </c>
      <c r="H7" s="167"/>
      <c r="I7" s="167"/>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c r="AI7" s="167"/>
      <c r="AJ7" s="167"/>
      <c r="AK7" s="167"/>
      <c r="AL7" s="167"/>
      <c r="AM7" s="167"/>
      <c r="AN7" s="167"/>
      <c r="AO7" s="167"/>
      <c r="AP7" s="167"/>
      <c r="AQ7" s="167"/>
      <c r="AR7" s="167"/>
      <c r="AS7" s="167"/>
      <c r="AT7" s="167"/>
      <c r="AU7" s="181"/>
    </row>
    <row r="8" spans="1:47" ht="60" customHeight="1" x14ac:dyDescent="0.35">
      <c r="A8" s="177" t="s">
        <v>3668</v>
      </c>
      <c r="B8" s="151" t="s">
        <v>3671</v>
      </c>
      <c r="C8" s="152" t="s">
        <v>3688</v>
      </c>
      <c r="D8" s="155" t="s">
        <v>3689</v>
      </c>
      <c r="E8" s="158" t="s">
        <v>3690</v>
      </c>
      <c r="F8" s="161" t="s">
        <v>3691</v>
      </c>
      <c r="G8" s="164" t="str">
        <f>IF(COUNTIF(H8:AU8,"&lt;&gt;")=0,"",SUMPRODUCT(((Recommendations[ImplStatus]="Implemented")+(Recommendations[ImplStatus]="Compensated"))*ISNUMBER(MATCH(Recommendations[Id],H8:AU8,0)))/COUNTIF(H8:AU8,"&lt;&gt;"))</f>
        <v/>
      </c>
      <c r="H8" s="167"/>
      <c r="I8" s="167"/>
      <c r="J8" s="167"/>
      <c r="K8" s="167"/>
      <c r="L8" s="167"/>
      <c r="M8" s="167"/>
      <c r="N8" s="167"/>
      <c r="O8" s="167"/>
      <c r="P8" s="167"/>
      <c r="Q8" s="167"/>
      <c r="R8" s="167"/>
      <c r="S8" s="167"/>
      <c r="T8" s="167"/>
      <c r="U8" s="167"/>
      <c r="V8" s="167"/>
      <c r="W8" s="167"/>
      <c r="X8" s="167"/>
      <c r="Y8" s="167"/>
      <c r="Z8" s="167"/>
      <c r="AA8" s="167"/>
      <c r="AB8" s="167"/>
      <c r="AC8" s="167"/>
      <c r="AD8" s="167"/>
      <c r="AE8" s="167"/>
      <c r="AF8" s="167"/>
      <c r="AG8" s="167"/>
      <c r="AH8" s="167"/>
      <c r="AI8" s="167"/>
      <c r="AJ8" s="167"/>
      <c r="AK8" s="167"/>
      <c r="AL8" s="167"/>
      <c r="AM8" s="167"/>
      <c r="AN8" s="167"/>
      <c r="AO8" s="167"/>
      <c r="AP8" s="167"/>
      <c r="AQ8" s="167"/>
      <c r="AR8" s="167"/>
      <c r="AS8" s="167"/>
      <c r="AT8" s="167"/>
      <c r="AU8" s="181"/>
    </row>
    <row r="9" spans="1:47" ht="60" customHeight="1" outlineLevel="1" x14ac:dyDescent="0.35">
      <c r="A9" s="176" t="s">
        <v>3668</v>
      </c>
      <c r="B9" s="150" t="s">
        <v>3692</v>
      </c>
      <c r="C9" s="148" t="s">
        <v>3693</v>
      </c>
      <c r="D9" s="154" t="s">
        <v>3694</v>
      </c>
      <c r="E9" s="157" t="s">
        <v>19</v>
      </c>
      <c r="F9" s="160" t="s">
        <v>19</v>
      </c>
      <c r="G9" s="163" t="str">
        <f>IF(COUNTIF(H9:AU9,"&lt;&gt;")=0,"",SUMPRODUCT(((Recommendations[ImplStatus]="Implemented")+(Recommendations[ImplStatus]="Compensated"))*ISNUMBER(MATCH(Recommendations[Id],H9:AU9,0)))/COUNTIF(H9:AU9,"&lt;&gt;"))</f>
        <v/>
      </c>
      <c r="H9" s="166"/>
      <c r="I9" s="166"/>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80"/>
    </row>
    <row r="10" spans="1:47" ht="60" customHeight="1" x14ac:dyDescent="0.35">
      <c r="A10" s="177" t="s">
        <v>3668</v>
      </c>
      <c r="B10" s="151" t="s">
        <v>3692</v>
      </c>
      <c r="C10" s="152" t="s">
        <v>3695</v>
      </c>
      <c r="D10" s="155" t="s">
        <v>3696</v>
      </c>
      <c r="E10" s="158" t="s">
        <v>3697</v>
      </c>
      <c r="F10" s="161" t="s">
        <v>3677</v>
      </c>
      <c r="G10" s="164" t="str">
        <f>IF(COUNTIF(H10:AU10,"&lt;&gt;")=0,"",SUMPRODUCT(((Recommendations[ImplStatus]="Implemented")+(Recommendations[ImplStatus]="Compensated"))*ISNUMBER(MATCH(Recommendations[Id],H10:AU10,0)))/COUNTIF(H10:AU10,"&lt;&gt;"))</f>
        <v/>
      </c>
      <c r="H10" s="167"/>
      <c r="I10" s="167"/>
      <c r="J10" s="167"/>
      <c r="K10" s="167"/>
      <c r="L10" s="167"/>
      <c r="M10" s="167"/>
      <c r="N10" s="167"/>
      <c r="O10" s="167"/>
      <c r="P10" s="167"/>
      <c r="Q10" s="167"/>
      <c r="R10" s="167"/>
      <c r="S10" s="167"/>
      <c r="T10" s="167"/>
      <c r="U10" s="167"/>
      <c r="V10" s="167"/>
      <c r="W10" s="167"/>
      <c r="X10" s="167"/>
      <c r="Y10" s="167"/>
      <c r="Z10" s="167"/>
      <c r="AA10" s="167"/>
      <c r="AB10" s="167"/>
      <c r="AC10" s="167"/>
      <c r="AD10" s="167"/>
      <c r="AE10" s="167"/>
      <c r="AF10" s="167"/>
      <c r="AG10" s="167"/>
      <c r="AH10" s="167"/>
      <c r="AI10" s="167"/>
      <c r="AJ10" s="167"/>
      <c r="AK10" s="167"/>
      <c r="AL10" s="167"/>
      <c r="AM10" s="167"/>
      <c r="AN10" s="167"/>
      <c r="AO10" s="167"/>
      <c r="AP10" s="167"/>
      <c r="AQ10" s="167"/>
      <c r="AR10" s="167"/>
      <c r="AS10" s="167"/>
      <c r="AT10" s="167"/>
      <c r="AU10" s="181"/>
    </row>
    <row r="11" spans="1:47" ht="60" customHeight="1" x14ac:dyDescent="0.35">
      <c r="A11" s="177" t="s">
        <v>3668</v>
      </c>
      <c r="B11" s="151" t="s">
        <v>3692</v>
      </c>
      <c r="C11" s="152" t="s">
        <v>3698</v>
      </c>
      <c r="D11" s="155" t="s">
        <v>3699</v>
      </c>
      <c r="E11" s="158" t="s">
        <v>3700</v>
      </c>
      <c r="F11" s="161" t="s">
        <v>3677</v>
      </c>
      <c r="G11" s="164" t="str">
        <f>IF(COUNTIF(H11:AU11,"&lt;&gt;")=0,"",SUMPRODUCT(((Recommendations[ImplStatus]="Implemented")+(Recommendations[ImplStatus]="Compensated"))*ISNUMBER(MATCH(Recommendations[Id],H11:AU11,0)))/COUNTIF(H11:AU11,"&lt;&gt;"))</f>
        <v/>
      </c>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7"/>
      <c r="AP11" s="167"/>
      <c r="AQ11" s="167"/>
      <c r="AR11" s="167"/>
      <c r="AS11" s="167"/>
      <c r="AT11" s="167"/>
      <c r="AU11" s="181"/>
    </row>
    <row r="12" spans="1:47" ht="60" customHeight="1" x14ac:dyDescent="0.35">
      <c r="A12" s="177" t="s">
        <v>3668</v>
      </c>
      <c r="B12" s="151" t="s">
        <v>3692</v>
      </c>
      <c r="C12" s="152" t="s">
        <v>3701</v>
      </c>
      <c r="D12" s="155" t="s">
        <v>3702</v>
      </c>
      <c r="E12" s="158" t="s">
        <v>3703</v>
      </c>
      <c r="F12" s="161" t="s">
        <v>3677</v>
      </c>
      <c r="G12" s="164" t="str">
        <f>IF(COUNTIF(H12:AU12,"&lt;&gt;")=0,"",SUMPRODUCT(((Recommendations[ImplStatus]="Implemented")+(Recommendations[ImplStatus]="Compensated"))*ISNUMBER(MATCH(Recommendations[Id],H12:AU12,0)))/COUNTIF(H12:AU12,"&lt;&gt;"))</f>
        <v/>
      </c>
      <c r="H12" s="167"/>
      <c r="I12" s="167"/>
      <c r="J12" s="167"/>
      <c r="K12" s="167"/>
      <c r="L12" s="167"/>
      <c r="M12" s="167"/>
      <c r="N12" s="167"/>
      <c r="O12" s="167"/>
      <c r="P12" s="167"/>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7"/>
      <c r="AN12" s="167"/>
      <c r="AO12" s="167"/>
      <c r="AP12" s="167"/>
      <c r="AQ12" s="167"/>
      <c r="AR12" s="167"/>
      <c r="AS12" s="167"/>
      <c r="AT12" s="167"/>
      <c r="AU12" s="181"/>
    </row>
    <row r="13" spans="1:47" ht="60" customHeight="1" outlineLevel="1" x14ac:dyDescent="0.35">
      <c r="A13" s="176" t="s">
        <v>3668</v>
      </c>
      <c r="B13" s="150" t="s">
        <v>3704</v>
      </c>
      <c r="C13" s="148" t="s">
        <v>3705</v>
      </c>
      <c r="D13" s="154" t="s">
        <v>3706</v>
      </c>
      <c r="E13" s="157" t="s">
        <v>19</v>
      </c>
      <c r="F13" s="160" t="s">
        <v>19</v>
      </c>
      <c r="G13" s="163" t="str">
        <f>IF(COUNTIF(H13:AU13,"&lt;&gt;")=0,"",SUMPRODUCT(((Recommendations[ImplStatus]="Implemented")+(Recommendations[ImplStatus]="Compensated"))*ISNUMBER(MATCH(Recommendations[Id],H13:AU13,0)))/COUNTIF(H13:AU13,"&lt;&gt;"))</f>
        <v/>
      </c>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80"/>
    </row>
    <row r="14" spans="1:47" ht="60" customHeight="1" x14ac:dyDescent="0.35">
      <c r="A14" s="177" t="s">
        <v>3668</v>
      </c>
      <c r="B14" s="151" t="s">
        <v>3704</v>
      </c>
      <c r="C14" s="152" t="s">
        <v>3707</v>
      </c>
      <c r="D14" s="155" t="s">
        <v>3708</v>
      </c>
      <c r="E14" s="158" t="s">
        <v>3709</v>
      </c>
      <c r="F14" s="161" t="s">
        <v>3677</v>
      </c>
      <c r="G14" s="164" t="str">
        <f>IF(COUNTIF(H14:AU14,"&lt;&gt;")=0,"",SUMPRODUCT(((Recommendations[ImplStatus]="Implemented")+(Recommendations[ImplStatus]="Compensated"))*ISNUMBER(MATCH(Recommendations[Id],H14:AU14,0)))/COUNTIF(H14:AU14,"&lt;&gt;"))</f>
        <v/>
      </c>
      <c r="H14" s="167"/>
      <c r="I14" s="167"/>
      <c r="J14" s="167"/>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7"/>
      <c r="AN14" s="167"/>
      <c r="AO14" s="167"/>
      <c r="AP14" s="167"/>
      <c r="AQ14" s="167"/>
      <c r="AR14" s="167"/>
      <c r="AS14" s="167"/>
      <c r="AT14" s="167"/>
      <c r="AU14" s="181"/>
    </row>
    <row r="15" spans="1:47" ht="60" customHeight="1" x14ac:dyDescent="0.35">
      <c r="A15" s="177" t="s">
        <v>3668</v>
      </c>
      <c r="B15" s="151" t="s">
        <v>3704</v>
      </c>
      <c r="C15" s="152" t="s">
        <v>3710</v>
      </c>
      <c r="D15" s="155" t="s">
        <v>3711</v>
      </c>
      <c r="E15" s="158" t="s">
        <v>3712</v>
      </c>
      <c r="F15" s="161" t="s">
        <v>3677</v>
      </c>
      <c r="G15" s="164" t="str">
        <f>IF(COUNTIF(H15:AU15,"&lt;&gt;")=0,"",SUMPRODUCT(((Recommendations[ImplStatus]="Implemented")+(Recommendations[ImplStatus]="Compensated"))*ISNUMBER(MATCH(Recommendations[Id],H15:AU15,0)))/COUNTIF(H15:AU15,"&lt;&gt;"))</f>
        <v/>
      </c>
      <c r="H15" s="167"/>
      <c r="I15" s="167"/>
      <c r="J15" s="167"/>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81"/>
    </row>
    <row r="16" spans="1:47" ht="60" customHeight="1" outlineLevel="1" x14ac:dyDescent="0.35">
      <c r="A16" s="176" t="s">
        <v>3668</v>
      </c>
      <c r="B16" s="150" t="s">
        <v>3713</v>
      </c>
      <c r="C16" s="148" t="s">
        <v>3714</v>
      </c>
      <c r="D16" s="154" t="s">
        <v>3715</v>
      </c>
      <c r="E16" s="157" t="s">
        <v>19</v>
      </c>
      <c r="F16" s="160" t="s">
        <v>19</v>
      </c>
      <c r="G16" s="163" t="str">
        <f>IF(COUNTIF(H16:AU16,"&lt;&gt;")=0,"",SUMPRODUCT(((Recommendations[ImplStatus]="Implemented")+(Recommendations[ImplStatus]="Compensated"))*ISNUMBER(MATCH(Recommendations[Id],H16:AU16,0)))/COUNTIF(H16:AU16,"&lt;&gt;"))</f>
        <v/>
      </c>
      <c r="H16" s="166"/>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66"/>
      <c r="AS16" s="166"/>
      <c r="AT16" s="166"/>
      <c r="AU16" s="180"/>
    </row>
    <row r="17" spans="1:47" ht="60" customHeight="1" x14ac:dyDescent="0.35">
      <c r="A17" s="177" t="s">
        <v>3668</v>
      </c>
      <c r="B17" s="151" t="s">
        <v>3713</v>
      </c>
      <c r="C17" s="152" t="s">
        <v>3716</v>
      </c>
      <c r="D17" s="155" t="s">
        <v>3717</v>
      </c>
      <c r="E17" s="158" t="s">
        <v>3718</v>
      </c>
      <c r="F17" s="161" t="s">
        <v>3677</v>
      </c>
      <c r="G17" s="164" t="str">
        <f>IF(COUNTIF(H17:AU17,"&lt;&gt;")=0,"",SUMPRODUCT(((Recommendations[ImplStatus]="Implemented")+(Recommendations[ImplStatus]="Compensated"))*ISNUMBER(MATCH(Recommendations[Id],H17:AU17,0)))/COUNTIF(H17:AU17,"&lt;&gt;"))</f>
        <v/>
      </c>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c r="AO17" s="167"/>
      <c r="AP17" s="167"/>
      <c r="AQ17" s="167"/>
      <c r="AR17" s="167"/>
      <c r="AS17" s="167"/>
      <c r="AT17" s="167"/>
      <c r="AU17" s="181"/>
    </row>
    <row r="18" spans="1:47" ht="60" customHeight="1" x14ac:dyDescent="0.35">
      <c r="A18" s="177" t="s">
        <v>3668</v>
      </c>
      <c r="B18" s="151" t="s">
        <v>3713</v>
      </c>
      <c r="C18" s="152" t="s">
        <v>3719</v>
      </c>
      <c r="D18" s="155" t="s">
        <v>3720</v>
      </c>
      <c r="E18" s="158" t="s">
        <v>3721</v>
      </c>
      <c r="F18" s="161" t="s">
        <v>3681</v>
      </c>
      <c r="G18" s="164" t="str">
        <f>IF(COUNTIF(H18:AU18,"&lt;&gt;")=0,"",SUMPRODUCT(((Recommendations[ImplStatus]="Implemented")+(Recommendations[ImplStatus]="Compensated"))*ISNUMBER(MATCH(Recommendations[Id],H18:AU18,0)))/COUNTIF(H18:AU18,"&lt;&gt;"))</f>
        <v/>
      </c>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67"/>
      <c r="AL18" s="167"/>
      <c r="AM18" s="167"/>
      <c r="AN18" s="167"/>
      <c r="AO18" s="167"/>
      <c r="AP18" s="167"/>
      <c r="AQ18" s="167"/>
      <c r="AR18" s="167"/>
      <c r="AS18" s="167"/>
      <c r="AT18" s="167"/>
      <c r="AU18" s="181"/>
    </row>
    <row r="19" spans="1:47" ht="60" customHeight="1" x14ac:dyDescent="0.35">
      <c r="A19" s="177" t="s">
        <v>3668</v>
      </c>
      <c r="B19" s="151" t="s">
        <v>3713</v>
      </c>
      <c r="C19" s="152" t="s">
        <v>3722</v>
      </c>
      <c r="D19" s="155" t="s">
        <v>3723</v>
      </c>
      <c r="E19" s="158" t="s">
        <v>3724</v>
      </c>
      <c r="F19" s="161" t="s">
        <v>3677</v>
      </c>
      <c r="G19" s="164" t="str">
        <f>IF(COUNTIF(H19:AU19,"&lt;&gt;")=0,"",SUMPRODUCT(((Recommendations[ImplStatus]="Implemented")+(Recommendations[ImplStatus]="Compensated"))*ISNUMBER(MATCH(Recommendations[Id],H19:AU19,0)))/COUNTIF(H19:AU19,"&lt;&gt;"))</f>
        <v/>
      </c>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81"/>
    </row>
    <row r="20" spans="1:47" ht="60" customHeight="1" x14ac:dyDescent="0.35">
      <c r="A20" s="177" t="s">
        <v>3668</v>
      </c>
      <c r="B20" s="151" t="s">
        <v>3713</v>
      </c>
      <c r="C20" s="152" t="s">
        <v>3725</v>
      </c>
      <c r="D20" s="155" t="s">
        <v>3726</v>
      </c>
      <c r="E20" s="158" t="s">
        <v>3727</v>
      </c>
      <c r="F20" s="161" t="s">
        <v>3677</v>
      </c>
      <c r="G20" s="164" t="str">
        <f>IF(COUNTIF(H20:AU20,"&lt;&gt;")=0,"",SUMPRODUCT(((Recommendations[ImplStatus]="Implemented")+(Recommendations[ImplStatus]="Compensated"))*ISNUMBER(MATCH(Recommendations[Id],H20:AU20,0)))/COUNTIF(H20:AU20,"&lt;&gt;"))</f>
        <v/>
      </c>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7"/>
      <c r="AF20" s="167"/>
      <c r="AG20" s="167"/>
      <c r="AH20" s="167"/>
      <c r="AI20" s="167"/>
      <c r="AJ20" s="167"/>
      <c r="AK20" s="167"/>
      <c r="AL20" s="167"/>
      <c r="AM20" s="167"/>
      <c r="AN20" s="167"/>
      <c r="AO20" s="167"/>
      <c r="AP20" s="167"/>
      <c r="AQ20" s="167"/>
      <c r="AR20" s="167"/>
      <c r="AS20" s="167"/>
      <c r="AT20" s="167"/>
      <c r="AU20" s="181"/>
    </row>
    <row r="21" spans="1:47" ht="60" customHeight="1" x14ac:dyDescent="0.35">
      <c r="A21" s="177" t="s">
        <v>3668</v>
      </c>
      <c r="B21" s="151" t="s">
        <v>3713</v>
      </c>
      <c r="C21" s="152" t="s">
        <v>3728</v>
      </c>
      <c r="D21" s="155" t="s">
        <v>3729</v>
      </c>
      <c r="E21" s="158" t="s">
        <v>3730</v>
      </c>
      <c r="F21" s="161" t="s">
        <v>3681</v>
      </c>
      <c r="G21" s="164" t="str">
        <f>IF(COUNTIF(H21:AU21,"&lt;&gt;")=0,"",SUMPRODUCT(((Recommendations[ImplStatus]="Implemented")+(Recommendations[ImplStatus]="Compensated"))*ISNUMBER(MATCH(Recommendations[Id],H21:AU21,0)))/COUNTIF(H21:AU21,"&lt;&gt;"))</f>
        <v/>
      </c>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7"/>
      <c r="AF21" s="167"/>
      <c r="AG21" s="167"/>
      <c r="AH21" s="167"/>
      <c r="AI21" s="167"/>
      <c r="AJ21" s="167"/>
      <c r="AK21" s="167"/>
      <c r="AL21" s="167"/>
      <c r="AM21" s="167"/>
      <c r="AN21" s="167"/>
      <c r="AO21" s="167"/>
      <c r="AP21" s="167"/>
      <c r="AQ21" s="167"/>
      <c r="AR21" s="167"/>
      <c r="AS21" s="167"/>
      <c r="AT21" s="167"/>
      <c r="AU21" s="181"/>
    </row>
    <row r="22" spans="1:47" ht="60" customHeight="1" x14ac:dyDescent="0.35">
      <c r="A22" s="177" t="s">
        <v>3668</v>
      </c>
      <c r="B22" s="151" t="s">
        <v>3713</v>
      </c>
      <c r="C22" s="152" t="s">
        <v>3731</v>
      </c>
      <c r="D22" s="155" t="s">
        <v>3732</v>
      </c>
      <c r="E22" s="158" t="s">
        <v>3733</v>
      </c>
      <c r="F22" s="161" t="s">
        <v>3677</v>
      </c>
      <c r="G22" s="164" t="str">
        <f>IF(COUNTIF(H22:AU22,"&lt;&gt;")=0,"",SUMPRODUCT(((Recommendations[ImplStatus]="Implemented")+(Recommendations[ImplStatus]="Compensated"))*ISNUMBER(MATCH(Recommendations[Id],H22:AU22,0)))/COUNTIF(H22:AU22,"&lt;&gt;"))</f>
        <v/>
      </c>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c r="AM22" s="167"/>
      <c r="AN22" s="167"/>
      <c r="AO22" s="167"/>
      <c r="AP22" s="167"/>
      <c r="AQ22" s="167"/>
      <c r="AR22" s="167"/>
      <c r="AS22" s="167"/>
      <c r="AT22" s="167"/>
      <c r="AU22" s="181"/>
    </row>
    <row r="23" spans="1:47" ht="60" customHeight="1" x14ac:dyDescent="0.35">
      <c r="A23" s="177" t="s">
        <v>3668</v>
      </c>
      <c r="B23" s="151" t="s">
        <v>3713</v>
      </c>
      <c r="C23" s="152" t="s">
        <v>3734</v>
      </c>
      <c r="D23" s="155" t="s">
        <v>3735</v>
      </c>
      <c r="E23" s="158" t="s">
        <v>3736</v>
      </c>
      <c r="F23" s="161" t="s">
        <v>3677</v>
      </c>
      <c r="G23" s="164" t="str">
        <f>IF(COUNTIF(H23:AU23,"&lt;&gt;")=0,"",SUMPRODUCT(((Recommendations[ImplStatus]="Implemented")+(Recommendations[ImplStatus]="Compensated"))*ISNUMBER(MATCH(Recommendations[Id],H23:AU23,0)))/COUNTIF(H23:AU23,"&lt;&gt;"))</f>
        <v/>
      </c>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c r="AM23" s="167"/>
      <c r="AN23" s="167"/>
      <c r="AO23" s="167"/>
      <c r="AP23" s="167"/>
      <c r="AQ23" s="167"/>
      <c r="AR23" s="167"/>
      <c r="AS23" s="167"/>
      <c r="AT23" s="167"/>
      <c r="AU23" s="181"/>
    </row>
    <row r="24" spans="1:47" ht="60" customHeight="1" outlineLevel="1" x14ac:dyDescent="0.35">
      <c r="A24" s="176" t="s">
        <v>3668</v>
      </c>
      <c r="B24" s="150" t="s">
        <v>3737</v>
      </c>
      <c r="C24" s="148" t="s">
        <v>3738</v>
      </c>
      <c r="D24" s="154" t="s">
        <v>3739</v>
      </c>
      <c r="E24" s="157" t="s">
        <v>19</v>
      </c>
      <c r="F24" s="160" t="s">
        <v>19</v>
      </c>
      <c r="G24" s="163" t="str">
        <f>IF(COUNTIF(H24:AU24,"&lt;&gt;")=0,"",SUMPRODUCT(((Recommendations[ImplStatus]="Implemented")+(Recommendations[ImplStatus]="Compensated"))*ISNUMBER(MATCH(Recommendations[Id],H24:AU24,0)))/COUNTIF(H24:AU24,"&lt;&gt;"))</f>
        <v/>
      </c>
      <c r="H24" s="166"/>
      <c r="I24" s="166"/>
      <c r="J24" s="166"/>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80"/>
    </row>
    <row r="25" spans="1:47" ht="60" customHeight="1" x14ac:dyDescent="0.35">
      <c r="A25" s="177" t="s">
        <v>3668</v>
      </c>
      <c r="B25" s="151" t="s">
        <v>3737</v>
      </c>
      <c r="C25" s="152" t="s">
        <v>3740</v>
      </c>
      <c r="D25" s="155" t="s">
        <v>3741</v>
      </c>
      <c r="E25" s="158" t="s">
        <v>3742</v>
      </c>
      <c r="F25" s="161" t="s">
        <v>3677</v>
      </c>
      <c r="G25" s="164" t="str">
        <f>IF(COUNTIF(H25:AU25,"&lt;&gt;")=0,"",SUMPRODUCT(((Recommendations[ImplStatus]="Implemented")+(Recommendations[ImplStatus]="Compensated"))*ISNUMBER(MATCH(Recommendations[Id],H25:AU25,0)))/COUNTIF(H25:AU25,"&lt;&gt;"))</f>
        <v/>
      </c>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167"/>
      <c r="AM25" s="167"/>
      <c r="AN25" s="167"/>
      <c r="AO25" s="167"/>
      <c r="AP25" s="167"/>
      <c r="AQ25" s="167"/>
      <c r="AR25" s="167"/>
      <c r="AS25" s="167"/>
      <c r="AT25" s="167"/>
      <c r="AU25" s="181"/>
    </row>
    <row r="26" spans="1:47" ht="60" customHeight="1" x14ac:dyDescent="0.35">
      <c r="A26" s="177" t="s">
        <v>3668</v>
      </c>
      <c r="B26" s="151" t="s">
        <v>3737</v>
      </c>
      <c r="C26" s="152" t="s">
        <v>3743</v>
      </c>
      <c r="D26" s="155" t="s">
        <v>3744</v>
      </c>
      <c r="E26" s="158" t="s">
        <v>3745</v>
      </c>
      <c r="F26" s="161" t="s">
        <v>3677</v>
      </c>
      <c r="G26" s="164" t="str">
        <f>IF(COUNTIF(H26:AU26,"&lt;&gt;")=0,"",SUMPRODUCT(((Recommendations[ImplStatus]="Implemented")+(Recommendations[ImplStatus]="Compensated"))*ISNUMBER(MATCH(Recommendations[Id],H26:AU26,0)))/COUNTIF(H26:AU26,"&lt;&gt;"))</f>
        <v/>
      </c>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81"/>
    </row>
    <row r="27" spans="1:47" ht="60" customHeight="1" x14ac:dyDescent="0.35">
      <c r="A27" s="177" t="s">
        <v>3668</v>
      </c>
      <c r="B27" s="151" t="s">
        <v>3737</v>
      </c>
      <c r="C27" s="152" t="s">
        <v>3746</v>
      </c>
      <c r="D27" s="155" t="s">
        <v>3747</v>
      </c>
      <c r="E27" s="158" t="s">
        <v>3748</v>
      </c>
      <c r="F27" s="161" t="s">
        <v>3681</v>
      </c>
      <c r="G27" s="164" t="str">
        <f>IF(COUNTIF(H27:AU27,"&lt;&gt;")=0,"",SUMPRODUCT(((Recommendations[ImplStatus]="Implemented")+(Recommendations[ImplStatus]="Compensated"))*ISNUMBER(MATCH(Recommendations[Id],H27:AU27,0)))/COUNTIF(H27:AU27,"&lt;&gt;"))</f>
        <v/>
      </c>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67"/>
      <c r="AJ27" s="167"/>
      <c r="AK27" s="167"/>
      <c r="AL27" s="167"/>
      <c r="AM27" s="167"/>
      <c r="AN27" s="167"/>
      <c r="AO27" s="167"/>
      <c r="AP27" s="167"/>
      <c r="AQ27" s="167"/>
      <c r="AR27" s="167"/>
      <c r="AS27" s="167"/>
      <c r="AT27" s="167"/>
      <c r="AU27" s="181"/>
    </row>
    <row r="28" spans="1:47" ht="60" customHeight="1" x14ac:dyDescent="0.35">
      <c r="A28" s="177" t="s">
        <v>3668</v>
      </c>
      <c r="B28" s="151" t="s">
        <v>3737</v>
      </c>
      <c r="C28" s="152" t="s">
        <v>3749</v>
      </c>
      <c r="D28" s="155" t="s">
        <v>3750</v>
      </c>
      <c r="E28" s="158" t="s">
        <v>3751</v>
      </c>
      <c r="F28" s="161" t="s">
        <v>3677</v>
      </c>
      <c r="G28" s="164" t="str">
        <f>IF(COUNTIF(H28:AU28,"&lt;&gt;")=0,"",SUMPRODUCT(((Recommendations[ImplStatus]="Implemented")+(Recommendations[ImplStatus]="Compensated"))*ISNUMBER(MATCH(Recommendations[Id],H28:AU28,0)))/COUNTIF(H28:AU28,"&lt;&gt;"))</f>
        <v/>
      </c>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7"/>
      <c r="AF28" s="167"/>
      <c r="AG28" s="167"/>
      <c r="AH28" s="167"/>
      <c r="AI28" s="167"/>
      <c r="AJ28" s="167"/>
      <c r="AK28" s="167"/>
      <c r="AL28" s="167"/>
      <c r="AM28" s="167"/>
      <c r="AN28" s="167"/>
      <c r="AO28" s="167"/>
      <c r="AP28" s="167"/>
      <c r="AQ28" s="167"/>
      <c r="AR28" s="167"/>
      <c r="AS28" s="167"/>
      <c r="AT28" s="167"/>
      <c r="AU28" s="181"/>
    </row>
    <row r="29" spans="1:47" ht="60" customHeight="1" outlineLevel="1" x14ac:dyDescent="0.35">
      <c r="A29" s="176" t="s">
        <v>3668</v>
      </c>
      <c r="B29" s="150" t="s">
        <v>3752</v>
      </c>
      <c r="C29" s="148" t="s">
        <v>3753</v>
      </c>
      <c r="D29" s="154" t="s">
        <v>3754</v>
      </c>
      <c r="E29" s="157" t="s">
        <v>19</v>
      </c>
      <c r="F29" s="160" t="s">
        <v>19</v>
      </c>
      <c r="G29" s="163" t="str">
        <f>IF(COUNTIF(H29:AU29,"&lt;&gt;")=0,"",SUMPRODUCT(((Recommendations[ImplStatus]="Implemented")+(Recommendations[ImplStatus]="Compensated"))*ISNUMBER(MATCH(Recommendations[Id],H29:AU29,0)))/COUNTIF(H29:AU29,"&lt;&gt;"))</f>
        <v/>
      </c>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80"/>
    </row>
    <row r="30" spans="1:47" ht="60" customHeight="1" x14ac:dyDescent="0.35">
      <c r="A30" s="177" t="s">
        <v>3668</v>
      </c>
      <c r="B30" s="151" t="s">
        <v>3752</v>
      </c>
      <c r="C30" s="152" t="s">
        <v>3755</v>
      </c>
      <c r="D30" s="155" t="s">
        <v>3756</v>
      </c>
      <c r="E30" s="158" t="s">
        <v>3757</v>
      </c>
      <c r="F30" s="161" t="s">
        <v>3691</v>
      </c>
      <c r="G30" s="164" t="str">
        <f>IF(COUNTIF(H30:AU30,"&lt;&gt;")=0,"",SUMPRODUCT(((Recommendations[ImplStatus]="Implemented")+(Recommendations[ImplStatus]="Compensated"))*ISNUMBER(MATCH(Recommendations[Id],H30:AU30,0)))/COUNTIF(H30:AU30,"&lt;&gt;"))</f>
        <v/>
      </c>
      <c r="H30" s="167"/>
      <c r="I30" s="167"/>
      <c r="J30" s="167"/>
      <c r="K30" s="167"/>
      <c r="L30" s="167"/>
      <c r="M30" s="167"/>
      <c r="N30" s="167"/>
      <c r="O30" s="167"/>
      <c r="P30" s="167"/>
      <c r="Q30" s="167"/>
      <c r="R30" s="167"/>
      <c r="S30" s="167"/>
      <c r="T30" s="167"/>
      <c r="U30" s="167"/>
      <c r="V30" s="167"/>
      <c r="W30" s="167"/>
      <c r="X30" s="167"/>
      <c r="Y30" s="167"/>
      <c r="Z30" s="167"/>
      <c r="AA30" s="167"/>
      <c r="AB30" s="167"/>
      <c r="AC30" s="167"/>
      <c r="AD30" s="167"/>
      <c r="AE30" s="167"/>
      <c r="AF30" s="167"/>
      <c r="AG30" s="167"/>
      <c r="AH30" s="167"/>
      <c r="AI30" s="167"/>
      <c r="AJ30" s="167"/>
      <c r="AK30" s="167"/>
      <c r="AL30" s="167"/>
      <c r="AM30" s="167"/>
      <c r="AN30" s="167"/>
      <c r="AO30" s="167"/>
      <c r="AP30" s="167"/>
      <c r="AQ30" s="167"/>
      <c r="AR30" s="167"/>
      <c r="AS30" s="167"/>
      <c r="AT30" s="167"/>
      <c r="AU30" s="181"/>
    </row>
    <row r="31" spans="1:47" ht="60" customHeight="1" x14ac:dyDescent="0.35">
      <c r="A31" s="177" t="s">
        <v>3668</v>
      </c>
      <c r="B31" s="151" t="s">
        <v>3752</v>
      </c>
      <c r="C31" s="152" t="s">
        <v>3758</v>
      </c>
      <c r="D31" s="155" t="s">
        <v>3759</v>
      </c>
      <c r="E31" s="158" t="s">
        <v>3760</v>
      </c>
      <c r="F31" s="161" t="s">
        <v>3691</v>
      </c>
      <c r="G31" s="164" t="str">
        <f>IF(COUNTIF(H31:AU31,"&lt;&gt;")=0,"",SUMPRODUCT(((Recommendations[ImplStatus]="Implemented")+(Recommendations[ImplStatus]="Compensated"))*ISNUMBER(MATCH(Recommendations[Id],H31:AU31,0)))/COUNTIF(H31:AU31,"&lt;&gt;"))</f>
        <v/>
      </c>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7"/>
      <c r="AN31" s="167"/>
      <c r="AO31" s="167"/>
      <c r="AP31" s="167"/>
      <c r="AQ31" s="167"/>
      <c r="AR31" s="167"/>
      <c r="AS31" s="167"/>
      <c r="AT31" s="167"/>
      <c r="AU31" s="181"/>
    </row>
    <row r="32" spans="1:47" ht="60" customHeight="1" x14ac:dyDescent="0.35">
      <c r="A32" s="177" t="s">
        <v>3668</v>
      </c>
      <c r="B32" s="151" t="s">
        <v>3752</v>
      </c>
      <c r="C32" s="152" t="s">
        <v>3761</v>
      </c>
      <c r="D32" s="155" t="s">
        <v>3762</v>
      </c>
      <c r="E32" s="158" t="s">
        <v>3763</v>
      </c>
      <c r="F32" s="161" t="s">
        <v>3691</v>
      </c>
      <c r="G32" s="164" t="str">
        <f>IF(COUNTIF(H32:AU32,"&lt;&gt;")=0,"",SUMPRODUCT(((Recommendations[ImplStatus]="Implemented")+(Recommendations[ImplStatus]="Compensated"))*ISNUMBER(MATCH(Recommendations[Id],H32:AU32,0)))/COUNTIF(H32:AU32,"&lt;&gt;"))</f>
        <v/>
      </c>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81"/>
    </row>
    <row r="33" spans="1:47" ht="60" customHeight="1" x14ac:dyDescent="0.35">
      <c r="A33" s="177" t="s">
        <v>3668</v>
      </c>
      <c r="B33" s="151" t="s">
        <v>3752</v>
      </c>
      <c r="C33" s="152" t="s">
        <v>3764</v>
      </c>
      <c r="D33" s="155" t="s">
        <v>3765</v>
      </c>
      <c r="E33" s="158" t="s">
        <v>3766</v>
      </c>
      <c r="F33" s="161" t="s">
        <v>3691</v>
      </c>
      <c r="G33" s="164" t="str">
        <f>IF(COUNTIF(H33:AU33,"&lt;&gt;")=0,"",SUMPRODUCT(((Recommendations[ImplStatus]="Implemented")+(Recommendations[ImplStatus]="Compensated"))*ISNUMBER(MATCH(Recommendations[Id],H33:AU33,0)))/COUNTIF(H33:AU33,"&lt;&gt;"))</f>
        <v/>
      </c>
      <c r="H33" s="167"/>
      <c r="I33" s="167"/>
      <c r="J33" s="167"/>
      <c r="K33" s="167"/>
      <c r="L33" s="167"/>
      <c r="M33" s="167"/>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81"/>
    </row>
    <row r="34" spans="1:47" ht="60" customHeight="1" x14ac:dyDescent="0.35">
      <c r="A34" s="177" t="s">
        <v>3668</v>
      </c>
      <c r="B34" s="151" t="s">
        <v>3752</v>
      </c>
      <c r="C34" s="152" t="s">
        <v>3767</v>
      </c>
      <c r="D34" s="155" t="s">
        <v>3768</v>
      </c>
      <c r="E34" s="158" t="s">
        <v>3769</v>
      </c>
      <c r="F34" s="161" t="s">
        <v>3691</v>
      </c>
      <c r="G34" s="164" t="str">
        <f>IF(COUNTIF(H34:AU34,"&lt;&gt;")=0,"",SUMPRODUCT(((Recommendations[ImplStatus]="Implemented")+(Recommendations[ImplStatus]="Compensated"))*ISNUMBER(MATCH(Recommendations[Id],H34:AU34,0)))/COUNTIF(H34:AU34,"&lt;&gt;"))</f>
        <v/>
      </c>
      <c r="H34" s="167"/>
      <c r="I34" s="167"/>
      <c r="J34" s="167"/>
      <c r="K34" s="167"/>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81"/>
    </row>
    <row r="35" spans="1:47" ht="60" customHeight="1" x14ac:dyDescent="0.35">
      <c r="A35" s="177" t="s">
        <v>3668</v>
      </c>
      <c r="B35" s="151" t="s">
        <v>3752</v>
      </c>
      <c r="C35" s="152" t="s">
        <v>3770</v>
      </c>
      <c r="D35" s="155" t="s">
        <v>3771</v>
      </c>
      <c r="E35" s="158" t="s">
        <v>3772</v>
      </c>
      <c r="F35" s="161" t="s">
        <v>3691</v>
      </c>
      <c r="G35" s="164" t="str">
        <f>IF(COUNTIF(H35:AU35,"&lt;&gt;")=0,"",SUMPRODUCT(((Recommendations[ImplStatus]="Implemented")+(Recommendations[ImplStatus]="Compensated"))*ISNUMBER(MATCH(Recommendations[Id],H35:AU35,0)))/COUNTIF(H35:AU35,"&lt;&gt;"))</f>
        <v/>
      </c>
      <c r="H35" s="167"/>
      <c r="I35" s="167"/>
      <c r="J35" s="167"/>
      <c r="K35" s="167"/>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81"/>
    </row>
    <row r="36" spans="1:47" ht="60" customHeight="1" x14ac:dyDescent="0.35">
      <c r="A36" s="177" t="s">
        <v>3668</v>
      </c>
      <c r="B36" s="151" t="s">
        <v>3752</v>
      </c>
      <c r="C36" s="152" t="s">
        <v>3773</v>
      </c>
      <c r="D36" s="155" t="s">
        <v>3774</v>
      </c>
      <c r="E36" s="158" t="s">
        <v>3775</v>
      </c>
      <c r="F36" s="161" t="s">
        <v>3691</v>
      </c>
      <c r="G36" s="164" t="str">
        <f>IF(COUNTIF(H36:AU36,"&lt;&gt;")=0,"",SUMPRODUCT(((Recommendations[ImplStatus]="Implemented")+(Recommendations[ImplStatus]="Compensated"))*ISNUMBER(MATCH(Recommendations[Id],H36:AU36,0)))/COUNTIF(H36:AU36,"&lt;&gt;"))</f>
        <v/>
      </c>
      <c r="H36" s="167"/>
      <c r="I36" s="167"/>
      <c r="J36" s="167"/>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81"/>
    </row>
    <row r="37" spans="1:47" ht="60" customHeight="1" x14ac:dyDescent="0.35">
      <c r="A37" s="177" t="s">
        <v>3668</v>
      </c>
      <c r="B37" s="151" t="s">
        <v>3752</v>
      </c>
      <c r="C37" s="152" t="s">
        <v>3776</v>
      </c>
      <c r="D37" s="155" t="s">
        <v>3777</v>
      </c>
      <c r="E37" s="158" t="s">
        <v>3778</v>
      </c>
      <c r="F37" s="161" t="s">
        <v>3691</v>
      </c>
      <c r="G37" s="164" t="str">
        <f>IF(COUNTIF(H37:AU37,"&lt;&gt;")=0,"",SUMPRODUCT(((Recommendations[ImplStatus]="Implemented")+(Recommendations[ImplStatus]="Compensated"))*ISNUMBER(MATCH(Recommendations[Id],H37:AU37,0)))/COUNTIF(H37:AU37,"&lt;&gt;"))</f>
        <v/>
      </c>
      <c r="H37" s="167"/>
      <c r="I37" s="167"/>
      <c r="J37" s="167"/>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7"/>
      <c r="AI37" s="167"/>
      <c r="AJ37" s="167"/>
      <c r="AK37" s="167"/>
      <c r="AL37" s="167"/>
      <c r="AM37" s="167"/>
      <c r="AN37" s="167"/>
      <c r="AO37" s="167"/>
      <c r="AP37" s="167"/>
      <c r="AQ37" s="167"/>
      <c r="AR37" s="167"/>
      <c r="AS37" s="167"/>
      <c r="AT37" s="167"/>
      <c r="AU37" s="181"/>
    </row>
    <row r="38" spans="1:47" ht="60" customHeight="1" x14ac:dyDescent="0.35">
      <c r="A38" s="177" t="s">
        <v>3668</v>
      </c>
      <c r="B38" s="151" t="s">
        <v>3752</v>
      </c>
      <c r="C38" s="152" t="s">
        <v>3779</v>
      </c>
      <c r="D38" s="155" t="s">
        <v>3780</v>
      </c>
      <c r="E38" s="158" t="s">
        <v>3781</v>
      </c>
      <c r="F38" s="161" t="s">
        <v>3691</v>
      </c>
      <c r="G38" s="164" t="str">
        <f>IF(COUNTIF(H38:AU38,"&lt;&gt;")=0,"",SUMPRODUCT(((Recommendations[ImplStatus]="Implemented")+(Recommendations[ImplStatus]="Compensated"))*ISNUMBER(MATCH(Recommendations[Id],H38:AU38,0)))/COUNTIF(H38:AU38,"&lt;&gt;"))</f>
        <v/>
      </c>
      <c r="H38" s="167"/>
      <c r="I38" s="167"/>
      <c r="J38" s="167"/>
      <c r="K38" s="167"/>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7"/>
      <c r="AM38" s="167"/>
      <c r="AN38" s="167"/>
      <c r="AO38" s="167"/>
      <c r="AP38" s="167"/>
      <c r="AQ38" s="167"/>
      <c r="AR38" s="167"/>
      <c r="AS38" s="167"/>
      <c r="AT38" s="167"/>
      <c r="AU38" s="181"/>
    </row>
    <row r="39" spans="1:47" ht="60" customHeight="1" x14ac:dyDescent="0.35">
      <c r="A39" s="177" t="s">
        <v>3668</v>
      </c>
      <c r="B39" s="151" t="s">
        <v>3752</v>
      </c>
      <c r="C39" s="152" t="s">
        <v>3782</v>
      </c>
      <c r="D39" s="155" t="s">
        <v>3783</v>
      </c>
      <c r="E39" s="158" t="s">
        <v>3784</v>
      </c>
      <c r="F39" s="161" t="s">
        <v>3691</v>
      </c>
      <c r="G39" s="164" t="str">
        <f>IF(COUNTIF(H39:AU39,"&lt;&gt;")=0,"",SUMPRODUCT(((Recommendations[ImplStatus]="Implemented")+(Recommendations[ImplStatus]="Compensated"))*ISNUMBER(MATCH(Recommendations[Id],H39:AU39,0)))/COUNTIF(H39:AU39,"&lt;&gt;"))</f>
        <v/>
      </c>
      <c r="H39" s="167"/>
      <c r="I39" s="167"/>
      <c r="J39" s="167"/>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81"/>
    </row>
    <row r="40" spans="1:47" ht="60" customHeight="1" outlineLevel="1" x14ac:dyDescent="0.35">
      <c r="A40" s="175" t="s">
        <v>3785</v>
      </c>
      <c r="B40" s="149" t="s">
        <v>19</v>
      </c>
      <c r="C40" s="147" t="s">
        <v>3786</v>
      </c>
      <c r="D40" s="153" t="s">
        <v>3787</v>
      </c>
      <c r="E40" s="156" t="s">
        <v>19</v>
      </c>
      <c r="F40" s="159" t="s">
        <v>19</v>
      </c>
      <c r="G40" s="162" t="str">
        <f>IF(COUNTIF(H40:AU40,"&lt;&gt;")=0,"",SUMPRODUCT(((Recommendations[ImplStatus]="Implemented")+(Recommendations[ImplStatus]="Compensated"))*ISNUMBER(MATCH(Recommendations[Id],H40:AU40,0)))/COUNTIF(H40:AU40,"&lt;&gt;"))</f>
        <v/>
      </c>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79"/>
    </row>
    <row r="41" spans="1:47" ht="60" customHeight="1" outlineLevel="1" x14ac:dyDescent="0.35">
      <c r="A41" s="176" t="s">
        <v>3785</v>
      </c>
      <c r="B41" s="150" t="s">
        <v>3788</v>
      </c>
      <c r="C41" s="148" t="s">
        <v>3789</v>
      </c>
      <c r="D41" s="154" t="s">
        <v>3790</v>
      </c>
      <c r="E41" s="157" t="s">
        <v>19</v>
      </c>
      <c r="F41" s="160" t="s">
        <v>19</v>
      </c>
      <c r="G41" s="163" t="str">
        <f>IF(COUNTIF(H41:AU41,"&lt;&gt;")=0,"",SUMPRODUCT(((Recommendations[ImplStatus]="Implemented")+(Recommendations[ImplStatus]="Compensated"))*ISNUMBER(MATCH(Recommendations[Id],H41:AU41,0)))/COUNTIF(H41:AU41,"&lt;&gt;"))</f>
        <v/>
      </c>
      <c r="H41" s="166"/>
      <c r="I41" s="166"/>
      <c r="J41" s="166"/>
      <c r="K41" s="166"/>
      <c r="L41" s="166"/>
      <c r="M41" s="166"/>
      <c r="N41" s="166"/>
      <c r="O41" s="166"/>
      <c r="P41" s="166"/>
      <c r="Q41" s="166"/>
      <c r="R41" s="166"/>
      <c r="S41" s="166"/>
      <c r="T41" s="166"/>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80"/>
    </row>
    <row r="42" spans="1:47" ht="60" customHeight="1" x14ac:dyDescent="0.35">
      <c r="A42" s="177" t="s">
        <v>3785</v>
      </c>
      <c r="B42" s="151" t="s">
        <v>3788</v>
      </c>
      <c r="C42" s="152" t="s">
        <v>3791</v>
      </c>
      <c r="D42" s="155" t="s">
        <v>3792</v>
      </c>
      <c r="E42" s="158" t="s">
        <v>3793</v>
      </c>
      <c r="F42" s="161" t="s">
        <v>3677</v>
      </c>
      <c r="G42" s="164" t="str">
        <f>IF(COUNTIF(H42:AU42,"&lt;&gt;")=0,"",SUMPRODUCT(((Recommendations[ImplStatus]="Implemented")+(Recommendations[ImplStatus]="Compensated"))*ISNUMBER(MATCH(Recommendations[Id],H42:AU42,0)))/COUNTIF(H42:AU42,"&lt;&gt;"))</f>
        <v/>
      </c>
      <c r="H42" s="167"/>
      <c r="I42" s="167"/>
      <c r="J42" s="167"/>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81"/>
    </row>
    <row r="43" spans="1:47" ht="60" customHeight="1" x14ac:dyDescent="0.35">
      <c r="A43" s="177" t="s">
        <v>3785</v>
      </c>
      <c r="B43" s="151" t="s">
        <v>3788</v>
      </c>
      <c r="C43" s="152" t="s">
        <v>3794</v>
      </c>
      <c r="D43" s="155" t="s">
        <v>3795</v>
      </c>
      <c r="E43" s="158" t="s">
        <v>3796</v>
      </c>
      <c r="F43" s="161" t="s">
        <v>3677</v>
      </c>
      <c r="G43" s="164" t="str">
        <f>IF(COUNTIF(H43:AU43,"&lt;&gt;")=0,"",SUMPRODUCT(((Recommendations[ImplStatus]="Implemented")+(Recommendations[ImplStatus]="Compensated"))*ISNUMBER(MATCH(Recommendations[Id],H43:AU43,0)))/COUNTIF(H43:AU43,"&lt;&gt;"))</f>
        <v/>
      </c>
      <c r="H43" s="167"/>
      <c r="I43" s="167"/>
      <c r="J43" s="167"/>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c r="AN43" s="167"/>
      <c r="AO43" s="167"/>
      <c r="AP43" s="167"/>
      <c r="AQ43" s="167"/>
      <c r="AR43" s="167"/>
      <c r="AS43" s="167"/>
      <c r="AT43" s="167"/>
      <c r="AU43" s="181"/>
    </row>
    <row r="44" spans="1:47" ht="60" customHeight="1" x14ac:dyDescent="0.35">
      <c r="A44" s="177" t="s">
        <v>3785</v>
      </c>
      <c r="B44" s="151" t="s">
        <v>3788</v>
      </c>
      <c r="C44" s="152" t="s">
        <v>3797</v>
      </c>
      <c r="D44" s="155" t="s">
        <v>3798</v>
      </c>
      <c r="E44" s="158" t="s">
        <v>3799</v>
      </c>
      <c r="F44" s="161" t="s">
        <v>3681</v>
      </c>
      <c r="G44" s="164" t="str">
        <f>IF(COUNTIF(H44:AU44,"&lt;&gt;")=0,"",SUMPRODUCT(((Recommendations[ImplStatus]="Implemented")+(Recommendations[ImplStatus]="Compensated"))*ISNUMBER(MATCH(Recommendations[Id],H44:AU44,0)))/COUNTIF(H44:AU44,"&lt;&gt;"))</f>
        <v/>
      </c>
      <c r="H44" s="167"/>
      <c r="I44" s="167"/>
      <c r="J44" s="167"/>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81"/>
    </row>
    <row r="45" spans="1:47" ht="60" customHeight="1" x14ac:dyDescent="0.35">
      <c r="A45" s="177" t="s">
        <v>3785</v>
      </c>
      <c r="B45" s="151" t="s">
        <v>3788</v>
      </c>
      <c r="C45" s="152" t="s">
        <v>3800</v>
      </c>
      <c r="D45" s="155" t="s">
        <v>3801</v>
      </c>
      <c r="E45" s="158" t="s">
        <v>3802</v>
      </c>
      <c r="F45" s="161" t="s">
        <v>3691</v>
      </c>
      <c r="G45" s="164" t="str">
        <f>IF(COUNTIF(H45:AU45,"&lt;&gt;")=0,"",SUMPRODUCT(((Recommendations[ImplStatus]="Implemented")+(Recommendations[ImplStatus]="Compensated"))*ISNUMBER(MATCH(Recommendations[Id],H45:AU45,0)))/COUNTIF(H45:AU45,"&lt;&gt;"))</f>
        <v/>
      </c>
      <c r="H45" s="167"/>
      <c r="I45" s="167"/>
      <c r="J45" s="167"/>
      <c r="K45" s="167"/>
      <c r="L45" s="167"/>
      <c r="M45" s="167"/>
      <c r="N45" s="167"/>
      <c r="O45" s="167"/>
      <c r="P45" s="167"/>
      <c r="Q45" s="167"/>
      <c r="R45" s="167"/>
      <c r="S45" s="167"/>
      <c r="T45" s="167"/>
      <c r="U45" s="167"/>
      <c r="V45" s="167"/>
      <c r="W45" s="167"/>
      <c r="X45" s="167"/>
      <c r="Y45" s="167"/>
      <c r="Z45" s="167"/>
      <c r="AA45" s="167"/>
      <c r="AB45" s="167"/>
      <c r="AC45" s="167"/>
      <c r="AD45" s="167"/>
      <c r="AE45" s="167"/>
      <c r="AF45" s="167"/>
      <c r="AG45" s="167"/>
      <c r="AH45" s="167"/>
      <c r="AI45" s="167"/>
      <c r="AJ45" s="167"/>
      <c r="AK45" s="167"/>
      <c r="AL45" s="167"/>
      <c r="AM45" s="167"/>
      <c r="AN45" s="167"/>
      <c r="AO45" s="167"/>
      <c r="AP45" s="167"/>
      <c r="AQ45" s="167"/>
      <c r="AR45" s="167"/>
      <c r="AS45" s="167"/>
      <c r="AT45" s="167"/>
      <c r="AU45" s="181"/>
    </row>
    <row r="46" spans="1:47" ht="60" customHeight="1" x14ac:dyDescent="0.35">
      <c r="A46" s="177" t="s">
        <v>3785</v>
      </c>
      <c r="B46" s="151" t="s">
        <v>3788</v>
      </c>
      <c r="C46" s="152" t="s">
        <v>3803</v>
      </c>
      <c r="D46" s="155" t="s">
        <v>3804</v>
      </c>
      <c r="E46" s="158" t="s">
        <v>3805</v>
      </c>
      <c r="F46" s="161" t="s">
        <v>3677</v>
      </c>
      <c r="G46" s="164" t="str">
        <f>IF(COUNTIF(H46:AU46,"&lt;&gt;")=0,"",SUMPRODUCT(((Recommendations[ImplStatus]="Implemented")+(Recommendations[ImplStatus]="Compensated"))*ISNUMBER(MATCH(Recommendations[Id],H46:AU46,0)))/COUNTIF(H46:AU46,"&lt;&gt;"))</f>
        <v/>
      </c>
      <c r="H46" s="167"/>
      <c r="I46" s="167"/>
      <c r="J46" s="167"/>
      <c r="K46" s="167"/>
      <c r="L46" s="167"/>
      <c r="M46" s="167"/>
      <c r="N46" s="167"/>
      <c r="O46" s="167"/>
      <c r="P46" s="167"/>
      <c r="Q46" s="167"/>
      <c r="R46" s="167"/>
      <c r="S46" s="167"/>
      <c r="T46" s="167"/>
      <c r="U46" s="167"/>
      <c r="V46" s="167"/>
      <c r="W46" s="167"/>
      <c r="X46" s="167"/>
      <c r="Y46" s="167"/>
      <c r="Z46" s="167"/>
      <c r="AA46" s="167"/>
      <c r="AB46" s="167"/>
      <c r="AC46" s="167"/>
      <c r="AD46" s="167"/>
      <c r="AE46" s="167"/>
      <c r="AF46" s="167"/>
      <c r="AG46" s="167"/>
      <c r="AH46" s="167"/>
      <c r="AI46" s="167"/>
      <c r="AJ46" s="167"/>
      <c r="AK46" s="167"/>
      <c r="AL46" s="167"/>
      <c r="AM46" s="167"/>
      <c r="AN46" s="167"/>
      <c r="AO46" s="167"/>
      <c r="AP46" s="167"/>
      <c r="AQ46" s="167"/>
      <c r="AR46" s="167"/>
      <c r="AS46" s="167"/>
      <c r="AT46" s="167"/>
      <c r="AU46" s="181"/>
    </row>
    <row r="47" spans="1:47" ht="60" customHeight="1" x14ac:dyDescent="0.35">
      <c r="A47" s="177" t="s">
        <v>3785</v>
      </c>
      <c r="B47" s="151" t="s">
        <v>3788</v>
      </c>
      <c r="C47" s="152" t="s">
        <v>3806</v>
      </c>
      <c r="D47" s="155" t="s">
        <v>3807</v>
      </c>
      <c r="E47" s="158"/>
      <c r="F47" s="161" t="s">
        <v>19</v>
      </c>
      <c r="G47" s="164" t="str">
        <f>IF(COUNTIF(H47:AU47,"&lt;&gt;")=0,"",SUMPRODUCT(((Recommendations[ImplStatus]="Implemented")+(Recommendations[ImplStatus]="Compensated"))*ISNUMBER(MATCH(Recommendations[Id],H47:AU47,0)))/COUNTIF(H47:AU47,"&lt;&gt;"))</f>
        <v/>
      </c>
      <c r="H47" s="167"/>
      <c r="I47" s="167"/>
      <c r="J47" s="167"/>
      <c r="K47" s="167"/>
      <c r="L47" s="167"/>
      <c r="M47" s="167"/>
      <c r="N47" s="167"/>
      <c r="O47" s="167"/>
      <c r="P47" s="167"/>
      <c r="Q47" s="167"/>
      <c r="R47" s="167"/>
      <c r="S47" s="167"/>
      <c r="T47" s="167"/>
      <c r="U47" s="167"/>
      <c r="V47" s="167"/>
      <c r="W47" s="167"/>
      <c r="X47" s="167"/>
      <c r="Y47" s="167"/>
      <c r="Z47" s="167"/>
      <c r="AA47" s="167"/>
      <c r="AB47" s="167"/>
      <c r="AC47" s="167"/>
      <c r="AD47" s="167"/>
      <c r="AE47" s="167"/>
      <c r="AF47" s="167"/>
      <c r="AG47" s="167"/>
      <c r="AH47" s="167"/>
      <c r="AI47" s="167"/>
      <c r="AJ47" s="167"/>
      <c r="AK47" s="167"/>
      <c r="AL47" s="167"/>
      <c r="AM47" s="167"/>
      <c r="AN47" s="167"/>
      <c r="AO47" s="167"/>
      <c r="AP47" s="167"/>
      <c r="AQ47" s="167"/>
      <c r="AR47" s="167"/>
      <c r="AS47" s="167"/>
      <c r="AT47" s="167"/>
      <c r="AU47" s="181"/>
    </row>
    <row r="48" spans="1:47" ht="60" customHeight="1" x14ac:dyDescent="0.35">
      <c r="A48" s="177" t="s">
        <v>3785</v>
      </c>
      <c r="B48" s="151" t="s">
        <v>3788</v>
      </c>
      <c r="C48" s="152" t="s">
        <v>3808</v>
      </c>
      <c r="D48" s="155" t="s">
        <v>3809</v>
      </c>
      <c r="E48" s="158" t="s">
        <v>3810</v>
      </c>
      <c r="F48" s="161" t="s">
        <v>3677</v>
      </c>
      <c r="G48" s="164" t="str">
        <f>IF(COUNTIF(H48:AU48,"&lt;&gt;")=0,"",SUMPRODUCT(((Recommendations[ImplStatus]="Implemented")+(Recommendations[ImplStatus]="Compensated"))*ISNUMBER(MATCH(Recommendations[Id],H48:AU48,0)))/COUNTIF(H48:AU48,"&lt;&gt;"))</f>
        <v/>
      </c>
      <c r="H48" s="167"/>
      <c r="I48" s="167"/>
      <c r="J48" s="167"/>
      <c r="K48" s="167"/>
      <c r="L48" s="167"/>
      <c r="M48" s="167"/>
      <c r="N48" s="167"/>
      <c r="O48" s="167"/>
      <c r="P48" s="167"/>
      <c r="Q48" s="167"/>
      <c r="R48" s="167"/>
      <c r="S48" s="167"/>
      <c r="T48" s="167"/>
      <c r="U48" s="167"/>
      <c r="V48" s="167"/>
      <c r="W48" s="167"/>
      <c r="X48" s="167"/>
      <c r="Y48" s="167"/>
      <c r="Z48" s="167"/>
      <c r="AA48" s="167"/>
      <c r="AB48" s="167"/>
      <c r="AC48" s="167"/>
      <c r="AD48" s="167"/>
      <c r="AE48" s="167"/>
      <c r="AF48" s="167"/>
      <c r="AG48" s="167"/>
      <c r="AH48" s="167"/>
      <c r="AI48" s="167"/>
      <c r="AJ48" s="167"/>
      <c r="AK48" s="167"/>
      <c r="AL48" s="167"/>
      <c r="AM48" s="167"/>
      <c r="AN48" s="167"/>
      <c r="AO48" s="167"/>
      <c r="AP48" s="167"/>
      <c r="AQ48" s="167"/>
      <c r="AR48" s="167"/>
      <c r="AS48" s="167"/>
      <c r="AT48" s="167"/>
      <c r="AU48" s="181"/>
    </row>
    <row r="49" spans="1:47" ht="60" customHeight="1" x14ac:dyDescent="0.35">
      <c r="A49" s="177" t="s">
        <v>3785</v>
      </c>
      <c r="B49" s="151" t="s">
        <v>3788</v>
      </c>
      <c r="C49" s="152" t="s">
        <v>3811</v>
      </c>
      <c r="D49" s="155" t="s">
        <v>3812</v>
      </c>
      <c r="E49" s="158" t="s">
        <v>3813</v>
      </c>
      <c r="F49" s="161" t="s">
        <v>3681</v>
      </c>
      <c r="G49" s="164" t="str">
        <f>IF(COUNTIF(H49:AU49,"&lt;&gt;")=0,"",SUMPRODUCT(((Recommendations[ImplStatus]="Implemented")+(Recommendations[ImplStatus]="Compensated"))*ISNUMBER(MATCH(Recommendations[Id],H49:AU49,0)))/COUNTIF(H49:AU49,"&lt;&gt;"))</f>
        <v/>
      </c>
      <c r="H49" s="167"/>
      <c r="I49" s="167"/>
      <c r="J49" s="167"/>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167"/>
      <c r="AM49" s="167"/>
      <c r="AN49" s="167"/>
      <c r="AO49" s="167"/>
      <c r="AP49" s="167"/>
      <c r="AQ49" s="167"/>
      <c r="AR49" s="167"/>
      <c r="AS49" s="167"/>
      <c r="AT49" s="167"/>
      <c r="AU49" s="181"/>
    </row>
    <row r="50" spans="1:47" ht="60" customHeight="1" outlineLevel="1" x14ac:dyDescent="0.35">
      <c r="A50" s="176" t="s">
        <v>3785</v>
      </c>
      <c r="B50" s="150" t="s">
        <v>3814</v>
      </c>
      <c r="C50" s="148" t="s">
        <v>3815</v>
      </c>
      <c r="D50" s="154"/>
      <c r="E50" s="157" t="s">
        <v>19</v>
      </c>
      <c r="F50" s="160" t="s">
        <v>19</v>
      </c>
      <c r="G50" s="163" t="str">
        <f>IF(COUNTIF(H50:AU50,"&lt;&gt;")=0,"",SUMPRODUCT(((Recommendations[ImplStatus]="Implemented")+(Recommendations[ImplStatus]="Compensated"))*ISNUMBER(MATCH(Recommendations[Id],H50:AU50,0)))/COUNTIF(H50:AU50,"&lt;&gt;"))</f>
        <v/>
      </c>
      <c r="H50" s="166"/>
      <c r="I50" s="166"/>
      <c r="J50" s="166"/>
      <c r="K50" s="166"/>
      <c r="L50" s="166"/>
      <c r="M50" s="166"/>
      <c r="N50" s="166"/>
      <c r="O50" s="166"/>
      <c r="P50" s="166"/>
      <c r="Q50" s="166"/>
      <c r="R50" s="166"/>
      <c r="S50" s="166"/>
      <c r="T50" s="166"/>
      <c r="U50" s="166"/>
      <c r="V50" s="166"/>
      <c r="W50" s="166"/>
      <c r="X50" s="166"/>
      <c r="Y50" s="166"/>
      <c r="Z50" s="166"/>
      <c r="AA50" s="166"/>
      <c r="AB50" s="166"/>
      <c r="AC50" s="166"/>
      <c r="AD50" s="166"/>
      <c r="AE50" s="166"/>
      <c r="AF50" s="166"/>
      <c r="AG50" s="166"/>
      <c r="AH50" s="166"/>
      <c r="AI50" s="166"/>
      <c r="AJ50" s="166"/>
      <c r="AK50" s="166"/>
      <c r="AL50" s="166"/>
      <c r="AM50" s="166"/>
      <c r="AN50" s="166"/>
      <c r="AO50" s="166"/>
      <c r="AP50" s="166"/>
      <c r="AQ50" s="166"/>
      <c r="AR50" s="166"/>
      <c r="AS50" s="166"/>
      <c r="AT50" s="166"/>
      <c r="AU50" s="180"/>
    </row>
    <row r="51" spans="1:47" ht="60" customHeight="1" x14ac:dyDescent="0.35">
      <c r="A51" s="177" t="s">
        <v>3785</v>
      </c>
      <c r="B51" s="151" t="s">
        <v>3814</v>
      </c>
      <c r="C51" s="152" t="s">
        <v>3816</v>
      </c>
      <c r="D51" s="155" t="s">
        <v>3817</v>
      </c>
      <c r="E51" s="158"/>
      <c r="F51" s="161" t="s">
        <v>19</v>
      </c>
      <c r="G51" s="164" t="str">
        <f>IF(COUNTIF(H51:AU51,"&lt;&gt;")=0,"",SUMPRODUCT(((Recommendations[ImplStatus]="Implemented")+(Recommendations[ImplStatus]="Compensated"))*ISNUMBER(MATCH(Recommendations[Id],H51:AU51,0)))/COUNTIF(H51:AU51,"&lt;&gt;"))</f>
        <v/>
      </c>
      <c r="H51" s="167"/>
      <c r="I51" s="167"/>
      <c r="J51" s="167"/>
      <c r="K51" s="167"/>
      <c r="L51" s="167"/>
      <c r="M51" s="167"/>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7"/>
      <c r="AN51" s="167"/>
      <c r="AO51" s="167"/>
      <c r="AP51" s="167"/>
      <c r="AQ51" s="167"/>
      <c r="AR51" s="167"/>
      <c r="AS51" s="167"/>
      <c r="AT51" s="167"/>
      <c r="AU51" s="181"/>
    </row>
    <row r="52" spans="1:47" ht="60" customHeight="1" x14ac:dyDescent="0.35">
      <c r="A52" s="177" t="s">
        <v>3785</v>
      </c>
      <c r="B52" s="151" t="s">
        <v>3814</v>
      </c>
      <c r="C52" s="152" t="s">
        <v>3818</v>
      </c>
      <c r="D52" s="155" t="s">
        <v>3819</v>
      </c>
      <c r="E52" s="158"/>
      <c r="F52" s="161" t="s">
        <v>19</v>
      </c>
      <c r="G52" s="164" t="str">
        <f>IF(COUNTIF(H52:AU52,"&lt;&gt;")=0,"",SUMPRODUCT(((Recommendations[ImplStatus]="Implemented")+(Recommendations[ImplStatus]="Compensated"))*ISNUMBER(MATCH(Recommendations[Id],H52:AU52,0)))/COUNTIF(H52:AU52,"&lt;&gt;"))</f>
        <v/>
      </c>
      <c r="H52" s="167"/>
      <c r="I52" s="167"/>
      <c r="J52" s="167"/>
      <c r="K52" s="167"/>
      <c r="L52" s="167"/>
      <c r="M52" s="167"/>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7"/>
      <c r="AN52" s="167"/>
      <c r="AO52" s="167"/>
      <c r="AP52" s="167"/>
      <c r="AQ52" s="167"/>
      <c r="AR52" s="167"/>
      <c r="AS52" s="167"/>
      <c r="AT52" s="167"/>
      <c r="AU52" s="181"/>
    </row>
    <row r="53" spans="1:47" ht="60" customHeight="1" x14ac:dyDescent="0.35">
      <c r="A53" s="177" t="s">
        <v>3785</v>
      </c>
      <c r="B53" s="151" t="s">
        <v>3814</v>
      </c>
      <c r="C53" s="152" t="s">
        <v>3820</v>
      </c>
      <c r="D53" s="155" t="s">
        <v>3821</v>
      </c>
      <c r="E53" s="158"/>
      <c r="F53" s="161" t="s">
        <v>19</v>
      </c>
      <c r="G53" s="164" t="str">
        <f>IF(COUNTIF(H53:AU53,"&lt;&gt;")=0,"",SUMPRODUCT(((Recommendations[ImplStatus]="Implemented")+(Recommendations[ImplStatus]="Compensated"))*ISNUMBER(MATCH(Recommendations[Id],H53:AU53,0)))/COUNTIF(H53:AU53,"&lt;&gt;"))</f>
        <v/>
      </c>
      <c r="H53" s="167"/>
      <c r="I53" s="167"/>
      <c r="J53" s="167"/>
      <c r="K53" s="167"/>
      <c r="L53" s="167"/>
      <c r="M53" s="167"/>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7"/>
      <c r="AN53" s="167"/>
      <c r="AO53" s="167"/>
      <c r="AP53" s="167"/>
      <c r="AQ53" s="167"/>
      <c r="AR53" s="167"/>
      <c r="AS53" s="167"/>
      <c r="AT53" s="167"/>
      <c r="AU53" s="181"/>
    </row>
    <row r="54" spans="1:47" ht="60" customHeight="1" x14ac:dyDescent="0.35">
      <c r="A54" s="177" t="s">
        <v>3785</v>
      </c>
      <c r="B54" s="151" t="s">
        <v>3814</v>
      </c>
      <c r="C54" s="152" t="s">
        <v>3822</v>
      </c>
      <c r="D54" s="155" t="s">
        <v>3823</v>
      </c>
      <c r="E54" s="158"/>
      <c r="F54" s="161" t="s">
        <v>19</v>
      </c>
      <c r="G54" s="164" t="str">
        <f>IF(COUNTIF(H54:AU54,"&lt;&gt;")=0,"",SUMPRODUCT(((Recommendations[ImplStatus]="Implemented")+(Recommendations[ImplStatus]="Compensated"))*ISNUMBER(MATCH(Recommendations[Id],H54:AU54,0)))/COUNTIF(H54:AU54,"&lt;&gt;"))</f>
        <v/>
      </c>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7"/>
      <c r="AN54" s="167"/>
      <c r="AO54" s="167"/>
      <c r="AP54" s="167"/>
      <c r="AQ54" s="167"/>
      <c r="AR54" s="167"/>
      <c r="AS54" s="167"/>
      <c r="AT54" s="167"/>
      <c r="AU54" s="181"/>
    </row>
    <row r="55" spans="1:47" ht="60" customHeight="1" x14ac:dyDescent="0.35">
      <c r="A55" s="177" t="s">
        <v>3785</v>
      </c>
      <c r="B55" s="151" t="s">
        <v>3814</v>
      </c>
      <c r="C55" s="152" t="s">
        <v>3824</v>
      </c>
      <c r="D55" s="155" t="s">
        <v>3825</v>
      </c>
      <c r="E55" s="158"/>
      <c r="F55" s="161" t="s">
        <v>19</v>
      </c>
      <c r="G55" s="164" t="str">
        <f>IF(COUNTIF(H55:AU55,"&lt;&gt;")=0,"",SUMPRODUCT(((Recommendations[ImplStatus]="Implemented")+(Recommendations[ImplStatus]="Compensated"))*ISNUMBER(MATCH(Recommendations[Id],H55:AU55,0)))/COUNTIF(H55:AU55,"&lt;&gt;"))</f>
        <v/>
      </c>
      <c r="H55" s="167"/>
      <c r="I55" s="167"/>
      <c r="J55" s="167"/>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c r="AI55" s="167"/>
      <c r="AJ55" s="167"/>
      <c r="AK55" s="167"/>
      <c r="AL55" s="167"/>
      <c r="AM55" s="167"/>
      <c r="AN55" s="167"/>
      <c r="AO55" s="167"/>
      <c r="AP55" s="167"/>
      <c r="AQ55" s="167"/>
      <c r="AR55" s="167"/>
      <c r="AS55" s="167"/>
      <c r="AT55" s="167"/>
      <c r="AU55" s="181"/>
    </row>
    <row r="56" spans="1:47" ht="60" customHeight="1" outlineLevel="1" x14ac:dyDescent="0.35">
      <c r="A56" s="176" t="s">
        <v>3785</v>
      </c>
      <c r="B56" s="150" t="s">
        <v>1939</v>
      </c>
      <c r="C56" s="148" t="s">
        <v>3826</v>
      </c>
      <c r="D56" s="154"/>
      <c r="E56" s="157" t="s">
        <v>19</v>
      </c>
      <c r="F56" s="160" t="s">
        <v>19</v>
      </c>
      <c r="G56" s="163" t="str">
        <f>IF(COUNTIF(H56:AU56,"&lt;&gt;")=0,"",SUMPRODUCT(((Recommendations[ImplStatus]="Implemented")+(Recommendations[ImplStatus]="Compensated"))*ISNUMBER(MATCH(Recommendations[Id],H56:AU56,0)))/COUNTIF(H56:AU56,"&lt;&gt;"))</f>
        <v/>
      </c>
      <c r="H56" s="166"/>
      <c r="I56" s="166"/>
      <c r="J56" s="166"/>
      <c r="K56" s="166"/>
      <c r="L56" s="166"/>
      <c r="M56" s="166"/>
      <c r="N56" s="166"/>
      <c r="O56" s="166"/>
      <c r="P56" s="166"/>
      <c r="Q56" s="166"/>
      <c r="R56" s="166"/>
      <c r="S56" s="166"/>
      <c r="T56" s="166"/>
      <c r="U56" s="166"/>
      <c r="V56" s="166"/>
      <c r="W56" s="166"/>
      <c r="X56" s="166"/>
      <c r="Y56" s="166"/>
      <c r="Z56" s="166"/>
      <c r="AA56" s="166"/>
      <c r="AB56" s="166"/>
      <c r="AC56" s="166"/>
      <c r="AD56" s="166"/>
      <c r="AE56" s="166"/>
      <c r="AF56" s="166"/>
      <c r="AG56" s="166"/>
      <c r="AH56" s="166"/>
      <c r="AI56" s="166"/>
      <c r="AJ56" s="166"/>
      <c r="AK56" s="166"/>
      <c r="AL56" s="166"/>
      <c r="AM56" s="166"/>
      <c r="AN56" s="166"/>
      <c r="AO56" s="166"/>
      <c r="AP56" s="166"/>
      <c r="AQ56" s="166"/>
      <c r="AR56" s="166"/>
      <c r="AS56" s="166"/>
      <c r="AT56" s="166"/>
      <c r="AU56" s="180"/>
    </row>
    <row r="57" spans="1:47" ht="60" customHeight="1" x14ac:dyDescent="0.35">
      <c r="A57" s="177" t="s">
        <v>3785</v>
      </c>
      <c r="B57" s="151" t="s">
        <v>1939</v>
      </c>
      <c r="C57" s="152" t="s">
        <v>3827</v>
      </c>
      <c r="D57" s="155" t="s">
        <v>3828</v>
      </c>
      <c r="E57" s="158"/>
      <c r="F57" s="161" t="s">
        <v>19</v>
      </c>
      <c r="G57" s="164" t="str">
        <f>IF(COUNTIF(H57:AU57,"&lt;&gt;")=0,"",SUMPRODUCT(((Recommendations[ImplStatus]="Implemented")+(Recommendations[ImplStatus]="Compensated"))*ISNUMBER(MATCH(Recommendations[Id],H57:AU57,0)))/COUNTIF(H57:AU57,"&lt;&gt;"))</f>
        <v/>
      </c>
      <c r="H57" s="167"/>
      <c r="I57" s="167"/>
      <c r="J57" s="167"/>
      <c r="K57" s="167"/>
      <c r="L57" s="167"/>
      <c r="M57" s="167"/>
      <c r="N57" s="167"/>
      <c r="O57" s="167"/>
      <c r="P57" s="167"/>
      <c r="Q57" s="167"/>
      <c r="R57" s="167"/>
      <c r="S57" s="167"/>
      <c r="T57" s="167"/>
      <c r="U57" s="167"/>
      <c r="V57" s="167"/>
      <c r="W57" s="167"/>
      <c r="X57" s="167"/>
      <c r="Y57" s="167"/>
      <c r="Z57" s="167"/>
      <c r="AA57" s="167"/>
      <c r="AB57" s="167"/>
      <c r="AC57" s="167"/>
      <c r="AD57" s="167"/>
      <c r="AE57" s="167"/>
      <c r="AF57" s="167"/>
      <c r="AG57" s="167"/>
      <c r="AH57" s="167"/>
      <c r="AI57" s="167"/>
      <c r="AJ57" s="167"/>
      <c r="AK57" s="167"/>
      <c r="AL57" s="167"/>
      <c r="AM57" s="167"/>
      <c r="AN57" s="167"/>
      <c r="AO57" s="167"/>
      <c r="AP57" s="167"/>
      <c r="AQ57" s="167"/>
      <c r="AR57" s="167"/>
      <c r="AS57" s="167"/>
      <c r="AT57" s="167"/>
      <c r="AU57" s="181"/>
    </row>
    <row r="58" spans="1:47" ht="60" customHeight="1" x14ac:dyDescent="0.35">
      <c r="A58" s="177" t="s">
        <v>3785</v>
      </c>
      <c r="B58" s="151" t="s">
        <v>1939</v>
      </c>
      <c r="C58" s="152" t="s">
        <v>3829</v>
      </c>
      <c r="D58" s="155" t="s">
        <v>3830</v>
      </c>
      <c r="E58" s="158"/>
      <c r="F58" s="161" t="s">
        <v>19</v>
      </c>
      <c r="G58" s="164" t="str">
        <f>IF(COUNTIF(H58:AU58,"&lt;&gt;")=0,"",SUMPRODUCT(((Recommendations[ImplStatus]="Implemented")+(Recommendations[ImplStatus]="Compensated"))*ISNUMBER(MATCH(Recommendations[Id],H58:AU58,0)))/COUNTIF(H58:AU58,"&lt;&gt;"))</f>
        <v/>
      </c>
      <c r="H58" s="167"/>
      <c r="I58" s="167"/>
      <c r="J58" s="167"/>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7"/>
      <c r="AM58" s="167"/>
      <c r="AN58" s="167"/>
      <c r="AO58" s="167"/>
      <c r="AP58" s="167"/>
      <c r="AQ58" s="167"/>
      <c r="AR58" s="167"/>
      <c r="AS58" s="167"/>
      <c r="AT58" s="167"/>
      <c r="AU58" s="181"/>
    </row>
    <row r="59" spans="1:47" ht="60" customHeight="1" x14ac:dyDescent="0.35">
      <c r="A59" s="177" t="s">
        <v>3785</v>
      </c>
      <c r="B59" s="151" t="s">
        <v>1939</v>
      </c>
      <c r="C59" s="152" t="s">
        <v>3831</v>
      </c>
      <c r="D59" s="155" t="s">
        <v>3832</v>
      </c>
      <c r="E59" s="158"/>
      <c r="F59" s="161" t="s">
        <v>19</v>
      </c>
      <c r="G59" s="164" t="str">
        <f>IF(COUNTIF(H59:AU59,"&lt;&gt;")=0,"",SUMPRODUCT(((Recommendations[ImplStatus]="Implemented")+(Recommendations[ImplStatus]="Compensated"))*ISNUMBER(MATCH(Recommendations[Id],H59:AU59,0)))/COUNTIF(H59:AU59,"&lt;&gt;"))</f>
        <v/>
      </c>
      <c r="H59" s="167"/>
      <c r="I59" s="167"/>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67"/>
      <c r="AI59" s="167"/>
      <c r="AJ59" s="167"/>
      <c r="AK59" s="167"/>
      <c r="AL59" s="167"/>
      <c r="AM59" s="167"/>
      <c r="AN59" s="167"/>
      <c r="AO59" s="167"/>
      <c r="AP59" s="167"/>
      <c r="AQ59" s="167"/>
      <c r="AR59" s="167"/>
      <c r="AS59" s="167"/>
      <c r="AT59" s="167"/>
      <c r="AU59" s="181"/>
    </row>
    <row r="60" spans="1:47" ht="60" customHeight="1" x14ac:dyDescent="0.35">
      <c r="A60" s="177" t="s">
        <v>3785</v>
      </c>
      <c r="B60" s="151" t="s">
        <v>1939</v>
      </c>
      <c r="C60" s="152" t="s">
        <v>3833</v>
      </c>
      <c r="D60" s="155" t="s">
        <v>3834</v>
      </c>
      <c r="E60" s="158"/>
      <c r="F60" s="161" t="s">
        <v>19</v>
      </c>
      <c r="G60" s="164" t="str">
        <f>IF(COUNTIF(H60:AU60,"&lt;&gt;")=0,"",SUMPRODUCT(((Recommendations[ImplStatus]="Implemented")+(Recommendations[ImplStatus]="Compensated"))*ISNUMBER(MATCH(Recommendations[Id],H60:AU60,0)))/COUNTIF(H60:AU60,"&lt;&gt;"))</f>
        <v/>
      </c>
      <c r="H60" s="167"/>
      <c r="I60" s="167"/>
      <c r="J60" s="167"/>
      <c r="K60" s="167"/>
      <c r="L60" s="167"/>
      <c r="M60" s="167"/>
      <c r="N60" s="167"/>
      <c r="O60" s="167"/>
      <c r="P60" s="167"/>
      <c r="Q60" s="167"/>
      <c r="R60" s="167"/>
      <c r="S60" s="167"/>
      <c r="T60" s="167"/>
      <c r="U60" s="167"/>
      <c r="V60" s="167"/>
      <c r="W60" s="167"/>
      <c r="X60" s="167"/>
      <c r="Y60" s="167"/>
      <c r="Z60" s="167"/>
      <c r="AA60" s="167"/>
      <c r="AB60" s="167"/>
      <c r="AC60" s="167"/>
      <c r="AD60" s="167"/>
      <c r="AE60" s="167"/>
      <c r="AF60" s="167"/>
      <c r="AG60" s="167"/>
      <c r="AH60" s="167"/>
      <c r="AI60" s="167"/>
      <c r="AJ60" s="167"/>
      <c r="AK60" s="167"/>
      <c r="AL60" s="167"/>
      <c r="AM60" s="167"/>
      <c r="AN60" s="167"/>
      <c r="AO60" s="167"/>
      <c r="AP60" s="167"/>
      <c r="AQ60" s="167"/>
      <c r="AR60" s="167"/>
      <c r="AS60" s="167"/>
      <c r="AT60" s="167"/>
      <c r="AU60" s="181"/>
    </row>
    <row r="61" spans="1:47" ht="60" customHeight="1" outlineLevel="1" x14ac:dyDescent="0.35">
      <c r="A61" s="176" t="s">
        <v>3785</v>
      </c>
      <c r="B61" s="150" t="s">
        <v>3835</v>
      </c>
      <c r="C61" s="148" t="s">
        <v>3836</v>
      </c>
      <c r="D61" s="154" t="s">
        <v>3837</v>
      </c>
      <c r="E61" s="157" t="s">
        <v>19</v>
      </c>
      <c r="F61" s="160" t="s">
        <v>19</v>
      </c>
      <c r="G61" s="163" t="str">
        <f>IF(COUNTIF(H61:AU61,"&lt;&gt;")=0,"",SUMPRODUCT(((Recommendations[ImplStatus]="Implemented")+(Recommendations[ImplStatus]="Compensated"))*ISNUMBER(MATCH(Recommendations[Id],H61:AU61,0)))/COUNTIF(H61:AU61,"&lt;&gt;"))</f>
        <v/>
      </c>
      <c r="H61" s="166"/>
      <c r="I61" s="166"/>
      <c r="J61" s="166"/>
      <c r="K61" s="166"/>
      <c r="L61" s="166"/>
      <c r="M61" s="166"/>
      <c r="N61" s="166"/>
      <c r="O61" s="166"/>
      <c r="P61" s="166"/>
      <c r="Q61" s="166"/>
      <c r="R61" s="166"/>
      <c r="S61" s="166"/>
      <c r="T61" s="166"/>
      <c r="U61" s="166"/>
      <c r="V61" s="166"/>
      <c r="W61" s="166"/>
      <c r="X61" s="166"/>
      <c r="Y61" s="166"/>
      <c r="Z61" s="166"/>
      <c r="AA61" s="166"/>
      <c r="AB61" s="166"/>
      <c r="AC61" s="166"/>
      <c r="AD61" s="166"/>
      <c r="AE61" s="166"/>
      <c r="AF61" s="166"/>
      <c r="AG61" s="166"/>
      <c r="AH61" s="166"/>
      <c r="AI61" s="166"/>
      <c r="AJ61" s="166"/>
      <c r="AK61" s="166"/>
      <c r="AL61" s="166"/>
      <c r="AM61" s="166"/>
      <c r="AN61" s="166"/>
      <c r="AO61" s="166"/>
      <c r="AP61" s="166"/>
      <c r="AQ61" s="166"/>
      <c r="AR61" s="166"/>
      <c r="AS61" s="166"/>
      <c r="AT61" s="166"/>
      <c r="AU61" s="180"/>
    </row>
    <row r="62" spans="1:47" ht="60" customHeight="1" x14ac:dyDescent="0.35">
      <c r="A62" s="177" t="s">
        <v>3785</v>
      </c>
      <c r="B62" s="151" t="s">
        <v>3835</v>
      </c>
      <c r="C62" s="152" t="s">
        <v>3838</v>
      </c>
      <c r="D62" s="155" t="s">
        <v>3839</v>
      </c>
      <c r="E62" s="158" t="s">
        <v>3840</v>
      </c>
      <c r="F62" s="161" t="s">
        <v>3677</v>
      </c>
      <c r="G62" s="164" t="str">
        <f>IF(COUNTIF(H62:AU62,"&lt;&gt;")=0,"",SUMPRODUCT(((Recommendations[ImplStatus]="Implemented")+(Recommendations[ImplStatus]="Compensated"))*ISNUMBER(MATCH(Recommendations[Id],H62:AU62,0)))/COUNTIF(H62:AU62,"&lt;&gt;"))</f>
        <v/>
      </c>
      <c r="H62" s="167"/>
      <c r="I62" s="167"/>
      <c r="J62" s="167"/>
      <c r="K62" s="167"/>
      <c r="L62" s="167"/>
      <c r="M62" s="167"/>
      <c r="N62" s="167"/>
      <c r="O62" s="167"/>
      <c r="P62" s="167"/>
      <c r="Q62" s="167"/>
      <c r="R62" s="167"/>
      <c r="S62" s="167"/>
      <c r="T62" s="167"/>
      <c r="U62" s="167"/>
      <c r="V62" s="167"/>
      <c r="W62" s="167"/>
      <c r="X62" s="167"/>
      <c r="Y62" s="167"/>
      <c r="Z62" s="167"/>
      <c r="AA62" s="167"/>
      <c r="AB62" s="167"/>
      <c r="AC62" s="167"/>
      <c r="AD62" s="167"/>
      <c r="AE62" s="167"/>
      <c r="AF62" s="167"/>
      <c r="AG62" s="167"/>
      <c r="AH62" s="167"/>
      <c r="AI62" s="167"/>
      <c r="AJ62" s="167"/>
      <c r="AK62" s="167"/>
      <c r="AL62" s="167"/>
      <c r="AM62" s="167"/>
      <c r="AN62" s="167"/>
      <c r="AO62" s="167"/>
      <c r="AP62" s="167"/>
      <c r="AQ62" s="167"/>
      <c r="AR62" s="167"/>
      <c r="AS62" s="167"/>
      <c r="AT62" s="167"/>
      <c r="AU62" s="181"/>
    </row>
    <row r="63" spans="1:47" ht="60" customHeight="1" x14ac:dyDescent="0.35">
      <c r="A63" s="177" t="s">
        <v>3785</v>
      </c>
      <c r="B63" s="151" t="s">
        <v>3835</v>
      </c>
      <c r="C63" s="152" t="s">
        <v>3841</v>
      </c>
      <c r="D63" s="155" t="s">
        <v>3842</v>
      </c>
      <c r="E63" s="158" t="s">
        <v>3843</v>
      </c>
      <c r="F63" s="161" t="s">
        <v>3681</v>
      </c>
      <c r="G63" s="164" t="str">
        <f>IF(COUNTIF(H63:AU63,"&lt;&gt;")=0,"",SUMPRODUCT(((Recommendations[ImplStatus]="Implemented")+(Recommendations[ImplStatus]="Compensated"))*ISNUMBER(MATCH(Recommendations[Id],H63:AU63,0)))/COUNTIF(H63:AU63,"&lt;&gt;"))</f>
        <v/>
      </c>
      <c r="H63" s="167"/>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167"/>
      <c r="AK63" s="167"/>
      <c r="AL63" s="167"/>
      <c r="AM63" s="167"/>
      <c r="AN63" s="167"/>
      <c r="AO63" s="167"/>
      <c r="AP63" s="167"/>
      <c r="AQ63" s="167"/>
      <c r="AR63" s="167"/>
      <c r="AS63" s="167"/>
      <c r="AT63" s="167"/>
      <c r="AU63" s="181"/>
    </row>
    <row r="64" spans="1:47" ht="60" customHeight="1" x14ac:dyDescent="0.35">
      <c r="A64" s="177" t="s">
        <v>3785</v>
      </c>
      <c r="B64" s="151" t="s">
        <v>3835</v>
      </c>
      <c r="C64" s="152" t="s">
        <v>3844</v>
      </c>
      <c r="D64" s="155" t="s">
        <v>3845</v>
      </c>
      <c r="E64" s="158" t="s">
        <v>3846</v>
      </c>
      <c r="F64" s="161" t="s">
        <v>3677</v>
      </c>
      <c r="G64" s="164" t="str">
        <f>IF(COUNTIF(H64:AU64,"&lt;&gt;")=0,"",SUMPRODUCT(((Recommendations[ImplStatus]="Implemented")+(Recommendations[ImplStatus]="Compensated"))*ISNUMBER(MATCH(Recommendations[Id],H64:AU64,0)))/COUNTIF(H64:AU64,"&lt;&gt;"))</f>
        <v/>
      </c>
      <c r="H64" s="167"/>
      <c r="I64" s="167"/>
      <c r="J64" s="167"/>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7"/>
      <c r="AL64" s="167"/>
      <c r="AM64" s="167"/>
      <c r="AN64" s="167"/>
      <c r="AO64" s="167"/>
      <c r="AP64" s="167"/>
      <c r="AQ64" s="167"/>
      <c r="AR64" s="167"/>
      <c r="AS64" s="167"/>
      <c r="AT64" s="167"/>
      <c r="AU64" s="181"/>
    </row>
    <row r="65" spans="1:47" ht="60" customHeight="1" x14ac:dyDescent="0.35">
      <c r="A65" s="177" t="s">
        <v>3785</v>
      </c>
      <c r="B65" s="151" t="s">
        <v>3835</v>
      </c>
      <c r="C65" s="152" t="s">
        <v>3847</v>
      </c>
      <c r="D65" s="155" t="s">
        <v>3848</v>
      </c>
      <c r="E65" s="158" t="s">
        <v>3849</v>
      </c>
      <c r="F65" s="161" t="s">
        <v>3677</v>
      </c>
      <c r="G65" s="164" t="str">
        <f>IF(COUNTIF(H65:AU65,"&lt;&gt;")=0,"",SUMPRODUCT(((Recommendations[ImplStatus]="Implemented")+(Recommendations[ImplStatus]="Compensated"))*ISNUMBER(MATCH(Recommendations[Id],H65:AU65,0)))/COUNTIF(H65:AU65,"&lt;&gt;"))</f>
        <v/>
      </c>
      <c r="H65" s="167"/>
      <c r="I65" s="167"/>
      <c r="J65" s="167"/>
      <c r="K65" s="167"/>
      <c r="L65" s="167"/>
      <c r="M65" s="167"/>
      <c r="N65" s="167"/>
      <c r="O65" s="167"/>
      <c r="P65" s="167"/>
      <c r="Q65" s="167"/>
      <c r="R65" s="167"/>
      <c r="S65" s="167"/>
      <c r="T65" s="167"/>
      <c r="U65" s="167"/>
      <c r="V65" s="167"/>
      <c r="W65" s="167"/>
      <c r="X65" s="167"/>
      <c r="Y65" s="167"/>
      <c r="Z65" s="167"/>
      <c r="AA65" s="167"/>
      <c r="AB65" s="167"/>
      <c r="AC65" s="167"/>
      <c r="AD65" s="167"/>
      <c r="AE65" s="167"/>
      <c r="AF65" s="167"/>
      <c r="AG65" s="167"/>
      <c r="AH65" s="167"/>
      <c r="AI65" s="167"/>
      <c r="AJ65" s="167"/>
      <c r="AK65" s="167"/>
      <c r="AL65" s="167"/>
      <c r="AM65" s="167"/>
      <c r="AN65" s="167"/>
      <c r="AO65" s="167"/>
      <c r="AP65" s="167"/>
      <c r="AQ65" s="167"/>
      <c r="AR65" s="167"/>
      <c r="AS65" s="167"/>
      <c r="AT65" s="167"/>
      <c r="AU65" s="181"/>
    </row>
    <row r="66" spans="1:47" ht="60" customHeight="1" outlineLevel="1" x14ac:dyDescent="0.35">
      <c r="A66" s="176" t="s">
        <v>3785</v>
      </c>
      <c r="B66" s="150" t="s">
        <v>3443</v>
      </c>
      <c r="C66" s="148" t="s">
        <v>3850</v>
      </c>
      <c r="D66" s="154" t="s">
        <v>3851</v>
      </c>
      <c r="E66" s="157" t="s">
        <v>19</v>
      </c>
      <c r="F66" s="160" t="s">
        <v>19</v>
      </c>
      <c r="G66" s="163" t="str">
        <f>IF(COUNTIF(H66:AU66,"&lt;&gt;")=0,"",SUMPRODUCT(((Recommendations[ImplStatus]="Implemented")+(Recommendations[ImplStatus]="Compensated"))*ISNUMBER(MATCH(Recommendations[Id],H66:AU66,0)))/COUNTIF(H66:AU66,"&lt;&gt;"))</f>
        <v/>
      </c>
      <c r="H66" s="166"/>
      <c r="I66" s="166"/>
      <c r="J66" s="166"/>
      <c r="K66" s="166"/>
      <c r="L66" s="166"/>
      <c r="M66" s="166"/>
      <c r="N66" s="166"/>
      <c r="O66" s="166"/>
      <c r="P66" s="166"/>
      <c r="Q66" s="166"/>
      <c r="R66" s="166"/>
      <c r="S66" s="166"/>
      <c r="T66" s="166"/>
      <c r="U66" s="166"/>
      <c r="V66" s="166"/>
      <c r="W66" s="166"/>
      <c r="X66" s="166"/>
      <c r="Y66" s="166"/>
      <c r="Z66" s="166"/>
      <c r="AA66" s="166"/>
      <c r="AB66" s="166"/>
      <c r="AC66" s="166"/>
      <c r="AD66" s="166"/>
      <c r="AE66" s="166"/>
      <c r="AF66" s="166"/>
      <c r="AG66" s="166"/>
      <c r="AH66" s="166"/>
      <c r="AI66" s="166"/>
      <c r="AJ66" s="166"/>
      <c r="AK66" s="166"/>
      <c r="AL66" s="166"/>
      <c r="AM66" s="166"/>
      <c r="AN66" s="166"/>
      <c r="AO66" s="166"/>
      <c r="AP66" s="166"/>
      <c r="AQ66" s="166"/>
      <c r="AR66" s="166"/>
      <c r="AS66" s="166"/>
      <c r="AT66" s="166"/>
      <c r="AU66" s="180"/>
    </row>
    <row r="67" spans="1:47" ht="60" customHeight="1" x14ac:dyDescent="0.35">
      <c r="A67" s="177" t="s">
        <v>3785</v>
      </c>
      <c r="B67" s="151" t="s">
        <v>3443</v>
      </c>
      <c r="C67" s="152" t="s">
        <v>3852</v>
      </c>
      <c r="D67" s="155" t="s">
        <v>3853</v>
      </c>
      <c r="E67" s="158" t="s">
        <v>3854</v>
      </c>
      <c r="F67" s="161" t="s">
        <v>3677</v>
      </c>
      <c r="G67" s="164" t="str">
        <f>IF(COUNTIF(H67:AU67,"&lt;&gt;")=0,"",SUMPRODUCT(((Recommendations[ImplStatus]="Implemented")+(Recommendations[ImplStatus]="Compensated"))*ISNUMBER(MATCH(Recommendations[Id],H67:AU67,0)))/COUNTIF(H67:AU67,"&lt;&gt;"))</f>
        <v/>
      </c>
      <c r="H67" s="167"/>
      <c r="I67" s="167"/>
      <c r="J67" s="167"/>
      <c r="K67" s="167"/>
      <c r="L67" s="167"/>
      <c r="M67" s="167"/>
      <c r="N67" s="167"/>
      <c r="O67" s="167"/>
      <c r="P67" s="167"/>
      <c r="Q67" s="167"/>
      <c r="R67" s="167"/>
      <c r="S67" s="167"/>
      <c r="T67" s="167"/>
      <c r="U67" s="167"/>
      <c r="V67" s="167"/>
      <c r="W67" s="167"/>
      <c r="X67" s="167"/>
      <c r="Y67" s="167"/>
      <c r="Z67" s="167"/>
      <c r="AA67" s="167"/>
      <c r="AB67" s="167"/>
      <c r="AC67" s="167"/>
      <c r="AD67" s="167"/>
      <c r="AE67" s="167"/>
      <c r="AF67" s="167"/>
      <c r="AG67" s="167"/>
      <c r="AH67" s="167"/>
      <c r="AI67" s="167"/>
      <c r="AJ67" s="167"/>
      <c r="AK67" s="167"/>
      <c r="AL67" s="167"/>
      <c r="AM67" s="167"/>
      <c r="AN67" s="167"/>
      <c r="AO67" s="167"/>
      <c r="AP67" s="167"/>
      <c r="AQ67" s="167"/>
      <c r="AR67" s="167"/>
      <c r="AS67" s="167"/>
      <c r="AT67" s="167"/>
      <c r="AU67" s="181"/>
    </row>
    <row r="68" spans="1:47" ht="60" customHeight="1" x14ac:dyDescent="0.35">
      <c r="A68" s="177" t="s">
        <v>3785</v>
      </c>
      <c r="B68" s="151" t="s">
        <v>3443</v>
      </c>
      <c r="C68" s="152" t="s">
        <v>3855</v>
      </c>
      <c r="D68" s="155" t="s">
        <v>3856</v>
      </c>
      <c r="E68" s="158" t="s">
        <v>3857</v>
      </c>
      <c r="F68" s="161" t="s">
        <v>3677</v>
      </c>
      <c r="G68" s="164" t="str">
        <f>IF(COUNTIF(H68:AU68,"&lt;&gt;")=0,"",SUMPRODUCT(((Recommendations[ImplStatus]="Implemented")+(Recommendations[ImplStatus]="Compensated"))*ISNUMBER(MATCH(Recommendations[Id],H68:AU68,0)))/COUNTIF(H68:AU68,"&lt;&gt;"))</f>
        <v/>
      </c>
      <c r="H68" s="167"/>
      <c r="I68" s="167"/>
      <c r="J68" s="167"/>
      <c r="K68" s="167"/>
      <c r="L68" s="167"/>
      <c r="M68" s="167"/>
      <c r="N68" s="167"/>
      <c r="O68" s="167"/>
      <c r="P68" s="167"/>
      <c r="Q68" s="167"/>
      <c r="R68" s="167"/>
      <c r="S68" s="167"/>
      <c r="T68" s="167"/>
      <c r="U68" s="167"/>
      <c r="V68" s="167"/>
      <c r="W68" s="167"/>
      <c r="X68" s="167"/>
      <c r="Y68" s="167"/>
      <c r="Z68" s="167"/>
      <c r="AA68" s="167"/>
      <c r="AB68" s="167"/>
      <c r="AC68" s="167"/>
      <c r="AD68" s="167"/>
      <c r="AE68" s="167"/>
      <c r="AF68" s="167"/>
      <c r="AG68" s="167"/>
      <c r="AH68" s="167"/>
      <c r="AI68" s="167"/>
      <c r="AJ68" s="167"/>
      <c r="AK68" s="167"/>
      <c r="AL68" s="167"/>
      <c r="AM68" s="167"/>
      <c r="AN68" s="167"/>
      <c r="AO68" s="167"/>
      <c r="AP68" s="167"/>
      <c r="AQ68" s="167"/>
      <c r="AR68" s="167"/>
      <c r="AS68" s="167"/>
      <c r="AT68" s="167"/>
      <c r="AU68" s="181"/>
    </row>
    <row r="69" spans="1:47" ht="60" customHeight="1" x14ac:dyDescent="0.35">
      <c r="A69" s="177" t="s">
        <v>3785</v>
      </c>
      <c r="B69" s="151" t="s">
        <v>3443</v>
      </c>
      <c r="C69" s="152" t="s">
        <v>3858</v>
      </c>
      <c r="D69" s="155" t="s">
        <v>3859</v>
      </c>
      <c r="E69" s="158" t="s">
        <v>3860</v>
      </c>
      <c r="F69" s="161" t="s">
        <v>3681</v>
      </c>
      <c r="G69" s="164" t="str">
        <f>IF(COUNTIF(H69:AU69,"&lt;&gt;")=0,"",SUMPRODUCT(((Recommendations[ImplStatus]="Implemented")+(Recommendations[ImplStatus]="Compensated"))*ISNUMBER(MATCH(Recommendations[Id],H69:AU69,0)))/COUNTIF(H69:AU69,"&lt;&gt;"))</f>
        <v/>
      </c>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167"/>
      <c r="AI69" s="167"/>
      <c r="AJ69" s="167"/>
      <c r="AK69" s="167"/>
      <c r="AL69" s="167"/>
      <c r="AM69" s="167"/>
      <c r="AN69" s="167"/>
      <c r="AO69" s="167"/>
      <c r="AP69" s="167"/>
      <c r="AQ69" s="167"/>
      <c r="AR69" s="167"/>
      <c r="AS69" s="167"/>
      <c r="AT69" s="167"/>
      <c r="AU69" s="181"/>
    </row>
    <row r="70" spans="1:47" ht="60" customHeight="1" x14ac:dyDescent="0.35">
      <c r="A70" s="177" t="s">
        <v>3785</v>
      </c>
      <c r="B70" s="151" t="s">
        <v>3443</v>
      </c>
      <c r="C70" s="152" t="s">
        <v>3861</v>
      </c>
      <c r="D70" s="155" t="s">
        <v>3862</v>
      </c>
      <c r="E70" s="158" t="s">
        <v>3863</v>
      </c>
      <c r="F70" s="161" t="s">
        <v>3677</v>
      </c>
      <c r="G70" s="164" t="str">
        <f>IF(COUNTIF(H70:AU70,"&lt;&gt;")=0,"",SUMPRODUCT(((Recommendations[ImplStatus]="Implemented")+(Recommendations[ImplStatus]="Compensated"))*ISNUMBER(MATCH(Recommendations[Id],H70:AU70,0)))/COUNTIF(H70:AU70,"&lt;&gt;"))</f>
        <v/>
      </c>
      <c r="H70" s="167"/>
      <c r="I70" s="167"/>
      <c r="J70" s="167"/>
      <c r="K70" s="167"/>
      <c r="L70" s="167"/>
      <c r="M70" s="167"/>
      <c r="N70" s="167"/>
      <c r="O70" s="167"/>
      <c r="P70" s="167"/>
      <c r="Q70" s="167"/>
      <c r="R70" s="167"/>
      <c r="S70" s="167"/>
      <c r="T70" s="167"/>
      <c r="U70" s="167"/>
      <c r="V70" s="167"/>
      <c r="W70" s="167"/>
      <c r="X70" s="167"/>
      <c r="Y70" s="167"/>
      <c r="Z70" s="167"/>
      <c r="AA70" s="167"/>
      <c r="AB70" s="167"/>
      <c r="AC70" s="167"/>
      <c r="AD70" s="167"/>
      <c r="AE70" s="167"/>
      <c r="AF70" s="167"/>
      <c r="AG70" s="167"/>
      <c r="AH70" s="167"/>
      <c r="AI70" s="167"/>
      <c r="AJ70" s="167"/>
      <c r="AK70" s="167"/>
      <c r="AL70" s="167"/>
      <c r="AM70" s="167"/>
      <c r="AN70" s="167"/>
      <c r="AO70" s="167"/>
      <c r="AP70" s="167"/>
      <c r="AQ70" s="167"/>
      <c r="AR70" s="167"/>
      <c r="AS70" s="167"/>
      <c r="AT70" s="167"/>
      <c r="AU70" s="181"/>
    </row>
    <row r="71" spans="1:47" ht="60" customHeight="1" x14ac:dyDescent="0.35">
      <c r="A71" s="177" t="s">
        <v>3785</v>
      </c>
      <c r="B71" s="151" t="s">
        <v>3443</v>
      </c>
      <c r="C71" s="152" t="s">
        <v>3864</v>
      </c>
      <c r="D71" s="155" t="s">
        <v>3865</v>
      </c>
      <c r="E71" s="158" t="s">
        <v>3866</v>
      </c>
      <c r="F71" s="161" t="s">
        <v>3677</v>
      </c>
      <c r="G71" s="164" t="str">
        <f>IF(COUNTIF(H71:AU71,"&lt;&gt;")=0,"",SUMPRODUCT(((Recommendations[ImplStatus]="Implemented")+(Recommendations[ImplStatus]="Compensated"))*ISNUMBER(MATCH(Recommendations[Id],H71:AU71,0)))/COUNTIF(H71:AU71,"&lt;&gt;"))</f>
        <v/>
      </c>
      <c r="H71" s="167"/>
      <c r="I71" s="167"/>
      <c r="J71" s="167"/>
      <c r="K71" s="167"/>
      <c r="L71" s="167"/>
      <c r="M71" s="167"/>
      <c r="N71" s="167"/>
      <c r="O71" s="167"/>
      <c r="P71" s="167"/>
      <c r="Q71" s="167"/>
      <c r="R71" s="167"/>
      <c r="S71" s="167"/>
      <c r="T71" s="167"/>
      <c r="U71" s="167"/>
      <c r="V71" s="167"/>
      <c r="W71" s="167"/>
      <c r="X71" s="167"/>
      <c r="Y71" s="167"/>
      <c r="Z71" s="167"/>
      <c r="AA71" s="167"/>
      <c r="AB71" s="167"/>
      <c r="AC71" s="167"/>
      <c r="AD71" s="167"/>
      <c r="AE71" s="167"/>
      <c r="AF71" s="167"/>
      <c r="AG71" s="167"/>
      <c r="AH71" s="167"/>
      <c r="AI71" s="167"/>
      <c r="AJ71" s="167"/>
      <c r="AK71" s="167"/>
      <c r="AL71" s="167"/>
      <c r="AM71" s="167"/>
      <c r="AN71" s="167"/>
      <c r="AO71" s="167"/>
      <c r="AP71" s="167"/>
      <c r="AQ71" s="167"/>
      <c r="AR71" s="167"/>
      <c r="AS71" s="167"/>
      <c r="AT71" s="167"/>
      <c r="AU71" s="181"/>
    </row>
    <row r="72" spans="1:47" ht="60" customHeight="1" x14ac:dyDescent="0.35">
      <c r="A72" s="177" t="s">
        <v>3785</v>
      </c>
      <c r="B72" s="151" t="s">
        <v>3443</v>
      </c>
      <c r="C72" s="152" t="s">
        <v>3867</v>
      </c>
      <c r="D72" s="155" t="s">
        <v>3868</v>
      </c>
      <c r="E72" s="158" t="s">
        <v>3869</v>
      </c>
      <c r="F72" s="161" t="s">
        <v>3677</v>
      </c>
      <c r="G72" s="164" t="str">
        <f>IF(COUNTIF(H72:AU72,"&lt;&gt;")=0,"",SUMPRODUCT(((Recommendations[ImplStatus]="Implemented")+(Recommendations[ImplStatus]="Compensated"))*ISNUMBER(MATCH(Recommendations[Id],H72:AU72,0)))/COUNTIF(H72:AU72,"&lt;&gt;"))</f>
        <v/>
      </c>
      <c r="H72" s="167"/>
      <c r="I72" s="167"/>
      <c r="J72" s="167"/>
      <c r="K72" s="167"/>
      <c r="L72" s="167"/>
      <c r="M72" s="167"/>
      <c r="N72" s="167"/>
      <c r="O72" s="167"/>
      <c r="P72" s="167"/>
      <c r="Q72" s="167"/>
      <c r="R72" s="167"/>
      <c r="S72" s="167"/>
      <c r="T72" s="167"/>
      <c r="U72" s="167"/>
      <c r="V72" s="167"/>
      <c r="W72" s="167"/>
      <c r="X72" s="167"/>
      <c r="Y72" s="167"/>
      <c r="Z72" s="167"/>
      <c r="AA72" s="167"/>
      <c r="AB72" s="167"/>
      <c r="AC72" s="167"/>
      <c r="AD72" s="167"/>
      <c r="AE72" s="167"/>
      <c r="AF72" s="167"/>
      <c r="AG72" s="167"/>
      <c r="AH72" s="167"/>
      <c r="AI72" s="167"/>
      <c r="AJ72" s="167"/>
      <c r="AK72" s="167"/>
      <c r="AL72" s="167"/>
      <c r="AM72" s="167"/>
      <c r="AN72" s="167"/>
      <c r="AO72" s="167"/>
      <c r="AP72" s="167"/>
      <c r="AQ72" s="167"/>
      <c r="AR72" s="167"/>
      <c r="AS72" s="167"/>
      <c r="AT72" s="167"/>
      <c r="AU72" s="181"/>
    </row>
    <row r="73" spans="1:47" ht="60" customHeight="1" x14ac:dyDescent="0.35">
      <c r="A73" s="177" t="s">
        <v>3785</v>
      </c>
      <c r="B73" s="151" t="s">
        <v>3443</v>
      </c>
      <c r="C73" s="152" t="s">
        <v>3870</v>
      </c>
      <c r="D73" s="155" t="s">
        <v>3871</v>
      </c>
      <c r="E73" s="158" t="s">
        <v>3872</v>
      </c>
      <c r="F73" s="161" t="s">
        <v>19</v>
      </c>
      <c r="G73" s="164" t="str">
        <f>IF(COUNTIF(H73:AU73,"&lt;&gt;")=0,"",SUMPRODUCT(((Recommendations[ImplStatus]="Implemented")+(Recommendations[ImplStatus]="Compensated"))*ISNUMBER(MATCH(Recommendations[Id],H73:AU73,0)))/COUNTIF(H73:AU73,"&lt;&gt;"))</f>
        <v/>
      </c>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G73" s="167"/>
      <c r="AH73" s="167"/>
      <c r="AI73" s="167"/>
      <c r="AJ73" s="167"/>
      <c r="AK73" s="167"/>
      <c r="AL73" s="167"/>
      <c r="AM73" s="167"/>
      <c r="AN73" s="167"/>
      <c r="AO73" s="167"/>
      <c r="AP73" s="167"/>
      <c r="AQ73" s="167"/>
      <c r="AR73" s="167"/>
      <c r="AS73" s="167"/>
      <c r="AT73" s="167"/>
      <c r="AU73" s="181"/>
    </row>
    <row r="74" spans="1:47" ht="60" customHeight="1" x14ac:dyDescent="0.35">
      <c r="A74" s="177" t="s">
        <v>3785</v>
      </c>
      <c r="B74" s="151" t="s">
        <v>3443</v>
      </c>
      <c r="C74" s="152" t="s">
        <v>3873</v>
      </c>
      <c r="D74" s="155" t="s">
        <v>3874</v>
      </c>
      <c r="E74" s="158" t="s">
        <v>3875</v>
      </c>
      <c r="F74" s="161" t="s">
        <v>3681</v>
      </c>
      <c r="G74" s="164" t="str">
        <f>IF(COUNTIF(H74:AU74,"&lt;&gt;")=0,"",SUMPRODUCT(((Recommendations[ImplStatus]="Implemented")+(Recommendations[ImplStatus]="Compensated"))*ISNUMBER(MATCH(Recommendations[Id],H74:AU74,0)))/COUNTIF(H74:AU74,"&lt;&gt;"))</f>
        <v/>
      </c>
      <c r="H74" s="167"/>
      <c r="I74" s="167"/>
      <c r="J74" s="167"/>
      <c r="K74" s="167"/>
      <c r="L74" s="167"/>
      <c r="M74" s="167"/>
      <c r="N74" s="167"/>
      <c r="O74" s="167"/>
      <c r="P74" s="167"/>
      <c r="Q74" s="167"/>
      <c r="R74" s="167"/>
      <c r="S74" s="167"/>
      <c r="T74" s="167"/>
      <c r="U74" s="167"/>
      <c r="V74" s="167"/>
      <c r="W74" s="167"/>
      <c r="X74" s="167"/>
      <c r="Y74" s="167"/>
      <c r="Z74" s="167"/>
      <c r="AA74" s="167"/>
      <c r="AB74" s="167"/>
      <c r="AC74" s="167"/>
      <c r="AD74" s="167"/>
      <c r="AE74" s="167"/>
      <c r="AF74" s="167"/>
      <c r="AG74" s="167"/>
      <c r="AH74" s="167"/>
      <c r="AI74" s="167"/>
      <c r="AJ74" s="167"/>
      <c r="AK74" s="167"/>
      <c r="AL74" s="167"/>
      <c r="AM74" s="167"/>
      <c r="AN74" s="167"/>
      <c r="AO74" s="167"/>
      <c r="AP74" s="167"/>
      <c r="AQ74" s="167"/>
      <c r="AR74" s="167"/>
      <c r="AS74" s="167"/>
      <c r="AT74" s="167"/>
      <c r="AU74" s="181"/>
    </row>
    <row r="75" spans="1:47" ht="60" customHeight="1" x14ac:dyDescent="0.35">
      <c r="A75" s="177" t="s">
        <v>3785</v>
      </c>
      <c r="B75" s="151" t="s">
        <v>3443</v>
      </c>
      <c r="C75" s="152" t="s">
        <v>3876</v>
      </c>
      <c r="D75" s="155" t="s">
        <v>3877</v>
      </c>
      <c r="E75" s="158" t="s">
        <v>3878</v>
      </c>
      <c r="F75" s="161" t="s">
        <v>3691</v>
      </c>
      <c r="G75" s="164" t="str">
        <f>IF(COUNTIF(H75:AU75,"&lt;&gt;")=0,"",SUMPRODUCT(((Recommendations[ImplStatus]="Implemented")+(Recommendations[ImplStatus]="Compensated"))*ISNUMBER(MATCH(Recommendations[Id],H75:AU75,0)))/COUNTIF(H75:AU75,"&lt;&gt;"))</f>
        <v/>
      </c>
      <c r="H75" s="167"/>
      <c r="I75" s="167"/>
      <c r="J75" s="167"/>
      <c r="K75" s="167"/>
      <c r="L75" s="167"/>
      <c r="M75" s="167"/>
      <c r="N75" s="167"/>
      <c r="O75" s="167"/>
      <c r="P75" s="167"/>
      <c r="Q75" s="167"/>
      <c r="R75" s="167"/>
      <c r="S75" s="167"/>
      <c r="T75" s="167"/>
      <c r="U75" s="167"/>
      <c r="V75" s="167"/>
      <c r="W75" s="167"/>
      <c r="X75" s="167"/>
      <c r="Y75" s="167"/>
      <c r="Z75" s="167"/>
      <c r="AA75" s="167"/>
      <c r="AB75" s="167"/>
      <c r="AC75" s="167"/>
      <c r="AD75" s="167"/>
      <c r="AE75" s="167"/>
      <c r="AF75" s="167"/>
      <c r="AG75" s="167"/>
      <c r="AH75" s="167"/>
      <c r="AI75" s="167"/>
      <c r="AJ75" s="167"/>
      <c r="AK75" s="167"/>
      <c r="AL75" s="167"/>
      <c r="AM75" s="167"/>
      <c r="AN75" s="167"/>
      <c r="AO75" s="167"/>
      <c r="AP75" s="167"/>
      <c r="AQ75" s="167"/>
      <c r="AR75" s="167"/>
      <c r="AS75" s="167"/>
      <c r="AT75" s="167"/>
      <c r="AU75" s="181"/>
    </row>
    <row r="76" spans="1:47" ht="60" customHeight="1" x14ac:dyDescent="0.35">
      <c r="A76" s="177" t="s">
        <v>3785</v>
      </c>
      <c r="B76" s="151" t="s">
        <v>3443</v>
      </c>
      <c r="C76" s="152" t="s">
        <v>3879</v>
      </c>
      <c r="D76" s="155" t="s">
        <v>3880</v>
      </c>
      <c r="E76" s="158" t="s">
        <v>3881</v>
      </c>
      <c r="F76" s="161" t="s">
        <v>19</v>
      </c>
      <c r="G76" s="164" t="str">
        <f>IF(COUNTIF(H76:AU76,"&lt;&gt;")=0,"",SUMPRODUCT(((Recommendations[ImplStatus]="Implemented")+(Recommendations[ImplStatus]="Compensated"))*ISNUMBER(MATCH(Recommendations[Id],H76:AU76,0)))/COUNTIF(H76:AU76,"&lt;&gt;"))</f>
        <v/>
      </c>
      <c r="H76" s="167"/>
      <c r="I76" s="167"/>
      <c r="J76" s="167"/>
      <c r="K76" s="167"/>
      <c r="L76" s="167"/>
      <c r="M76" s="167"/>
      <c r="N76" s="167"/>
      <c r="O76" s="167"/>
      <c r="P76" s="167"/>
      <c r="Q76" s="167"/>
      <c r="R76" s="167"/>
      <c r="S76" s="167"/>
      <c r="T76" s="167"/>
      <c r="U76" s="167"/>
      <c r="V76" s="167"/>
      <c r="W76" s="167"/>
      <c r="X76" s="167"/>
      <c r="Y76" s="167"/>
      <c r="Z76" s="167"/>
      <c r="AA76" s="167"/>
      <c r="AB76" s="167"/>
      <c r="AC76" s="167"/>
      <c r="AD76" s="167"/>
      <c r="AE76" s="167"/>
      <c r="AF76" s="167"/>
      <c r="AG76" s="167"/>
      <c r="AH76" s="167"/>
      <c r="AI76" s="167"/>
      <c r="AJ76" s="167"/>
      <c r="AK76" s="167"/>
      <c r="AL76" s="167"/>
      <c r="AM76" s="167"/>
      <c r="AN76" s="167"/>
      <c r="AO76" s="167"/>
      <c r="AP76" s="167"/>
      <c r="AQ76" s="167"/>
      <c r="AR76" s="167"/>
      <c r="AS76" s="167"/>
      <c r="AT76" s="167"/>
      <c r="AU76" s="181"/>
    </row>
    <row r="77" spans="1:47" ht="60" customHeight="1" outlineLevel="1" x14ac:dyDescent="0.35">
      <c r="A77" s="176" t="s">
        <v>3785</v>
      </c>
      <c r="B77" s="150" t="s">
        <v>3713</v>
      </c>
      <c r="C77" s="148" t="s">
        <v>3882</v>
      </c>
      <c r="D77" s="154"/>
      <c r="E77" s="157" t="s">
        <v>19</v>
      </c>
      <c r="F77" s="160" t="s">
        <v>19</v>
      </c>
      <c r="G77" s="163" t="str">
        <f>IF(COUNTIF(H77:AU77,"&lt;&gt;")=0,"",SUMPRODUCT(((Recommendations[ImplStatus]="Implemented")+(Recommendations[ImplStatus]="Compensated"))*ISNUMBER(MATCH(Recommendations[Id],H77:AU77,0)))/COUNTIF(H77:AU77,"&lt;&gt;"))</f>
        <v/>
      </c>
      <c r="H77" s="166"/>
      <c r="I77" s="166"/>
      <c r="J77" s="166"/>
      <c r="K77" s="166"/>
      <c r="L77" s="166"/>
      <c r="M77" s="166"/>
      <c r="N77" s="166"/>
      <c r="O77" s="166"/>
      <c r="P77" s="166"/>
      <c r="Q77" s="166"/>
      <c r="R77" s="166"/>
      <c r="S77" s="166"/>
      <c r="T77" s="166"/>
      <c r="U77" s="166"/>
      <c r="V77" s="166"/>
      <c r="W77" s="166"/>
      <c r="X77" s="166"/>
      <c r="Y77" s="166"/>
      <c r="Z77" s="166"/>
      <c r="AA77" s="166"/>
      <c r="AB77" s="166"/>
      <c r="AC77" s="166"/>
      <c r="AD77" s="166"/>
      <c r="AE77" s="166"/>
      <c r="AF77" s="166"/>
      <c r="AG77" s="166"/>
      <c r="AH77" s="166"/>
      <c r="AI77" s="166"/>
      <c r="AJ77" s="166"/>
      <c r="AK77" s="166"/>
      <c r="AL77" s="166"/>
      <c r="AM77" s="166"/>
      <c r="AN77" s="166"/>
      <c r="AO77" s="166"/>
      <c r="AP77" s="166"/>
      <c r="AQ77" s="166"/>
      <c r="AR77" s="166"/>
      <c r="AS77" s="166"/>
      <c r="AT77" s="166"/>
      <c r="AU77" s="180"/>
    </row>
    <row r="78" spans="1:47" ht="60" customHeight="1" x14ac:dyDescent="0.35">
      <c r="A78" s="177" t="s">
        <v>3785</v>
      </c>
      <c r="B78" s="151" t="s">
        <v>3713</v>
      </c>
      <c r="C78" s="152" t="s">
        <v>3883</v>
      </c>
      <c r="D78" s="155" t="s">
        <v>3884</v>
      </c>
      <c r="E78" s="158"/>
      <c r="F78" s="161" t="s">
        <v>19</v>
      </c>
      <c r="G78" s="164" t="str">
        <f>IF(COUNTIF(H78:AU78,"&lt;&gt;")=0,"",SUMPRODUCT(((Recommendations[ImplStatus]="Implemented")+(Recommendations[ImplStatus]="Compensated"))*ISNUMBER(MATCH(Recommendations[Id],H78:AU78,0)))/COUNTIF(H78:AU78,"&lt;&gt;"))</f>
        <v/>
      </c>
      <c r="H78" s="167"/>
      <c r="I78" s="167"/>
      <c r="J78" s="167"/>
      <c r="K78" s="167"/>
      <c r="L78" s="167"/>
      <c r="M78" s="167"/>
      <c r="N78" s="167"/>
      <c r="O78" s="167"/>
      <c r="P78" s="167"/>
      <c r="Q78" s="167"/>
      <c r="R78" s="167"/>
      <c r="S78" s="167"/>
      <c r="T78" s="167"/>
      <c r="U78" s="167"/>
      <c r="V78" s="167"/>
      <c r="W78" s="167"/>
      <c r="X78" s="167"/>
      <c r="Y78" s="167"/>
      <c r="Z78" s="167"/>
      <c r="AA78" s="167"/>
      <c r="AB78" s="167"/>
      <c r="AC78" s="167"/>
      <c r="AD78" s="167"/>
      <c r="AE78" s="167"/>
      <c r="AF78" s="167"/>
      <c r="AG78" s="167"/>
      <c r="AH78" s="167"/>
      <c r="AI78" s="167"/>
      <c r="AJ78" s="167"/>
      <c r="AK78" s="167"/>
      <c r="AL78" s="167"/>
      <c r="AM78" s="167"/>
      <c r="AN78" s="167"/>
      <c r="AO78" s="167"/>
      <c r="AP78" s="167"/>
      <c r="AQ78" s="167"/>
      <c r="AR78" s="167"/>
      <c r="AS78" s="167"/>
      <c r="AT78" s="167"/>
      <c r="AU78" s="181"/>
    </row>
    <row r="79" spans="1:47" ht="60" customHeight="1" x14ac:dyDescent="0.35">
      <c r="A79" s="177" t="s">
        <v>3785</v>
      </c>
      <c r="B79" s="151" t="s">
        <v>3713</v>
      </c>
      <c r="C79" s="152" t="s">
        <v>3885</v>
      </c>
      <c r="D79" s="155" t="s">
        <v>3886</v>
      </c>
      <c r="E79" s="158"/>
      <c r="F79" s="161" t="s">
        <v>19</v>
      </c>
      <c r="G79" s="164" t="str">
        <f>IF(COUNTIF(H79:AU79,"&lt;&gt;")=0,"",SUMPRODUCT(((Recommendations[ImplStatus]="Implemented")+(Recommendations[ImplStatus]="Compensated"))*ISNUMBER(MATCH(Recommendations[Id],H79:AU79,0)))/COUNTIF(H79:AU79,"&lt;&gt;"))</f>
        <v/>
      </c>
      <c r="H79" s="167"/>
      <c r="I79" s="167"/>
      <c r="J79" s="167"/>
      <c r="K79" s="167"/>
      <c r="L79" s="167"/>
      <c r="M79" s="167"/>
      <c r="N79" s="167"/>
      <c r="O79" s="167"/>
      <c r="P79" s="167"/>
      <c r="Q79" s="167"/>
      <c r="R79" s="167"/>
      <c r="S79" s="167"/>
      <c r="T79" s="167"/>
      <c r="U79" s="167"/>
      <c r="V79" s="167"/>
      <c r="W79" s="167"/>
      <c r="X79" s="167"/>
      <c r="Y79" s="167"/>
      <c r="Z79" s="167"/>
      <c r="AA79" s="167"/>
      <c r="AB79" s="167"/>
      <c r="AC79" s="167"/>
      <c r="AD79" s="167"/>
      <c r="AE79" s="167"/>
      <c r="AF79" s="167"/>
      <c r="AG79" s="167"/>
      <c r="AH79" s="167"/>
      <c r="AI79" s="167"/>
      <c r="AJ79" s="167"/>
      <c r="AK79" s="167"/>
      <c r="AL79" s="167"/>
      <c r="AM79" s="167"/>
      <c r="AN79" s="167"/>
      <c r="AO79" s="167"/>
      <c r="AP79" s="167"/>
      <c r="AQ79" s="167"/>
      <c r="AR79" s="167"/>
      <c r="AS79" s="167"/>
      <c r="AT79" s="167"/>
      <c r="AU79" s="181"/>
    </row>
    <row r="80" spans="1:47" ht="60" customHeight="1" x14ac:dyDescent="0.35">
      <c r="A80" s="177" t="s">
        <v>3785</v>
      </c>
      <c r="B80" s="151" t="s">
        <v>3713</v>
      </c>
      <c r="C80" s="152" t="s">
        <v>3887</v>
      </c>
      <c r="D80" s="155" t="s">
        <v>3888</v>
      </c>
      <c r="E80" s="158"/>
      <c r="F80" s="161" t="s">
        <v>19</v>
      </c>
      <c r="G80" s="164" t="str">
        <f>IF(COUNTIF(H80:AU80,"&lt;&gt;")=0,"",SUMPRODUCT(((Recommendations[ImplStatus]="Implemented")+(Recommendations[ImplStatus]="Compensated"))*ISNUMBER(MATCH(Recommendations[Id],H80:AU80,0)))/COUNTIF(H80:AU80,"&lt;&gt;"))</f>
        <v/>
      </c>
      <c r="H80" s="167"/>
      <c r="I80" s="167"/>
      <c r="J80" s="167"/>
      <c r="K80" s="167"/>
      <c r="L80" s="167"/>
      <c r="M80" s="167"/>
      <c r="N80" s="167"/>
      <c r="O80" s="167"/>
      <c r="P80" s="167"/>
      <c r="Q80" s="167"/>
      <c r="R80" s="167"/>
      <c r="S80" s="167"/>
      <c r="T80" s="167"/>
      <c r="U80" s="167"/>
      <c r="V80" s="167"/>
      <c r="W80" s="167"/>
      <c r="X80" s="167"/>
      <c r="Y80" s="167"/>
      <c r="Z80" s="167"/>
      <c r="AA80" s="167"/>
      <c r="AB80" s="167"/>
      <c r="AC80" s="167"/>
      <c r="AD80" s="167"/>
      <c r="AE80" s="167"/>
      <c r="AF80" s="167"/>
      <c r="AG80" s="167"/>
      <c r="AH80" s="167"/>
      <c r="AI80" s="167"/>
      <c r="AJ80" s="167"/>
      <c r="AK80" s="167"/>
      <c r="AL80" s="167"/>
      <c r="AM80" s="167"/>
      <c r="AN80" s="167"/>
      <c r="AO80" s="167"/>
      <c r="AP80" s="167"/>
      <c r="AQ80" s="167"/>
      <c r="AR80" s="167"/>
      <c r="AS80" s="167"/>
      <c r="AT80" s="167"/>
      <c r="AU80" s="181"/>
    </row>
    <row r="81" spans="1:47" ht="60" customHeight="1" outlineLevel="1" x14ac:dyDescent="0.35">
      <c r="A81" s="176" t="s">
        <v>3785</v>
      </c>
      <c r="B81" s="150" t="s">
        <v>3641</v>
      </c>
      <c r="C81" s="148" t="s">
        <v>3889</v>
      </c>
      <c r="D81" s="154"/>
      <c r="E81" s="157" t="s">
        <v>19</v>
      </c>
      <c r="F81" s="160" t="s">
        <v>19</v>
      </c>
      <c r="G81" s="163" t="str">
        <f>IF(COUNTIF(H81:AU81,"&lt;&gt;")=0,"",SUMPRODUCT(((Recommendations[ImplStatus]="Implemented")+(Recommendations[ImplStatus]="Compensated"))*ISNUMBER(MATCH(Recommendations[Id],H81:AU81,0)))/COUNTIF(H81:AU81,"&lt;&gt;"))</f>
        <v/>
      </c>
      <c r="H81" s="166"/>
      <c r="I81" s="166"/>
      <c r="J81" s="166"/>
      <c r="K81" s="166"/>
      <c r="L81" s="166"/>
      <c r="M81" s="166"/>
      <c r="N81" s="166"/>
      <c r="O81" s="166"/>
      <c r="P81" s="166"/>
      <c r="Q81" s="166"/>
      <c r="R81" s="166"/>
      <c r="S81" s="166"/>
      <c r="T81" s="166"/>
      <c r="U81" s="166"/>
      <c r="V81" s="166"/>
      <c r="W81" s="166"/>
      <c r="X81" s="166"/>
      <c r="Y81" s="166"/>
      <c r="Z81" s="166"/>
      <c r="AA81" s="166"/>
      <c r="AB81" s="166"/>
      <c r="AC81" s="166"/>
      <c r="AD81" s="166"/>
      <c r="AE81" s="166"/>
      <c r="AF81" s="166"/>
      <c r="AG81" s="166"/>
      <c r="AH81" s="166"/>
      <c r="AI81" s="166"/>
      <c r="AJ81" s="166"/>
      <c r="AK81" s="166"/>
      <c r="AL81" s="166"/>
      <c r="AM81" s="166"/>
      <c r="AN81" s="166"/>
      <c r="AO81" s="166"/>
      <c r="AP81" s="166"/>
      <c r="AQ81" s="166"/>
      <c r="AR81" s="166"/>
      <c r="AS81" s="166"/>
      <c r="AT81" s="166"/>
      <c r="AU81" s="180"/>
    </row>
    <row r="82" spans="1:47" ht="60" customHeight="1" x14ac:dyDescent="0.35">
      <c r="A82" s="177" t="s">
        <v>3785</v>
      </c>
      <c r="B82" s="151" t="s">
        <v>3641</v>
      </c>
      <c r="C82" s="152" t="s">
        <v>3890</v>
      </c>
      <c r="D82" s="155" t="s">
        <v>3891</v>
      </c>
      <c r="E82" s="158"/>
      <c r="F82" s="161" t="s">
        <v>19</v>
      </c>
      <c r="G82" s="164" t="str">
        <f>IF(COUNTIF(H82:AU82,"&lt;&gt;")=0,"",SUMPRODUCT(((Recommendations[ImplStatus]="Implemented")+(Recommendations[ImplStatus]="Compensated"))*ISNUMBER(MATCH(Recommendations[Id],H82:AU82,0)))/COUNTIF(H82:AU82,"&lt;&gt;"))</f>
        <v/>
      </c>
      <c r="H82" s="167"/>
      <c r="I82" s="167"/>
      <c r="J82" s="167"/>
      <c r="K82" s="167"/>
      <c r="L82" s="167"/>
      <c r="M82" s="167"/>
      <c r="N82" s="167"/>
      <c r="O82" s="167"/>
      <c r="P82" s="167"/>
      <c r="Q82" s="167"/>
      <c r="R82" s="167"/>
      <c r="S82" s="167"/>
      <c r="T82" s="167"/>
      <c r="U82" s="167"/>
      <c r="V82" s="167"/>
      <c r="W82" s="167"/>
      <c r="X82" s="167"/>
      <c r="Y82" s="167"/>
      <c r="Z82" s="167"/>
      <c r="AA82" s="167"/>
      <c r="AB82" s="167"/>
      <c r="AC82" s="167"/>
      <c r="AD82" s="167"/>
      <c r="AE82" s="167"/>
      <c r="AF82" s="167"/>
      <c r="AG82" s="167"/>
      <c r="AH82" s="167"/>
      <c r="AI82" s="167"/>
      <c r="AJ82" s="167"/>
      <c r="AK82" s="167"/>
      <c r="AL82" s="167"/>
      <c r="AM82" s="167"/>
      <c r="AN82" s="167"/>
      <c r="AO82" s="167"/>
      <c r="AP82" s="167"/>
      <c r="AQ82" s="167"/>
      <c r="AR82" s="167"/>
      <c r="AS82" s="167"/>
      <c r="AT82" s="167"/>
      <c r="AU82" s="181"/>
    </row>
    <row r="83" spans="1:47" ht="60" customHeight="1" x14ac:dyDescent="0.35">
      <c r="A83" s="177" t="s">
        <v>3785</v>
      </c>
      <c r="B83" s="151" t="s">
        <v>3641</v>
      </c>
      <c r="C83" s="152" t="s">
        <v>3892</v>
      </c>
      <c r="D83" s="155" t="s">
        <v>3893</v>
      </c>
      <c r="E83" s="158"/>
      <c r="F83" s="161" t="s">
        <v>19</v>
      </c>
      <c r="G83" s="164" t="str">
        <f>IF(COUNTIF(H83:AU83,"&lt;&gt;")=0,"",SUMPRODUCT(((Recommendations[ImplStatus]="Implemented")+(Recommendations[ImplStatus]="Compensated"))*ISNUMBER(MATCH(Recommendations[Id],H83:AU83,0)))/COUNTIF(H83:AU83,"&lt;&gt;"))</f>
        <v/>
      </c>
      <c r="H83" s="167"/>
      <c r="I83" s="167"/>
      <c r="J83" s="167"/>
      <c r="K83" s="167"/>
      <c r="L83" s="167"/>
      <c r="M83" s="167"/>
      <c r="N83" s="167"/>
      <c r="O83" s="167"/>
      <c r="P83" s="167"/>
      <c r="Q83" s="167"/>
      <c r="R83" s="167"/>
      <c r="S83" s="167"/>
      <c r="T83" s="167"/>
      <c r="U83" s="167"/>
      <c r="V83" s="167"/>
      <c r="W83" s="167"/>
      <c r="X83" s="167"/>
      <c r="Y83" s="167"/>
      <c r="Z83" s="167"/>
      <c r="AA83" s="167"/>
      <c r="AB83" s="167"/>
      <c r="AC83" s="167"/>
      <c r="AD83" s="167"/>
      <c r="AE83" s="167"/>
      <c r="AF83" s="167"/>
      <c r="AG83" s="167"/>
      <c r="AH83" s="167"/>
      <c r="AI83" s="167"/>
      <c r="AJ83" s="167"/>
      <c r="AK83" s="167"/>
      <c r="AL83" s="167"/>
      <c r="AM83" s="167"/>
      <c r="AN83" s="167"/>
      <c r="AO83" s="167"/>
      <c r="AP83" s="167"/>
      <c r="AQ83" s="167"/>
      <c r="AR83" s="167"/>
      <c r="AS83" s="167"/>
      <c r="AT83" s="167"/>
      <c r="AU83" s="181"/>
    </row>
    <row r="84" spans="1:47" ht="60" customHeight="1" x14ac:dyDescent="0.35">
      <c r="A84" s="177" t="s">
        <v>3785</v>
      </c>
      <c r="B84" s="151" t="s">
        <v>3641</v>
      </c>
      <c r="C84" s="152" t="s">
        <v>3894</v>
      </c>
      <c r="D84" s="155" t="s">
        <v>3895</v>
      </c>
      <c r="E84" s="158"/>
      <c r="F84" s="161" t="s">
        <v>19</v>
      </c>
      <c r="G84" s="164" t="str">
        <f>IF(COUNTIF(H84:AU84,"&lt;&gt;")=0,"",SUMPRODUCT(((Recommendations[ImplStatus]="Implemented")+(Recommendations[ImplStatus]="Compensated"))*ISNUMBER(MATCH(Recommendations[Id],H84:AU84,0)))/COUNTIF(H84:AU84,"&lt;&gt;"))</f>
        <v/>
      </c>
      <c r="H84" s="167"/>
      <c r="I84" s="167"/>
      <c r="J84" s="167"/>
      <c r="K84" s="167"/>
      <c r="L84" s="167"/>
      <c r="M84" s="167"/>
      <c r="N84" s="167"/>
      <c r="O84" s="167"/>
      <c r="P84" s="167"/>
      <c r="Q84" s="167"/>
      <c r="R84" s="167"/>
      <c r="S84" s="167"/>
      <c r="T84" s="167"/>
      <c r="U84" s="167"/>
      <c r="V84" s="167"/>
      <c r="W84" s="167"/>
      <c r="X84" s="167"/>
      <c r="Y84" s="167"/>
      <c r="Z84" s="167"/>
      <c r="AA84" s="167"/>
      <c r="AB84" s="167"/>
      <c r="AC84" s="167"/>
      <c r="AD84" s="167"/>
      <c r="AE84" s="167"/>
      <c r="AF84" s="167"/>
      <c r="AG84" s="167"/>
      <c r="AH84" s="167"/>
      <c r="AI84" s="167"/>
      <c r="AJ84" s="167"/>
      <c r="AK84" s="167"/>
      <c r="AL84" s="167"/>
      <c r="AM84" s="167"/>
      <c r="AN84" s="167"/>
      <c r="AO84" s="167"/>
      <c r="AP84" s="167"/>
      <c r="AQ84" s="167"/>
      <c r="AR84" s="167"/>
      <c r="AS84" s="167"/>
      <c r="AT84" s="167"/>
      <c r="AU84" s="181"/>
    </row>
    <row r="85" spans="1:47" ht="60" customHeight="1" x14ac:dyDescent="0.35">
      <c r="A85" s="177" t="s">
        <v>3785</v>
      </c>
      <c r="B85" s="151" t="s">
        <v>3641</v>
      </c>
      <c r="C85" s="152" t="s">
        <v>3896</v>
      </c>
      <c r="D85" s="155" t="s">
        <v>3897</v>
      </c>
      <c r="E85" s="158"/>
      <c r="F85" s="161" t="s">
        <v>19</v>
      </c>
      <c r="G85" s="164" t="str">
        <f>IF(COUNTIF(H85:AU85,"&lt;&gt;")=0,"",SUMPRODUCT(((Recommendations[ImplStatus]="Implemented")+(Recommendations[ImplStatus]="Compensated"))*ISNUMBER(MATCH(Recommendations[Id],H85:AU85,0)))/COUNTIF(H85:AU85,"&lt;&gt;"))</f>
        <v/>
      </c>
      <c r="H85" s="167"/>
      <c r="I85" s="167"/>
      <c r="J85" s="167"/>
      <c r="K85" s="167"/>
      <c r="L85" s="167"/>
      <c r="M85" s="167"/>
      <c r="N85" s="167"/>
      <c r="O85" s="167"/>
      <c r="P85" s="167"/>
      <c r="Q85" s="167"/>
      <c r="R85" s="167"/>
      <c r="S85" s="167"/>
      <c r="T85" s="167"/>
      <c r="U85" s="167"/>
      <c r="V85" s="167"/>
      <c r="W85" s="167"/>
      <c r="X85" s="167"/>
      <c r="Y85" s="167"/>
      <c r="Z85" s="167"/>
      <c r="AA85" s="167"/>
      <c r="AB85" s="167"/>
      <c r="AC85" s="167"/>
      <c r="AD85" s="167"/>
      <c r="AE85" s="167"/>
      <c r="AF85" s="167"/>
      <c r="AG85" s="167"/>
      <c r="AH85" s="167"/>
      <c r="AI85" s="167"/>
      <c r="AJ85" s="167"/>
      <c r="AK85" s="167"/>
      <c r="AL85" s="167"/>
      <c r="AM85" s="167"/>
      <c r="AN85" s="167"/>
      <c r="AO85" s="167"/>
      <c r="AP85" s="167"/>
      <c r="AQ85" s="167"/>
      <c r="AR85" s="167"/>
      <c r="AS85" s="167"/>
      <c r="AT85" s="167"/>
      <c r="AU85" s="181"/>
    </row>
    <row r="86" spans="1:47" ht="60" customHeight="1" x14ac:dyDescent="0.35">
      <c r="A86" s="177" t="s">
        <v>3785</v>
      </c>
      <c r="B86" s="151" t="s">
        <v>3641</v>
      </c>
      <c r="C86" s="152" t="s">
        <v>3898</v>
      </c>
      <c r="D86" s="155" t="s">
        <v>3899</v>
      </c>
      <c r="E86" s="158"/>
      <c r="F86" s="161" t="s">
        <v>19</v>
      </c>
      <c r="G86" s="164" t="str">
        <f>IF(COUNTIF(H86:AU86,"&lt;&gt;")=0,"",SUMPRODUCT(((Recommendations[ImplStatus]="Implemented")+(Recommendations[ImplStatus]="Compensated"))*ISNUMBER(MATCH(Recommendations[Id],H86:AU86,0)))/COUNTIF(H86:AU86,"&lt;&gt;"))</f>
        <v/>
      </c>
      <c r="H86" s="167"/>
      <c r="I86" s="167"/>
      <c r="J86" s="167"/>
      <c r="K86" s="167"/>
      <c r="L86" s="167"/>
      <c r="M86" s="167"/>
      <c r="N86" s="167"/>
      <c r="O86" s="167"/>
      <c r="P86" s="167"/>
      <c r="Q86" s="167"/>
      <c r="R86" s="167"/>
      <c r="S86" s="167"/>
      <c r="T86" s="167"/>
      <c r="U86" s="167"/>
      <c r="V86" s="167"/>
      <c r="W86" s="167"/>
      <c r="X86" s="167"/>
      <c r="Y86" s="167"/>
      <c r="Z86" s="167"/>
      <c r="AA86" s="167"/>
      <c r="AB86" s="167"/>
      <c r="AC86" s="167"/>
      <c r="AD86" s="167"/>
      <c r="AE86" s="167"/>
      <c r="AF86" s="167"/>
      <c r="AG86" s="167"/>
      <c r="AH86" s="167"/>
      <c r="AI86" s="167"/>
      <c r="AJ86" s="167"/>
      <c r="AK86" s="167"/>
      <c r="AL86" s="167"/>
      <c r="AM86" s="167"/>
      <c r="AN86" s="167"/>
      <c r="AO86" s="167"/>
      <c r="AP86" s="167"/>
      <c r="AQ86" s="167"/>
      <c r="AR86" s="167"/>
      <c r="AS86" s="167"/>
      <c r="AT86" s="167"/>
      <c r="AU86" s="181"/>
    </row>
    <row r="87" spans="1:47" ht="60" customHeight="1" outlineLevel="1" x14ac:dyDescent="0.35">
      <c r="A87" s="175" t="s">
        <v>3900</v>
      </c>
      <c r="B87" s="149" t="s">
        <v>19</v>
      </c>
      <c r="C87" s="147" t="s">
        <v>3901</v>
      </c>
      <c r="D87" s="153" t="s">
        <v>3902</v>
      </c>
      <c r="E87" s="156" t="s">
        <v>19</v>
      </c>
      <c r="F87" s="159" t="s">
        <v>19</v>
      </c>
      <c r="G87" s="162" t="str">
        <f>IF(COUNTIF(H87:AU87,"&lt;&gt;")=0,"",SUMPRODUCT(((Recommendations[ImplStatus]="Implemented")+(Recommendations[ImplStatus]="Compensated"))*ISNUMBER(MATCH(Recommendations[Id],H87:AU87,0)))/COUNTIF(H87:AU87,"&lt;&gt;"))</f>
        <v/>
      </c>
      <c r="H87" s="165"/>
      <c r="I87" s="165"/>
      <c r="J87" s="165"/>
      <c r="K87" s="165"/>
      <c r="L87" s="165"/>
      <c r="M87" s="165"/>
      <c r="N87" s="165"/>
      <c r="O87" s="165"/>
      <c r="P87" s="165"/>
      <c r="Q87" s="165"/>
      <c r="R87" s="165"/>
      <c r="S87" s="165"/>
      <c r="T87" s="165"/>
      <c r="U87" s="165"/>
      <c r="V87" s="165"/>
      <c r="W87" s="165"/>
      <c r="X87" s="165"/>
      <c r="Y87" s="165"/>
      <c r="Z87" s="165"/>
      <c r="AA87" s="165"/>
      <c r="AB87" s="165"/>
      <c r="AC87" s="165"/>
      <c r="AD87" s="165"/>
      <c r="AE87" s="165"/>
      <c r="AF87" s="165"/>
      <c r="AG87" s="165"/>
      <c r="AH87" s="165"/>
      <c r="AI87" s="165"/>
      <c r="AJ87" s="165"/>
      <c r="AK87" s="165"/>
      <c r="AL87" s="165"/>
      <c r="AM87" s="165"/>
      <c r="AN87" s="165"/>
      <c r="AO87" s="165"/>
      <c r="AP87" s="165"/>
      <c r="AQ87" s="165"/>
      <c r="AR87" s="165"/>
      <c r="AS87" s="165"/>
      <c r="AT87" s="165"/>
      <c r="AU87" s="179"/>
    </row>
    <row r="88" spans="1:47" ht="60" customHeight="1" outlineLevel="1" x14ac:dyDescent="0.35">
      <c r="A88" s="176" t="s">
        <v>3900</v>
      </c>
      <c r="B88" s="150" t="s">
        <v>3903</v>
      </c>
      <c r="C88" s="148" t="s">
        <v>3904</v>
      </c>
      <c r="D88" s="154" t="s">
        <v>3905</v>
      </c>
      <c r="E88" s="157" t="s">
        <v>19</v>
      </c>
      <c r="F88" s="160" t="s">
        <v>19</v>
      </c>
      <c r="G88" s="163" t="str">
        <f>IF(COUNTIF(H88:AU88,"&lt;&gt;")=0,"",SUMPRODUCT(((Recommendations[ImplStatus]="Implemented")+(Recommendations[ImplStatus]="Compensated"))*ISNUMBER(MATCH(Recommendations[Id],H88:AU88,0)))/COUNTIF(H88:AU88,"&lt;&gt;"))</f>
        <v/>
      </c>
      <c r="H88" s="166"/>
      <c r="I88" s="166"/>
      <c r="J88" s="166"/>
      <c r="K88" s="166"/>
      <c r="L88" s="166"/>
      <c r="M88" s="166"/>
      <c r="N88" s="166"/>
      <c r="O88" s="166"/>
      <c r="P88" s="166"/>
      <c r="Q88" s="166"/>
      <c r="R88" s="166"/>
      <c r="S88" s="166"/>
      <c r="T88" s="166"/>
      <c r="U88" s="166"/>
      <c r="V88" s="166"/>
      <c r="W88" s="166"/>
      <c r="X88" s="166"/>
      <c r="Y88" s="166"/>
      <c r="Z88" s="166"/>
      <c r="AA88" s="166"/>
      <c r="AB88" s="166"/>
      <c r="AC88" s="166"/>
      <c r="AD88" s="166"/>
      <c r="AE88" s="166"/>
      <c r="AF88" s="166"/>
      <c r="AG88" s="166"/>
      <c r="AH88" s="166"/>
      <c r="AI88" s="166"/>
      <c r="AJ88" s="166"/>
      <c r="AK88" s="166"/>
      <c r="AL88" s="166"/>
      <c r="AM88" s="166"/>
      <c r="AN88" s="166"/>
      <c r="AO88" s="166"/>
      <c r="AP88" s="166"/>
      <c r="AQ88" s="166"/>
      <c r="AR88" s="166"/>
      <c r="AS88" s="166"/>
      <c r="AT88" s="166"/>
      <c r="AU88" s="180"/>
    </row>
    <row r="89" spans="1:47" ht="60" customHeight="1" x14ac:dyDescent="0.35">
      <c r="A89" s="177" t="s">
        <v>3900</v>
      </c>
      <c r="B89" s="151" t="s">
        <v>3903</v>
      </c>
      <c r="C89" s="152" t="s">
        <v>3906</v>
      </c>
      <c r="D89" s="155" t="s">
        <v>3907</v>
      </c>
      <c r="E89" s="158" t="s">
        <v>3908</v>
      </c>
      <c r="F89" s="161" t="s">
        <v>3677</v>
      </c>
      <c r="G89" s="164">
        <f>IF(COUNTIF(H89:AU89,"&lt;&gt;")=0,"",SUMPRODUCT(((Recommendations[ImplStatus]="Implemented")+(Recommendations[ImplStatus]="Compensated"))*ISNUMBER(MATCH(Recommendations[Id],H89:AU89,0)))/COUNTIF(H89:AU89,"&lt;&gt;"))</f>
        <v>0</v>
      </c>
      <c r="H89" s="167" t="s">
        <v>588</v>
      </c>
      <c r="I89" s="167" t="s">
        <v>720</v>
      </c>
      <c r="J89" s="167" t="s">
        <v>788</v>
      </c>
      <c r="K89" s="167" t="s">
        <v>798</v>
      </c>
      <c r="L89" s="167" t="s">
        <v>803</v>
      </c>
      <c r="M89" s="167" t="s">
        <v>816</v>
      </c>
      <c r="N89" s="167" t="s">
        <v>841</v>
      </c>
      <c r="O89" s="167"/>
      <c r="P89" s="167"/>
      <c r="Q89" s="167"/>
      <c r="R89" s="167"/>
      <c r="S89" s="167"/>
      <c r="T89" s="167"/>
      <c r="U89" s="167"/>
      <c r="V89" s="167"/>
      <c r="W89" s="167"/>
      <c r="X89" s="167"/>
      <c r="Y89" s="167"/>
      <c r="Z89" s="167"/>
      <c r="AA89" s="167"/>
      <c r="AB89" s="167"/>
      <c r="AC89" s="167"/>
      <c r="AD89" s="167"/>
      <c r="AE89" s="167"/>
      <c r="AF89" s="167"/>
      <c r="AG89" s="167"/>
      <c r="AH89" s="167"/>
      <c r="AI89" s="167"/>
      <c r="AJ89" s="167"/>
      <c r="AK89" s="167"/>
      <c r="AL89" s="167"/>
      <c r="AM89" s="167"/>
      <c r="AN89" s="167"/>
      <c r="AO89" s="167"/>
      <c r="AP89" s="167"/>
      <c r="AQ89" s="167"/>
      <c r="AR89" s="167"/>
      <c r="AS89" s="167"/>
      <c r="AT89" s="167"/>
      <c r="AU89" s="181"/>
    </row>
    <row r="90" spans="1:47" ht="60" customHeight="1" x14ac:dyDescent="0.35">
      <c r="A90" s="177" t="s">
        <v>3900</v>
      </c>
      <c r="B90" s="151" t="s">
        <v>3903</v>
      </c>
      <c r="C90" s="152" t="s">
        <v>3909</v>
      </c>
      <c r="D90" s="155" t="s">
        <v>3910</v>
      </c>
      <c r="E90" s="158" t="s">
        <v>3911</v>
      </c>
      <c r="F90" s="161" t="s">
        <v>3681</v>
      </c>
      <c r="G90" s="164" t="str">
        <f>IF(COUNTIF(H90:AU90,"&lt;&gt;")=0,"",SUMPRODUCT(((Recommendations[ImplStatus]="Implemented")+(Recommendations[ImplStatus]="Compensated"))*ISNUMBER(MATCH(Recommendations[Id],H90:AU90,0)))/COUNTIF(H90:AU90,"&lt;&gt;"))</f>
        <v/>
      </c>
      <c r="H90" s="167"/>
      <c r="I90" s="167"/>
      <c r="J90" s="167"/>
      <c r="K90" s="167"/>
      <c r="L90" s="167"/>
      <c r="M90" s="167"/>
      <c r="N90" s="167"/>
      <c r="O90" s="167"/>
      <c r="P90" s="167"/>
      <c r="Q90" s="167"/>
      <c r="R90" s="167"/>
      <c r="S90" s="167"/>
      <c r="T90" s="167"/>
      <c r="U90" s="167"/>
      <c r="V90" s="167"/>
      <c r="W90" s="167"/>
      <c r="X90" s="167"/>
      <c r="Y90" s="167"/>
      <c r="Z90" s="167"/>
      <c r="AA90" s="167"/>
      <c r="AB90" s="167"/>
      <c r="AC90" s="167"/>
      <c r="AD90" s="167"/>
      <c r="AE90" s="167"/>
      <c r="AF90" s="167"/>
      <c r="AG90" s="167"/>
      <c r="AH90" s="167"/>
      <c r="AI90" s="167"/>
      <c r="AJ90" s="167"/>
      <c r="AK90" s="167"/>
      <c r="AL90" s="167"/>
      <c r="AM90" s="167"/>
      <c r="AN90" s="167"/>
      <c r="AO90" s="167"/>
      <c r="AP90" s="167"/>
      <c r="AQ90" s="167"/>
      <c r="AR90" s="167"/>
      <c r="AS90" s="167"/>
      <c r="AT90" s="167"/>
      <c r="AU90" s="181"/>
    </row>
    <row r="91" spans="1:47" ht="60" customHeight="1" x14ac:dyDescent="0.35">
      <c r="A91" s="177" t="s">
        <v>3900</v>
      </c>
      <c r="B91" s="151" t="s">
        <v>3903</v>
      </c>
      <c r="C91" s="152" t="s">
        <v>3912</v>
      </c>
      <c r="D91" s="155" t="s">
        <v>3913</v>
      </c>
      <c r="E91" s="158" t="s">
        <v>3914</v>
      </c>
      <c r="F91" s="161" t="s">
        <v>3677</v>
      </c>
      <c r="G91" s="164">
        <f>IF(COUNTIF(H91:AU91,"&lt;&gt;")=0,"",SUMPRODUCT(((Recommendations[ImplStatus]="Implemented")+(Recommendations[ImplStatus]="Compensated"))*ISNUMBER(MATCH(Recommendations[Id],H91:AU91,0)))/COUNTIF(H91:AU91,"&lt;&gt;"))</f>
        <v>0</v>
      </c>
      <c r="H91" s="167" t="s">
        <v>240</v>
      </c>
      <c r="I91" s="167" t="s">
        <v>293</v>
      </c>
      <c r="J91" s="167" t="s">
        <v>298</v>
      </c>
      <c r="K91" s="167" t="s">
        <v>303</v>
      </c>
      <c r="L91" s="167" t="s">
        <v>348</v>
      </c>
      <c r="M91" s="167" t="s">
        <v>353</v>
      </c>
      <c r="N91" s="167" t="s">
        <v>383</v>
      </c>
      <c r="O91" s="167" t="s">
        <v>388</v>
      </c>
      <c r="P91" s="167" t="s">
        <v>392</v>
      </c>
      <c r="Q91" s="167" t="s">
        <v>720</v>
      </c>
      <c r="R91" s="167" t="s">
        <v>793</v>
      </c>
      <c r="S91" s="167" t="s">
        <v>826</v>
      </c>
      <c r="T91" s="167"/>
      <c r="U91" s="167"/>
      <c r="V91" s="167"/>
      <c r="W91" s="167"/>
      <c r="X91" s="167"/>
      <c r="Y91" s="167"/>
      <c r="Z91" s="167"/>
      <c r="AA91" s="167"/>
      <c r="AB91" s="167"/>
      <c r="AC91" s="167"/>
      <c r="AD91" s="167"/>
      <c r="AE91" s="167"/>
      <c r="AF91" s="167"/>
      <c r="AG91" s="167"/>
      <c r="AH91" s="167"/>
      <c r="AI91" s="167"/>
      <c r="AJ91" s="167"/>
      <c r="AK91" s="167"/>
      <c r="AL91" s="167"/>
      <c r="AM91" s="167"/>
      <c r="AN91" s="167"/>
      <c r="AO91" s="167"/>
      <c r="AP91" s="167"/>
      <c r="AQ91" s="167"/>
      <c r="AR91" s="167"/>
      <c r="AS91" s="167"/>
      <c r="AT91" s="167"/>
      <c r="AU91" s="181"/>
    </row>
    <row r="92" spans="1:47" ht="60" customHeight="1" x14ac:dyDescent="0.35">
      <c r="A92" s="177" t="s">
        <v>3900</v>
      </c>
      <c r="B92" s="151" t="s">
        <v>3903</v>
      </c>
      <c r="C92" s="152" t="s">
        <v>3915</v>
      </c>
      <c r="D92" s="155" t="s">
        <v>3916</v>
      </c>
      <c r="E92" s="158" t="s">
        <v>3917</v>
      </c>
      <c r="F92" s="161" t="s">
        <v>3677</v>
      </c>
      <c r="G92" s="164" t="str">
        <f>IF(COUNTIF(H92:AU92,"&lt;&gt;")=0,"",SUMPRODUCT(((Recommendations[ImplStatus]="Implemented")+(Recommendations[ImplStatus]="Compensated"))*ISNUMBER(MATCH(Recommendations[Id],H92:AU92,0)))/COUNTIF(H92:AU92,"&lt;&gt;"))</f>
        <v/>
      </c>
      <c r="H92" s="167"/>
      <c r="I92" s="167"/>
      <c r="J92" s="167"/>
      <c r="K92" s="167"/>
      <c r="L92" s="167"/>
      <c r="M92" s="167"/>
      <c r="N92" s="167"/>
      <c r="O92" s="167"/>
      <c r="P92" s="167"/>
      <c r="Q92" s="167"/>
      <c r="R92" s="167"/>
      <c r="S92" s="167"/>
      <c r="T92" s="167"/>
      <c r="U92" s="167"/>
      <c r="V92" s="167"/>
      <c r="W92" s="167"/>
      <c r="X92" s="167"/>
      <c r="Y92" s="167"/>
      <c r="Z92" s="167"/>
      <c r="AA92" s="167"/>
      <c r="AB92" s="167"/>
      <c r="AC92" s="167"/>
      <c r="AD92" s="167"/>
      <c r="AE92" s="167"/>
      <c r="AF92" s="167"/>
      <c r="AG92" s="167"/>
      <c r="AH92" s="167"/>
      <c r="AI92" s="167"/>
      <c r="AJ92" s="167"/>
      <c r="AK92" s="167"/>
      <c r="AL92" s="167"/>
      <c r="AM92" s="167"/>
      <c r="AN92" s="167"/>
      <c r="AO92" s="167"/>
      <c r="AP92" s="167"/>
      <c r="AQ92" s="167"/>
      <c r="AR92" s="167"/>
      <c r="AS92" s="167"/>
      <c r="AT92" s="167"/>
      <c r="AU92" s="181"/>
    </row>
    <row r="93" spans="1:47" ht="60" customHeight="1" x14ac:dyDescent="0.35">
      <c r="A93" s="177" t="s">
        <v>3900</v>
      </c>
      <c r="B93" s="151" t="s">
        <v>3903</v>
      </c>
      <c r="C93" s="152" t="s">
        <v>3918</v>
      </c>
      <c r="D93" s="155" t="s">
        <v>3919</v>
      </c>
      <c r="E93" s="158" t="s">
        <v>3920</v>
      </c>
      <c r="F93" s="161" t="s">
        <v>3677</v>
      </c>
      <c r="G93" s="164">
        <f>IF(COUNTIF(H93:AU93,"&lt;&gt;")=0,"",SUMPRODUCT(((Recommendations[ImplStatus]="Implemented")+(Recommendations[ImplStatus]="Compensated"))*ISNUMBER(MATCH(Recommendations[Id],H93:AU93,0)))/COUNTIF(H93:AU93,"&lt;&gt;"))</f>
        <v>0</v>
      </c>
      <c r="H93" s="167" t="s">
        <v>269</v>
      </c>
      <c r="I93" s="167" t="s">
        <v>274</v>
      </c>
      <c r="J93" s="167" t="s">
        <v>278</v>
      </c>
      <c r="K93" s="167" t="s">
        <v>283</v>
      </c>
      <c r="L93" s="167" t="s">
        <v>343</v>
      </c>
      <c r="M93" s="167" t="s">
        <v>417</v>
      </c>
      <c r="N93" s="167" t="s">
        <v>593</v>
      </c>
      <c r="O93" s="167" t="s">
        <v>598</v>
      </c>
      <c r="P93" s="167" t="s">
        <v>603</v>
      </c>
      <c r="Q93" s="167" t="s">
        <v>607</v>
      </c>
      <c r="R93" s="167" t="s">
        <v>611</v>
      </c>
      <c r="S93" s="167" t="s">
        <v>615</v>
      </c>
      <c r="T93" s="167" t="s">
        <v>619</v>
      </c>
      <c r="U93" s="167" t="s">
        <v>623</v>
      </c>
      <c r="V93" s="167" t="s">
        <v>644</v>
      </c>
      <c r="W93" s="167" t="s">
        <v>648</v>
      </c>
      <c r="X93" s="167" t="s">
        <v>653</v>
      </c>
      <c r="Y93" s="167" t="s">
        <v>658</v>
      </c>
      <c r="Z93" s="167" t="s">
        <v>663</v>
      </c>
      <c r="AA93" s="167" t="s">
        <v>677</v>
      </c>
      <c r="AB93" s="167" t="s">
        <v>682</v>
      </c>
      <c r="AC93" s="167" t="s">
        <v>692</v>
      </c>
      <c r="AD93" s="167" t="s">
        <v>697</v>
      </c>
      <c r="AE93" s="167" t="s">
        <v>702</v>
      </c>
      <c r="AF93" s="167" t="s">
        <v>707</v>
      </c>
      <c r="AG93" s="167" t="s">
        <v>712</v>
      </c>
      <c r="AH93" s="167" t="s">
        <v>716</v>
      </c>
      <c r="AI93" s="167" t="s">
        <v>725</v>
      </c>
      <c r="AJ93" s="167" t="s">
        <v>730</v>
      </c>
      <c r="AK93" s="167" t="s">
        <v>735</v>
      </c>
      <c r="AL93" s="167" t="s">
        <v>740</v>
      </c>
      <c r="AM93" s="167" t="s">
        <v>745</v>
      </c>
      <c r="AN93" s="167" t="s">
        <v>750</v>
      </c>
      <c r="AO93" s="167" t="s">
        <v>755</v>
      </c>
      <c r="AP93" s="167" t="s">
        <v>760</v>
      </c>
      <c r="AQ93" s="167" t="s">
        <v>765</v>
      </c>
      <c r="AR93" s="167" t="s">
        <v>770</v>
      </c>
      <c r="AS93" s="167" t="s">
        <v>774</v>
      </c>
      <c r="AT93" s="167" t="s">
        <v>779</v>
      </c>
      <c r="AU93" s="181" t="s">
        <v>783</v>
      </c>
    </row>
    <row r="94" spans="1:47" ht="60" customHeight="1" x14ac:dyDescent="0.35">
      <c r="A94" s="177" t="s">
        <v>3900</v>
      </c>
      <c r="B94" s="151" t="s">
        <v>3903</v>
      </c>
      <c r="C94" s="152" t="s">
        <v>3921</v>
      </c>
      <c r="D94" s="155" t="s">
        <v>3922</v>
      </c>
      <c r="E94" s="158" t="s">
        <v>3923</v>
      </c>
      <c r="F94" s="161" t="s">
        <v>3681</v>
      </c>
      <c r="G94" s="164" t="str">
        <f>IF(COUNTIF(H94:AU94,"&lt;&gt;")=0,"",SUMPRODUCT(((Recommendations[ImplStatus]="Implemented")+(Recommendations[ImplStatus]="Compensated"))*ISNUMBER(MATCH(Recommendations[Id],H94:AU94,0)))/COUNTIF(H94:AU94,"&lt;&gt;"))</f>
        <v/>
      </c>
      <c r="H94" s="167"/>
      <c r="I94" s="167"/>
      <c r="J94" s="167"/>
      <c r="K94" s="167"/>
      <c r="L94" s="167"/>
      <c r="M94" s="167"/>
      <c r="N94" s="167"/>
      <c r="O94" s="167"/>
      <c r="P94" s="167"/>
      <c r="Q94" s="167"/>
      <c r="R94" s="167"/>
      <c r="S94" s="167"/>
      <c r="T94" s="167"/>
      <c r="U94" s="167"/>
      <c r="V94" s="167"/>
      <c r="W94" s="167"/>
      <c r="X94" s="167"/>
      <c r="Y94" s="167"/>
      <c r="Z94" s="167"/>
      <c r="AA94" s="167"/>
      <c r="AB94" s="167"/>
      <c r="AC94" s="167"/>
      <c r="AD94" s="167"/>
      <c r="AE94" s="167"/>
      <c r="AF94" s="167"/>
      <c r="AG94" s="167"/>
      <c r="AH94" s="167"/>
      <c r="AI94" s="167"/>
      <c r="AJ94" s="167"/>
      <c r="AK94" s="167"/>
      <c r="AL94" s="167"/>
      <c r="AM94" s="167"/>
      <c r="AN94" s="167"/>
      <c r="AO94" s="167"/>
      <c r="AP94" s="167"/>
      <c r="AQ94" s="167"/>
      <c r="AR94" s="167"/>
      <c r="AS94" s="167"/>
      <c r="AT94" s="167"/>
      <c r="AU94" s="181"/>
    </row>
    <row r="95" spans="1:47" ht="60" customHeight="1" outlineLevel="1" x14ac:dyDescent="0.35">
      <c r="A95" s="176" t="s">
        <v>3900</v>
      </c>
      <c r="B95" s="150" t="s">
        <v>3924</v>
      </c>
      <c r="C95" s="148" t="s">
        <v>3925</v>
      </c>
      <c r="D95" s="154"/>
      <c r="E95" s="157" t="s">
        <v>19</v>
      </c>
      <c r="F95" s="160" t="s">
        <v>19</v>
      </c>
      <c r="G95" s="163" t="str">
        <f>IF(COUNTIF(H95:AU95,"&lt;&gt;")=0,"",SUMPRODUCT(((Recommendations[ImplStatus]="Implemented")+(Recommendations[ImplStatus]="Compensated"))*ISNUMBER(MATCH(Recommendations[Id],H95:AU95,0)))/COUNTIF(H95:AU95,"&lt;&gt;"))</f>
        <v/>
      </c>
      <c r="H95" s="166"/>
      <c r="I95" s="166"/>
      <c r="J95" s="166"/>
      <c r="K95" s="166"/>
      <c r="L95" s="166"/>
      <c r="M95" s="166"/>
      <c r="N95" s="166"/>
      <c r="O95" s="166"/>
      <c r="P95" s="166"/>
      <c r="Q95" s="166"/>
      <c r="R95" s="166"/>
      <c r="S95" s="166"/>
      <c r="T95" s="166"/>
      <c r="U95" s="166"/>
      <c r="V95" s="166"/>
      <c r="W95" s="166"/>
      <c r="X95" s="166"/>
      <c r="Y95" s="166"/>
      <c r="Z95" s="166"/>
      <c r="AA95" s="166"/>
      <c r="AB95" s="166"/>
      <c r="AC95" s="166"/>
      <c r="AD95" s="166"/>
      <c r="AE95" s="166"/>
      <c r="AF95" s="166"/>
      <c r="AG95" s="166"/>
      <c r="AH95" s="166"/>
      <c r="AI95" s="166"/>
      <c r="AJ95" s="166"/>
      <c r="AK95" s="166"/>
      <c r="AL95" s="166"/>
      <c r="AM95" s="166"/>
      <c r="AN95" s="166"/>
      <c r="AO95" s="166"/>
      <c r="AP95" s="166"/>
      <c r="AQ95" s="166"/>
      <c r="AR95" s="166"/>
      <c r="AS95" s="166"/>
      <c r="AT95" s="166"/>
      <c r="AU95" s="180"/>
    </row>
    <row r="96" spans="1:47" ht="60" customHeight="1" x14ac:dyDescent="0.35">
      <c r="A96" s="177" t="s">
        <v>3900</v>
      </c>
      <c r="B96" s="151" t="s">
        <v>3924</v>
      </c>
      <c r="C96" s="152" t="s">
        <v>3926</v>
      </c>
      <c r="D96" s="155" t="s">
        <v>3927</v>
      </c>
      <c r="E96" s="158"/>
      <c r="F96" s="161" t="s">
        <v>19</v>
      </c>
      <c r="G96" s="164" t="str">
        <f>IF(COUNTIF(H96:AU96,"&lt;&gt;")=0,"",SUMPRODUCT(((Recommendations[ImplStatus]="Implemented")+(Recommendations[ImplStatus]="Compensated"))*ISNUMBER(MATCH(Recommendations[Id],H96:AU96,0)))/COUNTIF(H96:AU96,"&lt;&gt;"))</f>
        <v/>
      </c>
      <c r="H96" s="167"/>
      <c r="I96" s="167"/>
      <c r="J96" s="167"/>
      <c r="K96" s="167"/>
      <c r="L96" s="167"/>
      <c r="M96" s="167"/>
      <c r="N96" s="167"/>
      <c r="O96" s="167"/>
      <c r="P96" s="167"/>
      <c r="Q96" s="167"/>
      <c r="R96" s="167"/>
      <c r="S96" s="167"/>
      <c r="T96" s="167"/>
      <c r="U96" s="167"/>
      <c r="V96" s="167"/>
      <c r="W96" s="167"/>
      <c r="X96" s="167"/>
      <c r="Y96" s="167"/>
      <c r="Z96" s="167"/>
      <c r="AA96" s="167"/>
      <c r="AB96" s="167"/>
      <c r="AC96" s="167"/>
      <c r="AD96" s="167"/>
      <c r="AE96" s="167"/>
      <c r="AF96" s="167"/>
      <c r="AG96" s="167"/>
      <c r="AH96" s="167"/>
      <c r="AI96" s="167"/>
      <c r="AJ96" s="167"/>
      <c r="AK96" s="167"/>
      <c r="AL96" s="167"/>
      <c r="AM96" s="167"/>
      <c r="AN96" s="167"/>
      <c r="AO96" s="167"/>
      <c r="AP96" s="167"/>
      <c r="AQ96" s="167"/>
      <c r="AR96" s="167"/>
      <c r="AS96" s="167"/>
      <c r="AT96" s="167"/>
      <c r="AU96" s="181"/>
    </row>
    <row r="97" spans="1:47" ht="60" customHeight="1" x14ac:dyDescent="0.35">
      <c r="A97" s="177" t="s">
        <v>3900</v>
      </c>
      <c r="B97" s="151" t="s">
        <v>3924</v>
      </c>
      <c r="C97" s="152" t="s">
        <v>3928</v>
      </c>
      <c r="D97" s="155" t="s">
        <v>3929</v>
      </c>
      <c r="E97" s="158"/>
      <c r="F97" s="161" t="s">
        <v>19</v>
      </c>
      <c r="G97" s="164" t="str">
        <f>IF(COUNTIF(H97:AU97,"&lt;&gt;")=0,"",SUMPRODUCT(((Recommendations[ImplStatus]="Implemented")+(Recommendations[ImplStatus]="Compensated"))*ISNUMBER(MATCH(Recommendations[Id],H97:AU97,0)))/COUNTIF(H97:AU97,"&lt;&gt;"))</f>
        <v/>
      </c>
      <c r="H97" s="167"/>
      <c r="I97" s="167"/>
      <c r="J97" s="167"/>
      <c r="K97" s="167"/>
      <c r="L97" s="167"/>
      <c r="M97" s="167"/>
      <c r="N97" s="167"/>
      <c r="O97" s="167"/>
      <c r="P97" s="167"/>
      <c r="Q97" s="167"/>
      <c r="R97" s="167"/>
      <c r="S97" s="167"/>
      <c r="T97" s="167"/>
      <c r="U97" s="167"/>
      <c r="V97" s="167"/>
      <c r="W97" s="167"/>
      <c r="X97" s="167"/>
      <c r="Y97" s="167"/>
      <c r="Z97" s="167"/>
      <c r="AA97" s="167"/>
      <c r="AB97" s="167"/>
      <c r="AC97" s="167"/>
      <c r="AD97" s="167"/>
      <c r="AE97" s="167"/>
      <c r="AF97" s="167"/>
      <c r="AG97" s="167"/>
      <c r="AH97" s="167"/>
      <c r="AI97" s="167"/>
      <c r="AJ97" s="167"/>
      <c r="AK97" s="167"/>
      <c r="AL97" s="167"/>
      <c r="AM97" s="167"/>
      <c r="AN97" s="167"/>
      <c r="AO97" s="167"/>
      <c r="AP97" s="167"/>
      <c r="AQ97" s="167"/>
      <c r="AR97" s="167"/>
      <c r="AS97" s="167"/>
      <c r="AT97" s="167"/>
      <c r="AU97" s="181"/>
    </row>
    <row r="98" spans="1:47" ht="60" customHeight="1" x14ac:dyDescent="0.35">
      <c r="A98" s="177" t="s">
        <v>3900</v>
      </c>
      <c r="B98" s="151" t="s">
        <v>3924</v>
      </c>
      <c r="C98" s="152" t="s">
        <v>3930</v>
      </c>
      <c r="D98" s="155" t="s">
        <v>3931</v>
      </c>
      <c r="E98" s="158"/>
      <c r="F98" s="161" t="s">
        <v>19</v>
      </c>
      <c r="G98" s="164" t="str">
        <f>IF(COUNTIF(H98:AU98,"&lt;&gt;")=0,"",SUMPRODUCT(((Recommendations[ImplStatus]="Implemented")+(Recommendations[ImplStatus]="Compensated"))*ISNUMBER(MATCH(Recommendations[Id],H98:AU98,0)))/COUNTIF(H98:AU98,"&lt;&gt;"))</f>
        <v/>
      </c>
      <c r="H98" s="167"/>
      <c r="I98" s="167"/>
      <c r="J98" s="167"/>
      <c r="K98" s="167"/>
      <c r="L98" s="167"/>
      <c r="M98" s="167"/>
      <c r="N98" s="167"/>
      <c r="O98" s="167"/>
      <c r="P98" s="167"/>
      <c r="Q98" s="167"/>
      <c r="R98" s="167"/>
      <c r="S98" s="167"/>
      <c r="T98" s="167"/>
      <c r="U98" s="167"/>
      <c r="V98" s="167"/>
      <c r="W98" s="167"/>
      <c r="X98" s="167"/>
      <c r="Y98" s="167"/>
      <c r="Z98" s="167"/>
      <c r="AA98" s="167"/>
      <c r="AB98" s="167"/>
      <c r="AC98" s="167"/>
      <c r="AD98" s="167"/>
      <c r="AE98" s="167"/>
      <c r="AF98" s="167"/>
      <c r="AG98" s="167"/>
      <c r="AH98" s="167"/>
      <c r="AI98" s="167"/>
      <c r="AJ98" s="167"/>
      <c r="AK98" s="167"/>
      <c r="AL98" s="167"/>
      <c r="AM98" s="167"/>
      <c r="AN98" s="167"/>
      <c r="AO98" s="167"/>
      <c r="AP98" s="167"/>
      <c r="AQ98" s="167"/>
      <c r="AR98" s="167"/>
      <c r="AS98" s="167"/>
      <c r="AT98" s="167"/>
      <c r="AU98" s="181"/>
    </row>
    <row r="99" spans="1:47" ht="60" customHeight="1" x14ac:dyDescent="0.35">
      <c r="A99" s="177" t="s">
        <v>3900</v>
      </c>
      <c r="B99" s="151" t="s">
        <v>3924</v>
      </c>
      <c r="C99" s="152" t="s">
        <v>3932</v>
      </c>
      <c r="D99" s="155" t="s">
        <v>3933</v>
      </c>
      <c r="E99" s="158"/>
      <c r="F99" s="161" t="s">
        <v>19</v>
      </c>
      <c r="G99" s="164" t="str">
        <f>IF(COUNTIF(H99:AU99,"&lt;&gt;")=0,"",SUMPRODUCT(((Recommendations[ImplStatus]="Implemented")+(Recommendations[ImplStatus]="Compensated"))*ISNUMBER(MATCH(Recommendations[Id],H99:AU99,0)))/COUNTIF(H99:AU99,"&lt;&gt;"))</f>
        <v/>
      </c>
      <c r="H99" s="167"/>
      <c r="I99" s="167"/>
      <c r="J99" s="167"/>
      <c r="K99" s="167"/>
      <c r="L99" s="167"/>
      <c r="M99" s="167"/>
      <c r="N99" s="167"/>
      <c r="O99" s="167"/>
      <c r="P99" s="167"/>
      <c r="Q99" s="167"/>
      <c r="R99" s="167"/>
      <c r="S99" s="167"/>
      <c r="T99" s="167"/>
      <c r="U99" s="167"/>
      <c r="V99" s="167"/>
      <c r="W99" s="167"/>
      <c r="X99" s="167"/>
      <c r="Y99" s="167"/>
      <c r="Z99" s="167"/>
      <c r="AA99" s="167"/>
      <c r="AB99" s="167"/>
      <c r="AC99" s="167"/>
      <c r="AD99" s="167"/>
      <c r="AE99" s="167"/>
      <c r="AF99" s="167"/>
      <c r="AG99" s="167"/>
      <c r="AH99" s="167"/>
      <c r="AI99" s="167"/>
      <c r="AJ99" s="167"/>
      <c r="AK99" s="167"/>
      <c r="AL99" s="167"/>
      <c r="AM99" s="167"/>
      <c r="AN99" s="167"/>
      <c r="AO99" s="167"/>
      <c r="AP99" s="167"/>
      <c r="AQ99" s="167"/>
      <c r="AR99" s="167"/>
      <c r="AS99" s="167"/>
      <c r="AT99" s="167"/>
      <c r="AU99" s="181"/>
    </row>
    <row r="100" spans="1:47" ht="60" customHeight="1" x14ac:dyDescent="0.35">
      <c r="A100" s="177" t="s">
        <v>3900</v>
      </c>
      <c r="B100" s="151" t="s">
        <v>3924</v>
      </c>
      <c r="C100" s="152" t="s">
        <v>3934</v>
      </c>
      <c r="D100" s="155" t="s">
        <v>3935</v>
      </c>
      <c r="E100" s="158"/>
      <c r="F100" s="161" t="s">
        <v>19</v>
      </c>
      <c r="G100" s="164" t="str">
        <f>IF(COUNTIF(H100:AU100,"&lt;&gt;")=0,"",SUMPRODUCT(((Recommendations[ImplStatus]="Implemented")+(Recommendations[ImplStatus]="Compensated"))*ISNUMBER(MATCH(Recommendations[Id],H100:AU100,0)))/COUNTIF(H100:AU100,"&lt;&gt;"))</f>
        <v/>
      </c>
      <c r="H100" s="167"/>
      <c r="I100" s="167"/>
      <c r="J100" s="167"/>
      <c r="K100" s="167"/>
      <c r="L100" s="167"/>
      <c r="M100" s="167"/>
      <c r="N100" s="167"/>
      <c r="O100" s="167"/>
      <c r="P100" s="167"/>
      <c r="Q100" s="167"/>
      <c r="R100" s="167"/>
      <c r="S100" s="167"/>
      <c r="T100" s="167"/>
      <c r="U100" s="167"/>
      <c r="V100" s="167"/>
      <c r="W100" s="167"/>
      <c r="X100" s="167"/>
      <c r="Y100" s="167"/>
      <c r="Z100" s="167"/>
      <c r="AA100" s="167"/>
      <c r="AB100" s="167"/>
      <c r="AC100" s="167"/>
      <c r="AD100" s="167"/>
      <c r="AE100" s="167"/>
      <c r="AF100" s="167"/>
      <c r="AG100" s="167"/>
      <c r="AH100" s="167"/>
      <c r="AI100" s="167"/>
      <c r="AJ100" s="167"/>
      <c r="AK100" s="167"/>
      <c r="AL100" s="167"/>
      <c r="AM100" s="167"/>
      <c r="AN100" s="167"/>
      <c r="AO100" s="167"/>
      <c r="AP100" s="167"/>
      <c r="AQ100" s="167"/>
      <c r="AR100" s="167"/>
      <c r="AS100" s="167"/>
      <c r="AT100" s="167"/>
      <c r="AU100" s="181"/>
    </row>
    <row r="101" spans="1:47" ht="60" customHeight="1" x14ac:dyDescent="0.35">
      <c r="A101" s="177" t="s">
        <v>3900</v>
      </c>
      <c r="B101" s="151" t="s">
        <v>3924</v>
      </c>
      <c r="C101" s="152" t="s">
        <v>3936</v>
      </c>
      <c r="D101" s="155" t="s">
        <v>3937</v>
      </c>
      <c r="E101" s="158"/>
      <c r="F101" s="161" t="s">
        <v>19</v>
      </c>
      <c r="G101" s="164" t="str">
        <f>IF(COUNTIF(H101:AU101,"&lt;&gt;")=0,"",SUMPRODUCT(((Recommendations[ImplStatus]="Implemented")+(Recommendations[ImplStatus]="Compensated"))*ISNUMBER(MATCH(Recommendations[Id],H101:AU101,0)))/COUNTIF(H101:AU101,"&lt;&gt;"))</f>
        <v/>
      </c>
      <c r="H101" s="167"/>
      <c r="I101" s="167"/>
      <c r="J101" s="167"/>
      <c r="K101" s="167"/>
      <c r="L101" s="167"/>
      <c r="M101" s="167"/>
      <c r="N101" s="167"/>
      <c r="O101" s="167"/>
      <c r="P101" s="167"/>
      <c r="Q101" s="167"/>
      <c r="R101" s="167"/>
      <c r="S101" s="167"/>
      <c r="T101" s="167"/>
      <c r="U101" s="167"/>
      <c r="V101" s="167"/>
      <c r="W101" s="167"/>
      <c r="X101" s="167"/>
      <c r="Y101" s="167"/>
      <c r="Z101" s="167"/>
      <c r="AA101" s="167"/>
      <c r="AB101" s="167"/>
      <c r="AC101" s="167"/>
      <c r="AD101" s="167"/>
      <c r="AE101" s="167"/>
      <c r="AF101" s="167"/>
      <c r="AG101" s="167"/>
      <c r="AH101" s="167"/>
      <c r="AI101" s="167"/>
      <c r="AJ101" s="167"/>
      <c r="AK101" s="167"/>
      <c r="AL101" s="167"/>
      <c r="AM101" s="167"/>
      <c r="AN101" s="167"/>
      <c r="AO101" s="167"/>
      <c r="AP101" s="167"/>
      <c r="AQ101" s="167"/>
      <c r="AR101" s="167"/>
      <c r="AS101" s="167"/>
      <c r="AT101" s="167"/>
      <c r="AU101" s="181"/>
    </row>
    <row r="102" spans="1:47" ht="60" customHeight="1" x14ac:dyDescent="0.35">
      <c r="A102" s="177" t="s">
        <v>3900</v>
      </c>
      <c r="B102" s="151" t="s">
        <v>3924</v>
      </c>
      <c r="C102" s="152" t="s">
        <v>3938</v>
      </c>
      <c r="D102" s="155" t="s">
        <v>3939</v>
      </c>
      <c r="E102" s="158"/>
      <c r="F102" s="161" t="s">
        <v>19</v>
      </c>
      <c r="G102" s="164" t="str">
        <f>IF(COUNTIF(H102:AU102,"&lt;&gt;")=0,"",SUMPRODUCT(((Recommendations[ImplStatus]="Implemented")+(Recommendations[ImplStatus]="Compensated"))*ISNUMBER(MATCH(Recommendations[Id],H102:AU102,0)))/COUNTIF(H102:AU102,"&lt;&gt;"))</f>
        <v/>
      </c>
      <c r="H102" s="167"/>
      <c r="I102" s="167"/>
      <c r="J102" s="167"/>
      <c r="K102" s="167"/>
      <c r="L102" s="167"/>
      <c r="M102" s="167"/>
      <c r="N102" s="167"/>
      <c r="O102" s="167"/>
      <c r="P102" s="167"/>
      <c r="Q102" s="167"/>
      <c r="R102" s="167"/>
      <c r="S102" s="167"/>
      <c r="T102" s="167"/>
      <c r="U102" s="167"/>
      <c r="V102" s="167"/>
      <c r="W102" s="167"/>
      <c r="X102" s="167"/>
      <c r="Y102" s="167"/>
      <c r="Z102" s="167"/>
      <c r="AA102" s="167"/>
      <c r="AB102" s="167"/>
      <c r="AC102" s="167"/>
      <c r="AD102" s="167"/>
      <c r="AE102" s="167"/>
      <c r="AF102" s="167"/>
      <c r="AG102" s="167"/>
      <c r="AH102" s="167"/>
      <c r="AI102" s="167"/>
      <c r="AJ102" s="167"/>
      <c r="AK102" s="167"/>
      <c r="AL102" s="167"/>
      <c r="AM102" s="167"/>
      <c r="AN102" s="167"/>
      <c r="AO102" s="167"/>
      <c r="AP102" s="167"/>
      <c r="AQ102" s="167"/>
      <c r="AR102" s="167"/>
      <c r="AS102" s="167"/>
      <c r="AT102" s="167"/>
      <c r="AU102" s="181"/>
    </row>
    <row r="103" spans="1:47" ht="60" customHeight="1" outlineLevel="1" x14ac:dyDescent="0.35">
      <c r="A103" s="176" t="s">
        <v>3900</v>
      </c>
      <c r="B103" s="150" t="s">
        <v>3084</v>
      </c>
      <c r="C103" s="148" t="s">
        <v>3940</v>
      </c>
      <c r="D103" s="154" t="s">
        <v>3941</v>
      </c>
      <c r="E103" s="157" t="s">
        <v>19</v>
      </c>
      <c r="F103" s="160" t="s">
        <v>19</v>
      </c>
      <c r="G103" s="163" t="str">
        <f>IF(COUNTIF(H103:AU103,"&lt;&gt;")=0,"",SUMPRODUCT(((Recommendations[ImplStatus]="Implemented")+(Recommendations[ImplStatus]="Compensated"))*ISNUMBER(MATCH(Recommendations[Id],H103:AU103,0)))/COUNTIF(H103:AU103,"&lt;&gt;"))</f>
        <v/>
      </c>
      <c r="H103" s="166"/>
      <c r="I103" s="166"/>
      <c r="J103" s="166"/>
      <c r="K103" s="166"/>
      <c r="L103" s="166"/>
      <c r="M103" s="166"/>
      <c r="N103" s="166"/>
      <c r="O103" s="166"/>
      <c r="P103" s="166"/>
      <c r="Q103" s="166"/>
      <c r="R103" s="166"/>
      <c r="S103" s="166"/>
      <c r="T103" s="166"/>
      <c r="U103" s="166"/>
      <c r="V103" s="166"/>
      <c r="W103" s="166"/>
      <c r="X103" s="166"/>
      <c r="Y103" s="166"/>
      <c r="Z103" s="166"/>
      <c r="AA103" s="166"/>
      <c r="AB103" s="166"/>
      <c r="AC103" s="166"/>
      <c r="AD103" s="166"/>
      <c r="AE103" s="166"/>
      <c r="AF103" s="166"/>
      <c r="AG103" s="166"/>
      <c r="AH103" s="166"/>
      <c r="AI103" s="166"/>
      <c r="AJ103" s="166"/>
      <c r="AK103" s="166"/>
      <c r="AL103" s="166"/>
      <c r="AM103" s="166"/>
      <c r="AN103" s="166"/>
      <c r="AO103" s="166"/>
      <c r="AP103" s="166"/>
      <c r="AQ103" s="166"/>
      <c r="AR103" s="166"/>
      <c r="AS103" s="166"/>
      <c r="AT103" s="166"/>
      <c r="AU103" s="180"/>
    </row>
    <row r="104" spans="1:47" ht="60" customHeight="1" x14ac:dyDescent="0.35">
      <c r="A104" s="177" t="s">
        <v>3900</v>
      </c>
      <c r="B104" s="151" t="s">
        <v>3084</v>
      </c>
      <c r="C104" s="152" t="s">
        <v>3942</v>
      </c>
      <c r="D104" s="155" t="s">
        <v>3943</v>
      </c>
      <c r="E104" s="158" t="s">
        <v>3944</v>
      </c>
      <c r="F104" s="161" t="s">
        <v>3677</v>
      </c>
      <c r="G104" s="164" t="str">
        <f>IF(COUNTIF(H104:AU104,"&lt;&gt;")=0,"",SUMPRODUCT(((Recommendations[ImplStatus]="Implemented")+(Recommendations[ImplStatus]="Compensated"))*ISNUMBER(MATCH(Recommendations[Id],H104:AU104,0)))/COUNTIF(H104:AU104,"&lt;&gt;"))</f>
        <v/>
      </c>
      <c r="H104" s="167"/>
      <c r="I104" s="167"/>
      <c r="J104" s="167"/>
      <c r="K104" s="167"/>
      <c r="L104" s="167"/>
      <c r="M104" s="167"/>
      <c r="N104" s="167"/>
      <c r="O104" s="167"/>
      <c r="P104" s="167"/>
      <c r="Q104" s="167"/>
      <c r="R104" s="167"/>
      <c r="S104" s="167"/>
      <c r="T104" s="167"/>
      <c r="U104" s="167"/>
      <c r="V104" s="167"/>
      <c r="W104" s="167"/>
      <c r="X104" s="167"/>
      <c r="Y104" s="167"/>
      <c r="Z104" s="167"/>
      <c r="AA104" s="167"/>
      <c r="AB104" s="167"/>
      <c r="AC104" s="167"/>
      <c r="AD104" s="167"/>
      <c r="AE104" s="167"/>
      <c r="AF104" s="167"/>
      <c r="AG104" s="167"/>
      <c r="AH104" s="167"/>
      <c r="AI104" s="167"/>
      <c r="AJ104" s="167"/>
      <c r="AK104" s="167"/>
      <c r="AL104" s="167"/>
      <c r="AM104" s="167"/>
      <c r="AN104" s="167"/>
      <c r="AO104" s="167"/>
      <c r="AP104" s="167"/>
      <c r="AQ104" s="167"/>
      <c r="AR104" s="167"/>
      <c r="AS104" s="167"/>
      <c r="AT104" s="167"/>
      <c r="AU104" s="181"/>
    </row>
    <row r="105" spans="1:47" ht="60" customHeight="1" x14ac:dyDescent="0.35">
      <c r="A105" s="177" t="s">
        <v>3900</v>
      </c>
      <c r="B105" s="151" t="s">
        <v>3084</v>
      </c>
      <c r="C105" s="152" t="s">
        <v>3945</v>
      </c>
      <c r="D105" s="155" t="s">
        <v>3946</v>
      </c>
      <c r="E105" s="158" t="s">
        <v>3947</v>
      </c>
      <c r="F105" s="161" t="s">
        <v>3681</v>
      </c>
      <c r="G105" s="164" t="str">
        <f>IF(COUNTIF(H105:AU105,"&lt;&gt;")=0,"",SUMPRODUCT(((Recommendations[ImplStatus]="Implemented")+(Recommendations[ImplStatus]="Compensated"))*ISNUMBER(MATCH(Recommendations[Id],H105:AU105,0)))/COUNTIF(H105:AU105,"&lt;&gt;"))</f>
        <v/>
      </c>
      <c r="H105" s="167"/>
      <c r="I105" s="167"/>
      <c r="J105" s="167"/>
      <c r="K105" s="167"/>
      <c r="L105" s="167"/>
      <c r="M105" s="167"/>
      <c r="N105" s="167"/>
      <c r="O105" s="167"/>
      <c r="P105" s="167"/>
      <c r="Q105" s="167"/>
      <c r="R105" s="167"/>
      <c r="S105" s="167"/>
      <c r="T105" s="167"/>
      <c r="U105" s="167"/>
      <c r="V105" s="167"/>
      <c r="W105" s="167"/>
      <c r="X105" s="167"/>
      <c r="Y105" s="167"/>
      <c r="Z105" s="167"/>
      <c r="AA105" s="167"/>
      <c r="AB105" s="167"/>
      <c r="AC105" s="167"/>
      <c r="AD105" s="167"/>
      <c r="AE105" s="167"/>
      <c r="AF105" s="167"/>
      <c r="AG105" s="167"/>
      <c r="AH105" s="167"/>
      <c r="AI105" s="167"/>
      <c r="AJ105" s="167"/>
      <c r="AK105" s="167"/>
      <c r="AL105" s="167"/>
      <c r="AM105" s="167"/>
      <c r="AN105" s="167"/>
      <c r="AO105" s="167"/>
      <c r="AP105" s="167"/>
      <c r="AQ105" s="167"/>
      <c r="AR105" s="167"/>
      <c r="AS105" s="167"/>
      <c r="AT105" s="167"/>
      <c r="AU105" s="181"/>
    </row>
    <row r="106" spans="1:47" ht="60" customHeight="1" x14ac:dyDescent="0.35">
      <c r="A106" s="177" t="s">
        <v>3900</v>
      </c>
      <c r="B106" s="151" t="s">
        <v>3084</v>
      </c>
      <c r="C106" s="152" t="s">
        <v>3948</v>
      </c>
      <c r="D106" s="155" t="s">
        <v>3949</v>
      </c>
      <c r="E106" s="158"/>
      <c r="F106" s="161" t="s">
        <v>19</v>
      </c>
      <c r="G106" s="164" t="str">
        <f>IF(COUNTIF(H106:AU106,"&lt;&gt;")=0,"",SUMPRODUCT(((Recommendations[ImplStatus]="Implemented")+(Recommendations[ImplStatus]="Compensated"))*ISNUMBER(MATCH(Recommendations[Id],H106:AU106,0)))/COUNTIF(H106:AU106,"&lt;&gt;"))</f>
        <v/>
      </c>
      <c r="H106" s="167"/>
      <c r="I106" s="167"/>
      <c r="J106" s="167"/>
      <c r="K106" s="167"/>
      <c r="L106" s="167"/>
      <c r="M106" s="167"/>
      <c r="N106" s="167"/>
      <c r="O106" s="167"/>
      <c r="P106" s="167"/>
      <c r="Q106" s="167"/>
      <c r="R106" s="167"/>
      <c r="S106" s="167"/>
      <c r="T106" s="167"/>
      <c r="U106" s="167"/>
      <c r="V106" s="167"/>
      <c r="W106" s="167"/>
      <c r="X106" s="167"/>
      <c r="Y106" s="167"/>
      <c r="Z106" s="167"/>
      <c r="AA106" s="167"/>
      <c r="AB106" s="167"/>
      <c r="AC106" s="167"/>
      <c r="AD106" s="167"/>
      <c r="AE106" s="167"/>
      <c r="AF106" s="167"/>
      <c r="AG106" s="167"/>
      <c r="AH106" s="167"/>
      <c r="AI106" s="167"/>
      <c r="AJ106" s="167"/>
      <c r="AK106" s="167"/>
      <c r="AL106" s="167"/>
      <c r="AM106" s="167"/>
      <c r="AN106" s="167"/>
      <c r="AO106" s="167"/>
      <c r="AP106" s="167"/>
      <c r="AQ106" s="167"/>
      <c r="AR106" s="167"/>
      <c r="AS106" s="167"/>
      <c r="AT106" s="167"/>
      <c r="AU106" s="181"/>
    </row>
    <row r="107" spans="1:47" ht="60" customHeight="1" x14ac:dyDescent="0.35">
      <c r="A107" s="177" t="s">
        <v>3900</v>
      </c>
      <c r="B107" s="151" t="s">
        <v>3084</v>
      </c>
      <c r="C107" s="152" t="s">
        <v>3950</v>
      </c>
      <c r="D107" s="155" t="s">
        <v>3951</v>
      </c>
      <c r="E107" s="158"/>
      <c r="F107" s="161" t="s">
        <v>19</v>
      </c>
      <c r="G107" s="164" t="str">
        <f>IF(COUNTIF(H107:AU107,"&lt;&gt;")=0,"",SUMPRODUCT(((Recommendations[ImplStatus]="Implemented")+(Recommendations[ImplStatus]="Compensated"))*ISNUMBER(MATCH(Recommendations[Id],H107:AU107,0)))/COUNTIF(H107:AU107,"&lt;&gt;"))</f>
        <v/>
      </c>
      <c r="H107" s="167"/>
      <c r="I107" s="167"/>
      <c r="J107" s="167"/>
      <c r="K107" s="167"/>
      <c r="L107" s="167"/>
      <c r="M107" s="167"/>
      <c r="N107" s="167"/>
      <c r="O107" s="167"/>
      <c r="P107" s="167"/>
      <c r="Q107" s="167"/>
      <c r="R107" s="167"/>
      <c r="S107" s="167"/>
      <c r="T107" s="167"/>
      <c r="U107" s="167"/>
      <c r="V107" s="167"/>
      <c r="W107" s="167"/>
      <c r="X107" s="167"/>
      <c r="Y107" s="167"/>
      <c r="Z107" s="167"/>
      <c r="AA107" s="167"/>
      <c r="AB107" s="167"/>
      <c r="AC107" s="167"/>
      <c r="AD107" s="167"/>
      <c r="AE107" s="167"/>
      <c r="AF107" s="167"/>
      <c r="AG107" s="167"/>
      <c r="AH107" s="167"/>
      <c r="AI107" s="167"/>
      <c r="AJ107" s="167"/>
      <c r="AK107" s="167"/>
      <c r="AL107" s="167"/>
      <c r="AM107" s="167"/>
      <c r="AN107" s="167"/>
      <c r="AO107" s="167"/>
      <c r="AP107" s="167"/>
      <c r="AQ107" s="167"/>
      <c r="AR107" s="167"/>
      <c r="AS107" s="167"/>
      <c r="AT107" s="167"/>
      <c r="AU107" s="181"/>
    </row>
    <row r="108" spans="1:47" ht="60" customHeight="1" x14ac:dyDescent="0.35">
      <c r="A108" s="177" t="s">
        <v>3900</v>
      </c>
      <c r="B108" s="151" t="s">
        <v>3084</v>
      </c>
      <c r="C108" s="152" t="s">
        <v>3952</v>
      </c>
      <c r="D108" s="155" t="s">
        <v>3953</v>
      </c>
      <c r="E108" s="158"/>
      <c r="F108" s="161" t="s">
        <v>19</v>
      </c>
      <c r="G108" s="164" t="str">
        <f>IF(COUNTIF(H108:AU108,"&lt;&gt;")=0,"",SUMPRODUCT(((Recommendations[ImplStatus]="Implemented")+(Recommendations[ImplStatus]="Compensated"))*ISNUMBER(MATCH(Recommendations[Id],H108:AU108,0)))/COUNTIF(H108:AU108,"&lt;&gt;"))</f>
        <v/>
      </c>
      <c r="H108" s="167"/>
      <c r="I108" s="167"/>
      <c r="J108" s="167"/>
      <c r="K108" s="167"/>
      <c r="L108" s="167"/>
      <c r="M108" s="167"/>
      <c r="N108" s="167"/>
      <c r="O108" s="167"/>
      <c r="P108" s="167"/>
      <c r="Q108" s="167"/>
      <c r="R108" s="167"/>
      <c r="S108" s="167"/>
      <c r="T108" s="167"/>
      <c r="U108" s="167"/>
      <c r="V108" s="167"/>
      <c r="W108" s="167"/>
      <c r="X108" s="167"/>
      <c r="Y108" s="167"/>
      <c r="Z108" s="167"/>
      <c r="AA108" s="167"/>
      <c r="AB108" s="167"/>
      <c r="AC108" s="167"/>
      <c r="AD108" s="167"/>
      <c r="AE108" s="167"/>
      <c r="AF108" s="167"/>
      <c r="AG108" s="167"/>
      <c r="AH108" s="167"/>
      <c r="AI108" s="167"/>
      <c r="AJ108" s="167"/>
      <c r="AK108" s="167"/>
      <c r="AL108" s="167"/>
      <c r="AM108" s="167"/>
      <c r="AN108" s="167"/>
      <c r="AO108" s="167"/>
      <c r="AP108" s="167"/>
      <c r="AQ108" s="167"/>
      <c r="AR108" s="167"/>
      <c r="AS108" s="167"/>
      <c r="AT108" s="167"/>
      <c r="AU108" s="181"/>
    </row>
    <row r="109" spans="1:47" ht="60" customHeight="1" outlineLevel="1" x14ac:dyDescent="0.35">
      <c r="A109" s="176" t="s">
        <v>3900</v>
      </c>
      <c r="B109" s="150" t="s">
        <v>3954</v>
      </c>
      <c r="C109" s="148" t="s">
        <v>3955</v>
      </c>
      <c r="D109" s="154" t="s">
        <v>3956</v>
      </c>
      <c r="E109" s="157" t="s">
        <v>19</v>
      </c>
      <c r="F109" s="160" t="s">
        <v>19</v>
      </c>
      <c r="G109" s="163" t="str">
        <f>IF(COUNTIF(H109:AU109,"&lt;&gt;")=0,"",SUMPRODUCT(((Recommendations[ImplStatus]="Implemented")+(Recommendations[ImplStatus]="Compensated"))*ISNUMBER(MATCH(Recommendations[Id],H109:AU109,0)))/COUNTIF(H109:AU109,"&lt;&gt;"))</f>
        <v/>
      </c>
      <c r="H109" s="166"/>
      <c r="I109" s="166"/>
      <c r="J109" s="166"/>
      <c r="K109" s="166"/>
      <c r="L109" s="166"/>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80"/>
    </row>
    <row r="110" spans="1:47" ht="60" customHeight="1" x14ac:dyDescent="0.35">
      <c r="A110" s="177" t="s">
        <v>3900</v>
      </c>
      <c r="B110" s="151" t="s">
        <v>3954</v>
      </c>
      <c r="C110" s="152" t="s">
        <v>3957</v>
      </c>
      <c r="D110" s="155" t="s">
        <v>3958</v>
      </c>
      <c r="E110" s="158" t="s">
        <v>3959</v>
      </c>
      <c r="F110" s="161" t="s">
        <v>3677</v>
      </c>
      <c r="G110" s="164">
        <f>IF(COUNTIF(H110:AU110,"&lt;&gt;")=0,"",SUMPRODUCT(((Recommendations[ImplStatus]="Implemented")+(Recommendations[ImplStatus]="Compensated"))*ISNUMBER(MATCH(Recommendations[Id],H110:AU110,0)))/COUNTIF(H110:AU110,"&lt;&gt;"))</f>
        <v>0</v>
      </c>
      <c r="H110" s="167" t="s">
        <v>43</v>
      </c>
      <c r="I110" s="167" t="s">
        <v>92</v>
      </c>
      <c r="J110" s="167" t="s">
        <v>373</v>
      </c>
      <c r="K110" s="167"/>
      <c r="L110" s="167"/>
      <c r="M110" s="167"/>
      <c r="N110" s="167"/>
      <c r="O110" s="167"/>
      <c r="P110" s="167"/>
      <c r="Q110" s="167"/>
      <c r="R110" s="167"/>
      <c r="S110" s="167"/>
      <c r="T110" s="167"/>
      <c r="U110" s="167"/>
      <c r="V110" s="167"/>
      <c r="W110" s="167"/>
      <c r="X110" s="167"/>
      <c r="Y110" s="167"/>
      <c r="Z110" s="167"/>
      <c r="AA110" s="167"/>
      <c r="AB110" s="167"/>
      <c r="AC110" s="167"/>
      <c r="AD110" s="167"/>
      <c r="AE110" s="167"/>
      <c r="AF110" s="167"/>
      <c r="AG110" s="167"/>
      <c r="AH110" s="167"/>
      <c r="AI110" s="167"/>
      <c r="AJ110" s="167"/>
      <c r="AK110" s="167"/>
      <c r="AL110" s="167"/>
      <c r="AM110" s="167"/>
      <c r="AN110" s="167"/>
      <c r="AO110" s="167"/>
      <c r="AP110" s="167"/>
      <c r="AQ110" s="167"/>
      <c r="AR110" s="167"/>
      <c r="AS110" s="167"/>
      <c r="AT110" s="167"/>
      <c r="AU110" s="181"/>
    </row>
    <row r="111" spans="1:47" ht="60" customHeight="1" x14ac:dyDescent="0.35">
      <c r="A111" s="177" t="s">
        <v>3900</v>
      </c>
      <c r="B111" s="151" t="s">
        <v>3954</v>
      </c>
      <c r="C111" s="152" t="s">
        <v>3960</v>
      </c>
      <c r="D111" s="155" t="s">
        <v>3961</v>
      </c>
      <c r="E111" s="158" t="s">
        <v>3962</v>
      </c>
      <c r="F111" s="161" t="s">
        <v>3677</v>
      </c>
      <c r="G111" s="164">
        <f>IF(COUNTIF(H111:AU111,"&lt;&gt;")=0,"",SUMPRODUCT(((Recommendations[ImplStatus]="Implemented")+(Recommendations[ImplStatus]="Compensated"))*ISNUMBER(MATCH(Recommendations[Id],H111:AU111,0)))/COUNTIF(H111:AU111,"&lt;&gt;"))</f>
        <v>0</v>
      </c>
      <c r="H111" s="167" t="s">
        <v>38</v>
      </c>
      <c r="I111" s="167" t="s">
        <v>82</v>
      </c>
      <c r="J111" s="167" t="s">
        <v>87</v>
      </c>
      <c r="K111" s="167" t="s">
        <v>125</v>
      </c>
      <c r="L111" s="167" t="s">
        <v>130</v>
      </c>
      <c r="M111" s="167" t="s">
        <v>164</v>
      </c>
      <c r="N111" s="167" t="s">
        <v>169</v>
      </c>
      <c r="O111" s="167" t="s">
        <v>199</v>
      </c>
      <c r="P111" s="167" t="s">
        <v>358</v>
      </c>
      <c r="Q111" s="167" t="s">
        <v>363</v>
      </c>
      <c r="R111" s="167" t="s">
        <v>506</v>
      </c>
      <c r="S111" s="167" t="s">
        <v>1454</v>
      </c>
      <c r="T111" s="167" t="s">
        <v>1459</v>
      </c>
      <c r="U111" s="167" t="s">
        <v>1463</v>
      </c>
      <c r="V111" s="167" t="s">
        <v>1738</v>
      </c>
      <c r="W111" s="167" t="s">
        <v>1743</v>
      </c>
      <c r="X111" s="167" t="s">
        <v>1747</v>
      </c>
      <c r="Y111" s="167" t="s">
        <v>1751</v>
      </c>
      <c r="Z111" s="167" t="s">
        <v>1755</v>
      </c>
      <c r="AA111" s="167" t="s">
        <v>1760</v>
      </c>
      <c r="AB111" s="167" t="s">
        <v>1764</v>
      </c>
      <c r="AC111" s="167" t="s">
        <v>1769</v>
      </c>
      <c r="AD111" s="167" t="s">
        <v>1774</v>
      </c>
      <c r="AE111" s="167" t="s">
        <v>1779</v>
      </c>
      <c r="AF111" s="167"/>
      <c r="AG111" s="167"/>
      <c r="AH111" s="167"/>
      <c r="AI111" s="167"/>
      <c r="AJ111" s="167"/>
      <c r="AK111" s="167"/>
      <c r="AL111" s="167"/>
      <c r="AM111" s="167"/>
      <c r="AN111" s="167"/>
      <c r="AO111" s="167"/>
      <c r="AP111" s="167"/>
      <c r="AQ111" s="167"/>
      <c r="AR111" s="167"/>
      <c r="AS111" s="167"/>
      <c r="AT111" s="167"/>
      <c r="AU111" s="181"/>
    </row>
    <row r="112" spans="1:47" ht="60" customHeight="1" x14ac:dyDescent="0.35">
      <c r="A112" s="177" t="s">
        <v>3900</v>
      </c>
      <c r="B112" s="151" t="s">
        <v>3954</v>
      </c>
      <c r="C112" s="152" t="s">
        <v>3963</v>
      </c>
      <c r="D112" s="155" t="s">
        <v>3964</v>
      </c>
      <c r="E112" s="158"/>
      <c r="F112" s="161" t="s">
        <v>19</v>
      </c>
      <c r="G112" s="164" t="str">
        <f>IF(COUNTIF(H112:AU112,"&lt;&gt;")=0,"",SUMPRODUCT(((Recommendations[ImplStatus]="Implemented")+(Recommendations[ImplStatus]="Compensated"))*ISNUMBER(MATCH(Recommendations[Id],H112:AU112,0)))/COUNTIF(H112:AU112,"&lt;&gt;"))</f>
        <v/>
      </c>
      <c r="H112" s="167"/>
      <c r="I112" s="167"/>
      <c r="J112" s="167"/>
      <c r="K112" s="167"/>
      <c r="L112" s="167"/>
      <c r="M112" s="167"/>
      <c r="N112" s="167"/>
      <c r="O112" s="167"/>
      <c r="P112" s="167"/>
      <c r="Q112" s="167"/>
      <c r="R112" s="167"/>
      <c r="S112" s="167"/>
      <c r="T112" s="167"/>
      <c r="U112" s="167"/>
      <c r="V112" s="167"/>
      <c r="W112" s="167"/>
      <c r="X112" s="167"/>
      <c r="Y112" s="167"/>
      <c r="Z112" s="167"/>
      <c r="AA112" s="167"/>
      <c r="AB112" s="167"/>
      <c r="AC112" s="167"/>
      <c r="AD112" s="167"/>
      <c r="AE112" s="167"/>
      <c r="AF112" s="167"/>
      <c r="AG112" s="167"/>
      <c r="AH112" s="167"/>
      <c r="AI112" s="167"/>
      <c r="AJ112" s="167"/>
      <c r="AK112" s="167"/>
      <c r="AL112" s="167"/>
      <c r="AM112" s="167"/>
      <c r="AN112" s="167"/>
      <c r="AO112" s="167"/>
      <c r="AP112" s="167"/>
      <c r="AQ112" s="167"/>
      <c r="AR112" s="167"/>
      <c r="AS112" s="167"/>
      <c r="AT112" s="167"/>
      <c r="AU112" s="181"/>
    </row>
    <row r="113" spans="1:47" ht="60" customHeight="1" x14ac:dyDescent="0.35">
      <c r="A113" s="177" t="s">
        <v>3900</v>
      </c>
      <c r="B113" s="151" t="s">
        <v>3954</v>
      </c>
      <c r="C113" s="152" t="s">
        <v>3965</v>
      </c>
      <c r="D113" s="155" t="s">
        <v>3966</v>
      </c>
      <c r="E113" s="158"/>
      <c r="F113" s="161" t="s">
        <v>19</v>
      </c>
      <c r="G113" s="164" t="str">
        <f>IF(COUNTIF(H113:AU113,"&lt;&gt;")=0,"",SUMPRODUCT(((Recommendations[ImplStatus]="Implemented")+(Recommendations[ImplStatus]="Compensated"))*ISNUMBER(MATCH(Recommendations[Id],H113:AU113,0)))/COUNTIF(H113:AU113,"&lt;&gt;"))</f>
        <v/>
      </c>
      <c r="H113" s="167"/>
      <c r="I113" s="167"/>
      <c r="J113" s="167"/>
      <c r="K113" s="167"/>
      <c r="L113" s="167"/>
      <c r="M113" s="167"/>
      <c r="N113" s="167"/>
      <c r="O113" s="167"/>
      <c r="P113" s="167"/>
      <c r="Q113" s="167"/>
      <c r="R113" s="167"/>
      <c r="S113" s="167"/>
      <c r="T113" s="167"/>
      <c r="U113" s="167"/>
      <c r="V113" s="167"/>
      <c r="W113" s="167"/>
      <c r="X113" s="167"/>
      <c r="Y113" s="167"/>
      <c r="Z113" s="167"/>
      <c r="AA113" s="167"/>
      <c r="AB113" s="167"/>
      <c r="AC113" s="167"/>
      <c r="AD113" s="167"/>
      <c r="AE113" s="167"/>
      <c r="AF113" s="167"/>
      <c r="AG113" s="167"/>
      <c r="AH113" s="167"/>
      <c r="AI113" s="167"/>
      <c r="AJ113" s="167"/>
      <c r="AK113" s="167"/>
      <c r="AL113" s="167"/>
      <c r="AM113" s="167"/>
      <c r="AN113" s="167"/>
      <c r="AO113" s="167"/>
      <c r="AP113" s="167"/>
      <c r="AQ113" s="167"/>
      <c r="AR113" s="167"/>
      <c r="AS113" s="167"/>
      <c r="AT113" s="167"/>
      <c r="AU113" s="181"/>
    </row>
    <row r="114" spans="1:47" ht="60" customHeight="1" x14ac:dyDescent="0.35">
      <c r="A114" s="177" t="s">
        <v>3900</v>
      </c>
      <c r="B114" s="151" t="s">
        <v>3954</v>
      </c>
      <c r="C114" s="152" t="s">
        <v>3967</v>
      </c>
      <c r="D114" s="155" t="s">
        <v>3968</v>
      </c>
      <c r="E114" s="158"/>
      <c r="F114" s="161" t="s">
        <v>19</v>
      </c>
      <c r="G114" s="164" t="str">
        <f>IF(COUNTIF(H114:AU114,"&lt;&gt;")=0,"",SUMPRODUCT(((Recommendations[ImplStatus]="Implemented")+(Recommendations[ImplStatus]="Compensated"))*ISNUMBER(MATCH(Recommendations[Id],H114:AU114,0)))/COUNTIF(H114:AU114,"&lt;&gt;"))</f>
        <v/>
      </c>
      <c r="H114" s="167"/>
      <c r="I114" s="167"/>
      <c r="J114" s="167"/>
      <c r="K114" s="167"/>
      <c r="L114" s="167"/>
      <c r="M114" s="167"/>
      <c r="N114" s="167"/>
      <c r="O114" s="167"/>
      <c r="P114" s="167"/>
      <c r="Q114" s="167"/>
      <c r="R114" s="167"/>
      <c r="S114" s="167"/>
      <c r="T114" s="167"/>
      <c r="U114" s="167"/>
      <c r="V114" s="167"/>
      <c r="W114" s="167"/>
      <c r="X114" s="167"/>
      <c r="Y114" s="167"/>
      <c r="Z114" s="167"/>
      <c r="AA114" s="167"/>
      <c r="AB114" s="167"/>
      <c r="AC114" s="167"/>
      <c r="AD114" s="167"/>
      <c r="AE114" s="167"/>
      <c r="AF114" s="167"/>
      <c r="AG114" s="167"/>
      <c r="AH114" s="167"/>
      <c r="AI114" s="167"/>
      <c r="AJ114" s="167"/>
      <c r="AK114" s="167"/>
      <c r="AL114" s="167"/>
      <c r="AM114" s="167"/>
      <c r="AN114" s="167"/>
      <c r="AO114" s="167"/>
      <c r="AP114" s="167"/>
      <c r="AQ114" s="167"/>
      <c r="AR114" s="167"/>
      <c r="AS114" s="167"/>
      <c r="AT114" s="167"/>
      <c r="AU114" s="181"/>
    </row>
    <row r="115" spans="1:47" ht="60" customHeight="1" x14ac:dyDescent="0.35">
      <c r="A115" s="177" t="s">
        <v>3900</v>
      </c>
      <c r="B115" s="151" t="s">
        <v>3954</v>
      </c>
      <c r="C115" s="152" t="s">
        <v>3969</v>
      </c>
      <c r="D115" s="155" t="s">
        <v>3970</v>
      </c>
      <c r="E115" s="158"/>
      <c r="F115" s="161" t="s">
        <v>19</v>
      </c>
      <c r="G115" s="164">
        <f>IF(COUNTIF(H115:AU115,"&lt;&gt;")=0,"",SUMPRODUCT(((Recommendations[ImplStatus]="Implemented")+(Recommendations[ImplStatus]="Compensated"))*ISNUMBER(MATCH(Recommendations[Id],H115:AU115,0)))/COUNTIF(H115:AU115,"&lt;&gt;"))</f>
        <v>0</v>
      </c>
      <c r="H115" s="167" t="s">
        <v>230</v>
      </c>
      <c r="I115" s="167" t="s">
        <v>235</v>
      </c>
      <c r="J115" s="167" t="s">
        <v>1593</v>
      </c>
      <c r="K115" s="167" t="s">
        <v>1598</v>
      </c>
      <c r="L115" s="167" t="s">
        <v>1670</v>
      </c>
      <c r="M115" s="167"/>
      <c r="N115" s="167"/>
      <c r="O115" s="167"/>
      <c r="P115" s="167"/>
      <c r="Q115" s="167"/>
      <c r="R115" s="167"/>
      <c r="S115" s="167"/>
      <c r="T115" s="167"/>
      <c r="U115" s="167"/>
      <c r="V115" s="167"/>
      <c r="W115" s="167"/>
      <c r="X115" s="167"/>
      <c r="Y115" s="167"/>
      <c r="Z115" s="167"/>
      <c r="AA115" s="167"/>
      <c r="AB115" s="167"/>
      <c r="AC115" s="167"/>
      <c r="AD115" s="167"/>
      <c r="AE115" s="167"/>
      <c r="AF115" s="167"/>
      <c r="AG115" s="167"/>
      <c r="AH115" s="167"/>
      <c r="AI115" s="167"/>
      <c r="AJ115" s="167"/>
      <c r="AK115" s="167"/>
      <c r="AL115" s="167"/>
      <c r="AM115" s="167"/>
      <c r="AN115" s="167"/>
      <c r="AO115" s="167"/>
      <c r="AP115" s="167"/>
      <c r="AQ115" s="167"/>
      <c r="AR115" s="167"/>
      <c r="AS115" s="167"/>
      <c r="AT115" s="167"/>
      <c r="AU115" s="181"/>
    </row>
    <row r="116" spans="1:47" ht="60" customHeight="1" x14ac:dyDescent="0.35">
      <c r="A116" s="177" t="s">
        <v>3900</v>
      </c>
      <c r="B116" s="151" t="s">
        <v>3954</v>
      </c>
      <c r="C116" s="152" t="s">
        <v>3971</v>
      </c>
      <c r="D116" s="155" t="s">
        <v>3972</v>
      </c>
      <c r="E116" s="158"/>
      <c r="F116" s="161" t="s">
        <v>19</v>
      </c>
      <c r="G116" s="164" t="str">
        <f>IF(COUNTIF(H116:AU116,"&lt;&gt;")=0,"",SUMPRODUCT(((Recommendations[ImplStatus]="Implemented")+(Recommendations[ImplStatus]="Compensated"))*ISNUMBER(MATCH(Recommendations[Id],H116:AU116,0)))/COUNTIF(H116:AU116,"&lt;&gt;"))</f>
        <v/>
      </c>
      <c r="H116" s="167"/>
      <c r="I116" s="167"/>
      <c r="J116" s="167"/>
      <c r="K116" s="167"/>
      <c r="L116" s="167"/>
      <c r="M116" s="167"/>
      <c r="N116" s="167"/>
      <c r="O116" s="167"/>
      <c r="P116" s="167"/>
      <c r="Q116" s="167"/>
      <c r="R116" s="167"/>
      <c r="S116" s="167"/>
      <c r="T116" s="167"/>
      <c r="U116" s="167"/>
      <c r="V116" s="167"/>
      <c r="W116" s="167"/>
      <c r="X116" s="167"/>
      <c r="Y116" s="167"/>
      <c r="Z116" s="167"/>
      <c r="AA116" s="167"/>
      <c r="AB116" s="167"/>
      <c r="AC116" s="167"/>
      <c r="AD116" s="167"/>
      <c r="AE116" s="167"/>
      <c r="AF116" s="167"/>
      <c r="AG116" s="167"/>
      <c r="AH116" s="167"/>
      <c r="AI116" s="167"/>
      <c r="AJ116" s="167"/>
      <c r="AK116" s="167"/>
      <c r="AL116" s="167"/>
      <c r="AM116" s="167"/>
      <c r="AN116" s="167"/>
      <c r="AO116" s="167"/>
      <c r="AP116" s="167"/>
      <c r="AQ116" s="167"/>
      <c r="AR116" s="167"/>
      <c r="AS116" s="167"/>
      <c r="AT116" s="167"/>
      <c r="AU116" s="181"/>
    </row>
    <row r="117" spans="1:47" ht="60" customHeight="1" x14ac:dyDescent="0.35">
      <c r="A117" s="177" t="s">
        <v>3900</v>
      </c>
      <c r="B117" s="151" t="s">
        <v>3954</v>
      </c>
      <c r="C117" s="152" t="s">
        <v>3973</v>
      </c>
      <c r="D117" s="155" t="s">
        <v>3974</v>
      </c>
      <c r="E117" s="158"/>
      <c r="F117" s="161" t="s">
        <v>19</v>
      </c>
      <c r="G117" s="164" t="str">
        <f>IF(COUNTIF(H117:AU117,"&lt;&gt;")=0,"",SUMPRODUCT(((Recommendations[ImplStatus]="Implemented")+(Recommendations[ImplStatus]="Compensated"))*ISNUMBER(MATCH(Recommendations[Id],H117:AU117,0)))/COUNTIF(H117:AU117,"&lt;&gt;"))</f>
        <v/>
      </c>
      <c r="H117" s="167"/>
      <c r="I117" s="167"/>
      <c r="J117" s="167"/>
      <c r="K117" s="167"/>
      <c r="L117" s="167"/>
      <c r="M117" s="167"/>
      <c r="N117" s="167"/>
      <c r="O117" s="167"/>
      <c r="P117" s="167"/>
      <c r="Q117" s="167"/>
      <c r="R117" s="167"/>
      <c r="S117" s="167"/>
      <c r="T117" s="167"/>
      <c r="U117" s="167"/>
      <c r="V117" s="167"/>
      <c r="W117" s="167"/>
      <c r="X117" s="167"/>
      <c r="Y117" s="167"/>
      <c r="Z117" s="167"/>
      <c r="AA117" s="167"/>
      <c r="AB117" s="167"/>
      <c r="AC117" s="167"/>
      <c r="AD117" s="167"/>
      <c r="AE117" s="167"/>
      <c r="AF117" s="167"/>
      <c r="AG117" s="167"/>
      <c r="AH117" s="167"/>
      <c r="AI117" s="167"/>
      <c r="AJ117" s="167"/>
      <c r="AK117" s="167"/>
      <c r="AL117" s="167"/>
      <c r="AM117" s="167"/>
      <c r="AN117" s="167"/>
      <c r="AO117" s="167"/>
      <c r="AP117" s="167"/>
      <c r="AQ117" s="167"/>
      <c r="AR117" s="167"/>
      <c r="AS117" s="167"/>
      <c r="AT117" s="167"/>
      <c r="AU117" s="181"/>
    </row>
    <row r="118" spans="1:47" ht="60" customHeight="1" x14ac:dyDescent="0.35">
      <c r="A118" s="177" t="s">
        <v>3900</v>
      </c>
      <c r="B118" s="151" t="s">
        <v>3954</v>
      </c>
      <c r="C118" s="152" t="s">
        <v>3975</v>
      </c>
      <c r="D118" s="155" t="s">
        <v>3976</v>
      </c>
      <c r="E118" s="158" t="s">
        <v>3977</v>
      </c>
      <c r="F118" s="161" t="s">
        <v>3677</v>
      </c>
      <c r="G118" s="164" t="str">
        <f>IF(COUNTIF(H118:AU118,"&lt;&gt;")=0,"",SUMPRODUCT(((Recommendations[ImplStatus]="Implemented")+(Recommendations[ImplStatus]="Compensated"))*ISNUMBER(MATCH(Recommendations[Id],H118:AU118,0)))/COUNTIF(H118:AU118,"&lt;&gt;"))</f>
        <v/>
      </c>
      <c r="H118" s="167"/>
      <c r="I118" s="167"/>
      <c r="J118" s="167"/>
      <c r="K118" s="167"/>
      <c r="L118" s="167"/>
      <c r="M118" s="167"/>
      <c r="N118" s="167"/>
      <c r="O118" s="167"/>
      <c r="P118" s="167"/>
      <c r="Q118" s="167"/>
      <c r="R118" s="167"/>
      <c r="S118" s="167"/>
      <c r="T118" s="167"/>
      <c r="U118" s="167"/>
      <c r="V118" s="167"/>
      <c r="W118" s="167"/>
      <c r="X118" s="167"/>
      <c r="Y118" s="167"/>
      <c r="Z118" s="167"/>
      <c r="AA118" s="167"/>
      <c r="AB118" s="167"/>
      <c r="AC118" s="167"/>
      <c r="AD118" s="167"/>
      <c r="AE118" s="167"/>
      <c r="AF118" s="167"/>
      <c r="AG118" s="167"/>
      <c r="AH118" s="167"/>
      <c r="AI118" s="167"/>
      <c r="AJ118" s="167"/>
      <c r="AK118" s="167"/>
      <c r="AL118" s="167"/>
      <c r="AM118" s="167"/>
      <c r="AN118" s="167"/>
      <c r="AO118" s="167"/>
      <c r="AP118" s="167"/>
      <c r="AQ118" s="167"/>
      <c r="AR118" s="167"/>
      <c r="AS118" s="167"/>
      <c r="AT118" s="167"/>
      <c r="AU118" s="181"/>
    </row>
    <row r="119" spans="1:47" ht="60" customHeight="1" x14ac:dyDescent="0.35">
      <c r="A119" s="177" t="s">
        <v>3900</v>
      </c>
      <c r="B119" s="151" t="s">
        <v>3954</v>
      </c>
      <c r="C119" s="152" t="s">
        <v>3978</v>
      </c>
      <c r="D119" s="155" t="s">
        <v>3979</v>
      </c>
      <c r="E119" s="158" t="s">
        <v>3980</v>
      </c>
      <c r="F119" s="161" t="s">
        <v>3677</v>
      </c>
      <c r="G119" s="164" t="str">
        <f>IF(COUNTIF(H119:AU119,"&lt;&gt;")=0,"",SUMPRODUCT(((Recommendations[ImplStatus]="Implemented")+(Recommendations[ImplStatus]="Compensated"))*ISNUMBER(MATCH(Recommendations[Id],H119:AU119,0)))/COUNTIF(H119:AU119,"&lt;&gt;"))</f>
        <v/>
      </c>
      <c r="H119" s="167"/>
      <c r="I119" s="167"/>
      <c r="J119" s="167"/>
      <c r="K119" s="167"/>
      <c r="L119" s="167"/>
      <c r="M119" s="167"/>
      <c r="N119" s="167"/>
      <c r="O119" s="167"/>
      <c r="P119" s="167"/>
      <c r="Q119" s="167"/>
      <c r="R119" s="167"/>
      <c r="S119" s="167"/>
      <c r="T119" s="167"/>
      <c r="U119" s="167"/>
      <c r="V119" s="167"/>
      <c r="W119" s="167"/>
      <c r="X119" s="167"/>
      <c r="Y119" s="167"/>
      <c r="Z119" s="167"/>
      <c r="AA119" s="167"/>
      <c r="AB119" s="167"/>
      <c r="AC119" s="167"/>
      <c r="AD119" s="167"/>
      <c r="AE119" s="167"/>
      <c r="AF119" s="167"/>
      <c r="AG119" s="167"/>
      <c r="AH119" s="167"/>
      <c r="AI119" s="167"/>
      <c r="AJ119" s="167"/>
      <c r="AK119" s="167"/>
      <c r="AL119" s="167"/>
      <c r="AM119" s="167"/>
      <c r="AN119" s="167"/>
      <c r="AO119" s="167"/>
      <c r="AP119" s="167"/>
      <c r="AQ119" s="167"/>
      <c r="AR119" s="167"/>
      <c r="AS119" s="167"/>
      <c r="AT119" s="167"/>
      <c r="AU119" s="181"/>
    </row>
    <row r="120" spans="1:47" ht="60" customHeight="1" outlineLevel="1" x14ac:dyDescent="0.35">
      <c r="A120" s="176" t="s">
        <v>3900</v>
      </c>
      <c r="B120" s="150" t="s">
        <v>3981</v>
      </c>
      <c r="C120" s="148" t="s">
        <v>3982</v>
      </c>
      <c r="D120" s="154"/>
      <c r="E120" s="157" t="s">
        <v>19</v>
      </c>
      <c r="F120" s="160" t="s">
        <v>19</v>
      </c>
      <c r="G120" s="163" t="str">
        <f>IF(COUNTIF(H120:AU120,"&lt;&gt;")=0,"",SUMPRODUCT(((Recommendations[ImplStatus]="Implemented")+(Recommendations[ImplStatus]="Compensated"))*ISNUMBER(MATCH(Recommendations[Id],H120:AU120,0)))/COUNTIF(H120:AU120,"&lt;&gt;"))</f>
        <v/>
      </c>
      <c r="H120" s="166"/>
      <c r="I120" s="166"/>
      <c r="J120" s="166"/>
      <c r="K120" s="166"/>
      <c r="L120" s="166"/>
      <c r="M120" s="166"/>
      <c r="N120" s="166"/>
      <c r="O120" s="166"/>
      <c r="P120" s="166"/>
      <c r="Q120" s="166"/>
      <c r="R120" s="166"/>
      <c r="S120" s="166"/>
      <c r="T120" s="166"/>
      <c r="U120" s="166"/>
      <c r="V120" s="166"/>
      <c r="W120" s="166"/>
      <c r="X120" s="166"/>
      <c r="Y120" s="166"/>
      <c r="Z120" s="166"/>
      <c r="AA120" s="166"/>
      <c r="AB120" s="166"/>
      <c r="AC120" s="166"/>
      <c r="AD120" s="166"/>
      <c r="AE120" s="166"/>
      <c r="AF120" s="166"/>
      <c r="AG120" s="166"/>
      <c r="AH120" s="166"/>
      <c r="AI120" s="166"/>
      <c r="AJ120" s="166"/>
      <c r="AK120" s="166"/>
      <c r="AL120" s="166"/>
      <c r="AM120" s="166"/>
      <c r="AN120" s="166"/>
      <c r="AO120" s="166"/>
      <c r="AP120" s="166"/>
      <c r="AQ120" s="166"/>
      <c r="AR120" s="166"/>
      <c r="AS120" s="166"/>
      <c r="AT120" s="166"/>
      <c r="AU120" s="180"/>
    </row>
    <row r="121" spans="1:47" ht="60" customHeight="1" x14ac:dyDescent="0.35">
      <c r="A121" s="177" t="s">
        <v>3900</v>
      </c>
      <c r="B121" s="151" t="s">
        <v>3981</v>
      </c>
      <c r="C121" s="152" t="s">
        <v>3983</v>
      </c>
      <c r="D121" s="155" t="s">
        <v>3984</v>
      </c>
      <c r="E121" s="158"/>
      <c r="F121" s="161" t="s">
        <v>19</v>
      </c>
      <c r="G121" s="164" t="str">
        <f>IF(COUNTIF(H121:AU121,"&lt;&gt;")=0,"",SUMPRODUCT(((Recommendations[ImplStatus]="Implemented")+(Recommendations[ImplStatus]="Compensated"))*ISNUMBER(MATCH(Recommendations[Id],H121:AU121,0)))/COUNTIF(H121:AU121,"&lt;&gt;"))</f>
        <v/>
      </c>
      <c r="H121" s="167"/>
      <c r="I121" s="167"/>
      <c r="J121" s="167"/>
      <c r="K121" s="167"/>
      <c r="L121" s="167"/>
      <c r="M121" s="167"/>
      <c r="N121" s="167"/>
      <c r="O121" s="167"/>
      <c r="P121" s="167"/>
      <c r="Q121" s="167"/>
      <c r="R121" s="167"/>
      <c r="S121" s="167"/>
      <c r="T121" s="167"/>
      <c r="U121" s="167"/>
      <c r="V121" s="167"/>
      <c r="W121" s="167"/>
      <c r="X121" s="167"/>
      <c r="Y121" s="167"/>
      <c r="Z121" s="167"/>
      <c r="AA121" s="167"/>
      <c r="AB121" s="167"/>
      <c r="AC121" s="167"/>
      <c r="AD121" s="167"/>
      <c r="AE121" s="167"/>
      <c r="AF121" s="167"/>
      <c r="AG121" s="167"/>
      <c r="AH121" s="167"/>
      <c r="AI121" s="167"/>
      <c r="AJ121" s="167"/>
      <c r="AK121" s="167"/>
      <c r="AL121" s="167"/>
      <c r="AM121" s="167"/>
      <c r="AN121" s="167"/>
      <c r="AO121" s="167"/>
      <c r="AP121" s="167"/>
      <c r="AQ121" s="167"/>
      <c r="AR121" s="167"/>
      <c r="AS121" s="167"/>
      <c r="AT121" s="167"/>
      <c r="AU121" s="181"/>
    </row>
    <row r="122" spans="1:47" ht="60" customHeight="1" x14ac:dyDescent="0.35">
      <c r="A122" s="177" t="s">
        <v>3900</v>
      </c>
      <c r="B122" s="151" t="s">
        <v>3981</v>
      </c>
      <c r="C122" s="152" t="s">
        <v>3985</v>
      </c>
      <c r="D122" s="155" t="s">
        <v>3986</v>
      </c>
      <c r="E122" s="158"/>
      <c r="F122" s="161" t="s">
        <v>19</v>
      </c>
      <c r="G122" s="164" t="str">
        <f>IF(COUNTIF(H122:AU122,"&lt;&gt;")=0,"",SUMPRODUCT(((Recommendations[ImplStatus]="Implemented")+(Recommendations[ImplStatus]="Compensated"))*ISNUMBER(MATCH(Recommendations[Id],H122:AU122,0)))/COUNTIF(H122:AU122,"&lt;&gt;"))</f>
        <v/>
      </c>
      <c r="H122" s="167"/>
      <c r="I122" s="167"/>
      <c r="J122" s="167"/>
      <c r="K122" s="167"/>
      <c r="L122" s="167"/>
      <c r="M122" s="167"/>
      <c r="N122" s="167"/>
      <c r="O122" s="167"/>
      <c r="P122" s="167"/>
      <c r="Q122" s="167"/>
      <c r="R122" s="167"/>
      <c r="S122" s="167"/>
      <c r="T122" s="167"/>
      <c r="U122" s="167"/>
      <c r="V122" s="167"/>
      <c r="W122" s="167"/>
      <c r="X122" s="167"/>
      <c r="Y122" s="167"/>
      <c r="Z122" s="167"/>
      <c r="AA122" s="167"/>
      <c r="AB122" s="167"/>
      <c r="AC122" s="167"/>
      <c r="AD122" s="167"/>
      <c r="AE122" s="167"/>
      <c r="AF122" s="167"/>
      <c r="AG122" s="167"/>
      <c r="AH122" s="167"/>
      <c r="AI122" s="167"/>
      <c r="AJ122" s="167"/>
      <c r="AK122" s="167"/>
      <c r="AL122" s="167"/>
      <c r="AM122" s="167"/>
      <c r="AN122" s="167"/>
      <c r="AO122" s="167"/>
      <c r="AP122" s="167"/>
      <c r="AQ122" s="167"/>
      <c r="AR122" s="167"/>
      <c r="AS122" s="167"/>
      <c r="AT122" s="167"/>
      <c r="AU122" s="181"/>
    </row>
    <row r="123" spans="1:47" ht="60" customHeight="1" x14ac:dyDescent="0.35">
      <c r="A123" s="177" t="s">
        <v>3900</v>
      </c>
      <c r="B123" s="151" t="s">
        <v>3981</v>
      </c>
      <c r="C123" s="152" t="s">
        <v>3987</v>
      </c>
      <c r="D123" s="155" t="s">
        <v>3988</v>
      </c>
      <c r="E123" s="158"/>
      <c r="F123" s="161" t="s">
        <v>19</v>
      </c>
      <c r="G123" s="164" t="str">
        <f>IF(COUNTIF(H123:AU123,"&lt;&gt;")=0,"",SUMPRODUCT(((Recommendations[ImplStatus]="Implemented")+(Recommendations[ImplStatus]="Compensated"))*ISNUMBER(MATCH(Recommendations[Id],H123:AU123,0)))/COUNTIF(H123:AU123,"&lt;&gt;"))</f>
        <v/>
      </c>
      <c r="H123" s="167"/>
      <c r="I123" s="167"/>
      <c r="J123" s="167"/>
      <c r="K123" s="167"/>
      <c r="L123" s="167"/>
      <c r="M123" s="167"/>
      <c r="N123" s="167"/>
      <c r="O123" s="167"/>
      <c r="P123" s="167"/>
      <c r="Q123" s="167"/>
      <c r="R123" s="167"/>
      <c r="S123" s="167"/>
      <c r="T123" s="167"/>
      <c r="U123" s="167"/>
      <c r="V123" s="167"/>
      <c r="W123" s="167"/>
      <c r="X123" s="167"/>
      <c r="Y123" s="167"/>
      <c r="Z123" s="167"/>
      <c r="AA123" s="167"/>
      <c r="AB123" s="167"/>
      <c r="AC123" s="167"/>
      <c r="AD123" s="167"/>
      <c r="AE123" s="167"/>
      <c r="AF123" s="167"/>
      <c r="AG123" s="167"/>
      <c r="AH123" s="167"/>
      <c r="AI123" s="167"/>
      <c r="AJ123" s="167"/>
      <c r="AK123" s="167"/>
      <c r="AL123" s="167"/>
      <c r="AM123" s="167"/>
      <c r="AN123" s="167"/>
      <c r="AO123" s="167"/>
      <c r="AP123" s="167"/>
      <c r="AQ123" s="167"/>
      <c r="AR123" s="167"/>
      <c r="AS123" s="167"/>
      <c r="AT123" s="167"/>
      <c r="AU123" s="181"/>
    </row>
    <row r="124" spans="1:47" ht="60" customHeight="1" x14ac:dyDescent="0.35">
      <c r="A124" s="177" t="s">
        <v>3900</v>
      </c>
      <c r="B124" s="151" t="s">
        <v>3981</v>
      </c>
      <c r="C124" s="152" t="s">
        <v>3989</v>
      </c>
      <c r="D124" s="155" t="s">
        <v>3990</v>
      </c>
      <c r="E124" s="158"/>
      <c r="F124" s="161" t="s">
        <v>19</v>
      </c>
      <c r="G124" s="164" t="str">
        <f>IF(COUNTIF(H124:AU124,"&lt;&gt;")=0,"",SUMPRODUCT(((Recommendations[ImplStatus]="Implemented")+(Recommendations[ImplStatus]="Compensated"))*ISNUMBER(MATCH(Recommendations[Id],H124:AU124,0)))/COUNTIF(H124:AU124,"&lt;&gt;"))</f>
        <v/>
      </c>
      <c r="H124" s="167"/>
      <c r="I124" s="167"/>
      <c r="J124" s="167"/>
      <c r="K124" s="167"/>
      <c r="L124" s="167"/>
      <c r="M124" s="167"/>
      <c r="N124" s="167"/>
      <c r="O124" s="167"/>
      <c r="P124" s="167"/>
      <c r="Q124" s="167"/>
      <c r="R124" s="167"/>
      <c r="S124" s="167"/>
      <c r="T124" s="167"/>
      <c r="U124" s="167"/>
      <c r="V124" s="167"/>
      <c r="W124" s="167"/>
      <c r="X124" s="167"/>
      <c r="Y124" s="167"/>
      <c r="Z124" s="167"/>
      <c r="AA124" s="167"/>
      <c r="AB124" s="167"/>
      <c r="AC124" s="167"/>
      <c r="AD124" s="167"/>
      <c r="AE124" s="167"/>
      <c r="AF124" s="167"/>
      <c r="AG124" s="167"/>
      <c r="AH124" s="167"/>
      <c r="AI124" s="167"/>
      <c r="AJ124" s="167"/>
      <c r="AK124" s="167"/>
      <c r="AL124" s="167"/>
      <c r="AM124" s="167"/>
      <c r="AN124" s="167"/>
      <c r="AO124" s="167"/>
      <c r="AP124" s="167"/>
      <c r="AQ124" s="167"/>
      <c r="AR124" s="167"/>
      <c r="AS124" s="167"/>
      <c r="AT124" s="167"/>
      <c r="AU124" s="181"/>
    </row>
    <row r="125" spans="1:47" ht="60" customHeight="1" x14ac:dyDescent="0.35">
      <c r="A125" s="177" t="s">
        <v>3900</v>
      </c>
      <c r="B125" s="151" t="s">
        <v>3981</v>
      </c>
      <c r="C125" s="152" t="s">
        <v>3991</v>
      </c>
      <c r="D125" s="155" t="s">
        <v>3992</v>
      </c>
      <c r="E125" s="158"/>
      <c r="F125" s="161" t="s">
        <v>19</v>
      </c>
      <c r="G125" s="164" t="str">
        <f>IF(COUNTIF(H125:AU125,"&lt;&gt;")=0,"",SUMPRODUCT(((Recommendations[ImplStatus]="Implemented")+(Recommendations[ImplStatus]="Compensated"))*ISNUMBER(MATCH(Recommendations[Id],H125:AU125,0)))/COUNTIF(H125:AU125,"&lt;&gt;"))</f>
        <v/>
      </c>
      <c r="H125" s="167"/>
      <c r="I125" s="167"/>
      <c r="J125" s="167"/>
      <c r="K125" s="167"/>
      <c r="L125" s="167"/>
      <c r="M125" s="167"/>
      <c r="N125" s="167"/>
      <c r="O125" s="167"/>
      <c r="P125" s="167"/>
      <c r="Q125" s="167"/>
      <c r="R125" s="167"/>
      <c r="S125" s="167"/>
      <c r="T125" s="167"/>
      <c r="U125" s="167"/>
      <c r="V125" s="167"/>
      <c r="W125" s="167"/>
      <c r="X125" s="167"/>
      <c r="Y125" s="167"/>
      <c r="Z125" s="167"/>
      <c r="AA125" s="167"/>
      <c r="AB125" s="167"/>
      <c r="AC125" s="167"/>
      <c r="AD125" s="167"/>
      <c r="AE125" s="167"/>
      <c r="AF125" s="167"/>
      <c r="AG125" s="167"/>
      <c r="AH125" s="167"/>
      <c r="AI125" s="167"/>
      <c r="AJ125" s="167"/>
      <c r="AK125" s="167"/>
      <c r="AL125" s="167"/>
      <c r="AM125" s="167"/>
      <c r="AN125" s="167"/>
      <c r="AO125" s="167"/>
      <c r="AP125" s="167"/>
      <c r="AQ125" s="167"/>
      <c r="AR125" s="167"/>
      <c r="AS125" s="167"/>
      <c r="AT125" s="167"/>
      <c r="AU125" s="181"/>
    </row>
    <row r="126" spans="1:47" ht="60" customHeight="1" x14ac:dyDescent="0.35">
      <c r="A126" s="177" t="s">
        <v>3900</v>
      </c>
      <c r="B126" s="151" t="s">
        <v>3981</v>
      </c>
      <c r="C126" s="152" t="s">
        <v>3993</v>
      </c>
      <c r="D126" s="155" t="s">
        <v>3994</v>
      </c>
      <c r="E126" s="158"/>
      <c r="F126" s="161" t="s">
        <v>19</v>
      </c>
      <c r="G126" s="164" t="str">
        <f>IF(COUNTIF(H126:AU126,"&lt;&gt;")=0,"",SUMPRODUCT(((Recommendations[ImplStatus]="Implemented")+(Recommendations[ImplStatus]="Compensated"))*ISNUMBER(MATCH(Recommendations[Id],H126:AU126,0)))/COUNTIF(H126:AU126,"&lt;&gt;"))</f>
        <v/>
      </c>
      <c r="H126" s="167"/>
      <c r="I126" s="167"/>
      <c r="J126" s="167"/>
      <c r="K126" s="167"/>
      <c r="L126" s="167"/>
      <c r="M126" s="167"/>
      <c r="N126" s="167"/>
      <c r="O126" s="167"/>
      <c r="P126" s="167"/>
      <c r="Q126" s="167"/>
      <c r="R126" s="167"/>
      <c r="S126" s="167"/>
      <c r="T126" s="167"/>
      <c r="U126" s="167"/>
      <c r="V126" s="167"/>
      <c r="W126" s="167"/>
      <c r="X126" s="167"/>
      <c r="Y126" s="167"/>
      <c r="Z126" s="167"/>
      <c r="AA126" s="167"/>
      <c r="AB126" s="167"/>
      <c r="AC126" s="167"/>
      <c r="AD126" s="167"/>
      <c r="AE126" s="167"/>
      <c r="AF126" s="167"/>
      <c r="AG126" s="167"/>
      <c r="AH126" s="167"/>
      <c r="AI126" s="167"/>
      <c r="AJ126" s="167"/>
      <c r="AK126" s="167"/>
      <c r="AL126" s="167"/>
      <c r="AM126" s="167"/>
      <c r="AN126" s="167"/>
      <c r="AO126" s="167"/>
      <c r="AP126" s="167"/>
      <c r="AQ126" s="167"/>
      <c r="AR126" s="167"/>
      <c r="AS126" s="167"/>
      <c r="AT126" s="167"/>
      <c r="AU126" s="181"/>
    </row>
    <row r="127" spans="1:47" ht="60" customHeight="1" x14ac:dyDescent="0.35">
      <c r="A127" s="177" t="s">
        <v>3900</v>
      </c>
      <c r="B127" s="151" t="s">
        <v>3981</v>
      </c>
      <c r="C127" s="152" t="s">
        <v>3995</v>
      </c>
      <c r="D127" s="155" t="s">
        <v>3996</v>
      </c>
      <c r="E127" s="158"/>
      <c r="F127" s="161" t="s">
        <v>19</v>
      </c>
      <c r="G127" s="164" t="str">
        <f>IF(COUNTIF(H127:AU127,"&lt;&gt;")=0,"",SUMPRODUCT(((Recommendations[ImplStatus]="Implemented")+(Recommendations[ImplStatus]="Compensated"))*ISNUMBER(MATCH(Recommendations[Id],H127:AU127,0)))/COUNTIF(H127:AU127,"&lt;&gt;"))</f>
        <v/>
      </c>
      <c r="H127" s="167"/>
      <c r="I127" s="167"/>
      <c r="J127" s="167"/>
      <c r="K127" s="167"/>
      <c r="L127" s="167"/>
      <c r="M127" s="167"/>
      <c r="N127" s="167"/>
      <c r="O127" s="167"/>
      <c r="P127" s="167"/>
      <c r="Q127" s="167"/>
      <c r="R127" s="167"/>
      <c r="S127" s="167"/>
      <c r="T127" s="167"/>
      <c r="U127" s="167"/>
      <c r="V127" s="167"/>
      <c r="W127" s="167"/>
      <c r="X127" s="167"/>
      <c r="Y127" s="167"/>
      <c r="Z127" s="167"/>
      <c r="AA127" s="167"/>
      <c r="AB127" s="167"/>
      <c r="AC127" s="167"/>
      <c r="AD127" s="167"/>
      <c r="AE127" s="167"/>
      <c r="AF127" s="167"/>
      <c r="AG127" s="167"/>
      <c r="AH127" s="167"/>
      <c r="AI127" s="167"/>
      <c r="AJ127" s="167"/>
      <c r="AK127" s="167"/>
      <c r="AL127" s="167"/>
      <c r="AM127" s="167"/>
      <c r="AN127" s="167"/>
      <c r="AO127" s="167"/>
      <c r="AP127" s="167"/>
      <c r="AQ127" s="167"/>
      <c r="AR127" s="167"/>
      <c r="AS127" s="167"/>
      <c r="AT127" s="167"/>
      <c r="AU127" s="181"/>
    </row>
    <row r="128" spans="1:47" ht="60" customHeight="1" x14ac:dyDescent="0.35">
      <c r="A128" s="177" t="s">
        <v>3900</v>
      </c>
      <c r="B128" s="151" t="s">
        <v>3981</v>
      </c>
      <c r="C128" s="152" t="s">
        <v>3997</v>
      </c>
      <c r="D128" s="155" t="s">
        <v>3998</v>
      </c>
      <c r="E128" s="158"/>
      <c r="F128" s="161" t="s">
        <v>19</v>
      </c>
      <c r="G128" s="164" t="str">
        <f>IF(COUNTIF(H128:AU128,"&lt;&gt;")=0,"",SUMPRODUCT(((Recommendations[ImplStatus]="Implemented")+(Recommendations[ImplStatus]="Compensated"))*ISNUMBER(MATCH(Recommendations[Id],H128:AU128,0)))/COUNTIF(H128:AU128,"&lt;&gt;"))</f>
        <v/>
      </c>
      <c r="H128" s="167"/>
      <c r="I128" s="167"/>
      <c r="J128" s="167"/>
      <c r="K128" s="167"/>
      <c r="L128" s="167"/>
      <c r="M128" s="167"/>
      <c r="N128" s="167"/>
      <c r="O128" s="167"/>
      <c r="P128" s="167"/>
      <c r="Q128" s="167"/>
      <c r="R128" s="167"/>
      <c r="S128" s="167"/>
      <c r="T128" s="167"/>
      <c r="U128" s="167"/>
      <c r="V128" s="167"/>
      <c r="W128" s="167"/>
      <c r="X128" s="167"/>
      <c r="Y128" s="167"/>
      <c r="Z128" s="167"/>
      <c r="AA128" s="167"/>
      <c r="AB128" s="167"/>
      <c r="AC128" s="167"/>
      <c r="AD128" s="167"/>
      <c r="AE128" s="167"/>
      <c r="AF128" s="167"/>
      <c r="AG128" s="167"/>
      <c r="AH128" s="167"/>
      <c r="AI128" s="167"/>
      <c r="AJ128" s="167"/>
      <c r="AK128" s="167"/>
      <c r="AL128" s="167"/>
      <c r="AM128" s="167"/>
      <c r="AN128" s="167"/>
      <c r="AO128" s="167"/>
      <c r="AP128" s="167"/>
      <c r="AQ128" s="167"/>
      <c r="AR128" s="167"/>
      <c r="AS128" s="167"/>
      <c r="AT128" s="167"/>
      <c r="AU128" s="181"/>
    </row>
    <row r="129" spans="1:47" ht="60" customHeight="1" x14ac:dyDescent="0.35">
      <c r="A129" s="177" t="s">
        <v>3900</v>
      </c>
      <c r="B129" s="151" t="s">
        <v>3981</v>
      </c>
      <c r="C129" s="152" t="s">
        <v>3999</v>
      </c>
      <c r="D129" s="155" t="s">
        <v>4000</v>
      </c>
      <c r="E129" s="158"/>
      <c r="F129" s="161" t="s">
        <v>19</v>
      </c>
      <c r="G129" s="164" t="str">
        <f>IF(COUNTIF(H129:AU129,"&lt;&gt;")=0,"",SUMPRODUCT(((Recommendations[ImplStatus]="Implemented")+(Recommendations[ImplStatus]="Compensated"))*ISNUMBER(MATCH(Recommendations[Id],H129:AU129,0)))/COUNTIF(H129:AU129,"&lt;&gt;"))</f>
        <v/>
      </c>
      <c r="H129" s="167"/>
      <c r="I129" s="167"/>
      <c r="J129" s="167"/>
      <c r="K129" s="167"/>
      <c r="L129" s="167"/>
      <c r="M129" s="167"/>
      <c r="N129" s="167"/>
      <c r="O129" s="167"/>
      <c r="P129" s="167"/>
      <c r="Q129" s="167"/>
      <c r="R129" s="167"/>
      <c r="S129" s="167"/>
      <c r="T129" s="167"/>
      <c r="U129" s="167"/>
      <c r="V129" s="167"/>
      <c r="W129" s="167"/>
      <c r="X129" s="167"/>
      <c r="Y129" s="167"/>
      <c r="Z129" s="167"/>
      <c r="AA129" s="167"/>
      <c r="AB129" s="167"/>
      <c r="AC129" s="167"/>
      <c r="AD129" s="167"/>
      <c r="AE129" s="167"/>
      <c r="AF129" s="167"/>
      <c r="AG129" s="167"/>
      <c r="AH129" s="167"/>
      <c r="AI129" s="167"/>
      <c r="AJ129" s="167"/>
      <c r="AK129" s="167"/>
      <c r="AL129" s="167"/>
      <c r="AM129" s="167"/>
      <c r="AN129" s="167"/>
      <c r="AO129" s="167"/>
      <c r="AP129" s="167"/>
      <c r="AQ129" s="167"/>
      <c r="AR129" s="167"/>
      <c r="AS129" s="167"/>
      <c r="AT129" s="167"/>
      <c r="AU129" s="181"/>
    </row>
    <row r="130" spans="1:47" ht="60" customHeight="1" x14ac:dyDescent="0.35">
      <c r="A130" s="177" t="s">
        <v>3900</v>
      </c>
      <c r="B130" s="151" t="s">
        <v>3981</v>
      </c>
      <c r="C130" s="152" t="s">
        <v>4001</v>
      </c>
      <c r="D130" s="155" t="s">
        <v>4002</v>
      </c>
      <c r="E130" s="158"/>
      <c r="F130" s="161" t="s">
        <v>19</v>
      </c>
      <c r="G130" s="164" t="str">
        <f>IF(COUNTIF(H130:AU130,"&lt;&gt;")=0,"",SUMPRODUCT(((Recommendations[ImplStatus]="Implemented")+(Recommendations[ImplStatus]="Compensated"))*ISNUMBER(MATCH(Recommendations[Id],H130:AU130,0)))/COUNTIF(H130:AU130,"&lt;&gt;"))</f>
        <v/>
      </c>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7"/>
      <c r="AS130" s="167"/>
      <c r="AT130" s="167"/>
      <c r="AU130" s="181"/>
    </row>
    <row r="131" spans="1:47" ht="60" customHeight="1" x14ac:dyDescent="0.35">
      <c r="A131" s="177" t="s">
        <v>3900</v>
      </c>
      <c r="B131" s="151" t="s">
        <v>3981</v>
      </c>
      <c r="C131" s="152" t="s">
        <v>4003</v>
      </c>
      <c r="D131" s="155" t="s">
        <v>4004</v>
      </c>
      <c r="E131" s="158"/>
      <c r="F131" s="161" t="s">
        <v>19</v>
      </c>
      <c r="G131" s="164" t="str">
        <f>IF(COUNTIF(H131:AU131,"&lt;&gt;")=0,"",SUMPRODUCT(((Recommendations[ImplStatus]="Implemented")+(Recommendations[ImplStatus]="Compensated"))*ISNUMBER(MATCH(Recommendations[Id],H131:AU131,0)))/COUNTIF(H131:AU131,"&lt;&gt;"))</f>
        <v/>
      </c>
      <c r="H131" s="167"/>
      <c r="I131" s="167"/>
      <c r="J131" s="167"/>
      <c r="K131" s="167"/>
      <c r="L131" s="167"/>
      <c r="M131" s="167"/>
      <c r="N131" s="167"/>
      <c r="O131" s="167"/>
      <c r="P131" s="167"/>
      <c r="Q131" s="167"/>
      <c r="R131" s="167"/>
      <c r="S131" s="167"/>
      <c r="T131" s="167"/>
      <c r="U131" s="167"/>
      <c r="V131" s="167"/>
      <c r="W131" s="167"/>
      <c r="X131" s="167"/>
      <c r="Y131" s="167"/>
      <c r="Z131" s="167"/>
      <c r="AA131" s="167"/>
      <c r="AB131" s="167"/>
      <c r="AC131" s="167"/>
      <c r="AD131" s="167"/>
      <c r="AE131" s="167"/>
      <c r="AF131" s="167"/>
      <c r="AG131" s="167"/>
      <c r="AH131" s="167"/>
      <c r="AI131" s="167"/>
      <c r="AJ131" s="167"/>
      <c r="AK131" s="167"/>
      <c r="AL131" s="167"/>
      <c r="AM131" s="167"/>
      <c r="AN131" s="167"/>
      <c r="AO131" s="167"/>
      <c r="AP131" s="167"/>
      <c r="AQ131" s="167"/>
      <c r="AR131" s="167"/>
      <c r="AS131" s="167"/>
      <c r="AT131" s="167"/>
      <c r="AU131" s="181"/>
    </row>
    <row r="132" spans="1:47" ht="60" customHeight="1" x14ac:dyDescent="0.35">
      <c r="A132" s="177" t="s">
        <v>3900</v>
      </c>
      <c r="B132" s="151" t="s">
        <v>3981</v>
      </c>
      <c r="C132" s="152" t="s">
        <v>4005</v>
      </c>
      <c r="D132" s="155" t="s">
        <v>4006</v>
      </c>
      <c r="E132" s="158"/>
      <c r="F132" s="161" t="s">
        <v>19</v>
      </c>
      <c r="G132" s="164" t="str">
        <f>IF(COUNTIF(H132:AU132,"&lt;&gt;")=0,"",SUMPRODUCT(((Recommendations[ImplStatus]="Implemented")+(Recommendations[ImplStatus]="Compensated"))*ISNUMBER(MATCH(Recommendations[Id],H132:AU132,0)))/COUNTIF(H132:AU132,"&lt;&gt;"))</f>
        <v/>
      </c>
      <c r="H132" s="167"/>
      <c r="I132" s="167"/>
      <c r="J132" s="167"/>
      <c r="K132" s="167"/>
      <c r="L132" s="167"/>
      <c r="M132" s="167"/>
      <c r="N132" s="167"/>
      <c r="O132" s="167"/>
      <c r="P132" s="167"/>
      <c r="Q132" s="167"/>
      <c r="R132" s="167"/>
      <c r="S132" s="167"/>
      <c r="T132" s="167"/>
      <c r="U132" s="167"/>
      <c r="V132" s="167"/>
      <c r="W132" s="167"/>
      <c r="X132" s="167"/>
      <c r="Y132" s="167"/>
      <c r="Z132" s="167"/>
      <c r="AA132" s="167"/>
      <c r="AB132" s="167"/>
      <c r="AC132" s="167"/>
      <c r="AD132" s="167"/>
      <c r="AE132" s="167"/>
      <c r="AF132" s="167"/>
      <c r="AG132" s="167"/>
      <c r="AH132" s="167"/>
      <c r="AI132" s="167"/>
      <c r="AJ132" s="167"/>
      <c r="AK132" s="167"/>
      <c r="AL132" s="167"/>
      <c r="AM132" s="167"/>
      <c r="AN132" s="167"/>
      <c r="AO132" s="167"/>
      <c r="AP132" s="167"/>
      <c r="AQ132" s="167"/>
      <c r="AR132" s="167"/>
      <c r="AS132" s="167"/>
      <c r="AT132" s="167"/>
      <c r="AU132" s="181"/>
    </row>
    <row r="133" spans="1:47" ht="60" customHeight="1" outlineLevel="1" x14ac:dyDescent="0.35">
      <c r="A133" s="176" t="s">
        <v>3900</v>
      </c>
      <c r="B133" s="150" t="s">
        <v>4007</v>
      </c>
      <c r="C133" s="148" t="s">
        <v>4008</v>
      </c>
      <c r="D133" s="154" t="s">
        <v>4009</v>
      </c>
      <c r="E133" s="157" t="s">
        <v>19</v>
      </c>
      <c r="F133" s="160" t="s">
        <v>19</v>
      </c>
      <c r="G133" s="163" t="str">
        <f>IF(COUNTIF(H133:AU133,"&lt;&gt;")=0,"",SUMPRODUCT(((Recommendations[ImplStatus]="Implemented")+(Recommendations[ImplStatus]="Compensated"))*ISNUMBER(MATCH(Recommendations[Id],H133:AU133,0)))/COUNTIF(H133:AU133,"&lt;&gt;"))</f>
        <v/>
      </c>
      <c r="H133" s="166"/>
      <c r="I133" s="166"/>
      <c r="J133" s="166"/>
      <c r="K133" s="166"/>
      <c r="L133" s="166"/>
      <c r="M133" s="166"/>
      <c r="N133" s="166"/>
      <c r="O133" s="166"/>
      <c r="P133" s="166"/>
      <c r="Q133" s="166"/>
      <c r="R133" s="166"/>
      <c r="S133" s="166"/>
      <c r="T133" s="166"/>
      <c r="U133" s="166"/>
      <c r="V133" s="166"/>
      <c r="W133" s="166"/>
      <c r="X133" s="166"/>
      <c r="Y133" s="166"/>
      <c r="Z133" s="166"/>
      <c r="AA133" s="166"/>
      <c r="AB133" s="166"/>
      <c r="AC133" s="166"/>
      <c r="AD133" s="166"/>
      <c r="AE133" s="166"/>
      <c r="AF133" s="166"/>
      <c r="AG133" s="166"/>
      <c r="AH133" s="166"/>
      <c r="AI133" s="166"/>
      <c r="AJ133" s="166"/>
      <c r="AK133" s="166"/>
      <c r="AL133" s="166"/>
      <c r="AM133" s="166"/>
      <c r="AN133" s="166"/>
      <c r="AO133" s="166"/>
      <c r="AP133" s="166"/>
      <c r="AQ133" s="166"/>
      <c r="AR133" s="166"/>
      <c r="AS133" s="166"/>
      <c r="AT133" s="166"/>
      <c r="AU133" s="180"/>
    </row>
    <row r="134" spans="1:47" ht="60" customHeight="1" x14ac:dyDescent="0.35">
      <c r="A134" s="177" t="s">
        <v>3900</v>
      </c>
      <c r="B134" s="151" t="s">
        <v>4007</v>
      </c>
      <c r="C134" s="152" t="s">
        <v>4010</v>
      </c>
      <c r="D134" s="155" t="s">
        <v>4011</v>
      </c>
      <c r="E134" s="158" t="s">
        <v>4012</v>
      </c>
      <c r="F134" s="161" t="s">
        <v>3681</v>
      </c>
      <c r="G134" s="164">
        <f>IF(COUNTIF(H134:AU134,"&lt;&gt;")=0,"",SUMPRODUCT(((Recommendations[ImplStatus]="Implemented")+(Recommendations[ImplStatus]="Compensated"))*ISNUMBER(MATCH(Recommendations[Id],H134:AU134,0)))/COUNTIF(H134:AU134,"&lt;&gt;"))</f>
        <v>0</v>
      </c>
      <c r="H134" s="167" t="s">
        <v>1337</v>
      </c>
      <c r="I134" s="167"/>
      <c r="J134" s="167"/>
      <c r="K134" s="167"/>
      <c r="L134" s="167"/>
      <c r="M134" s="167"/>
      <c r="N134" s="167"/>
      <c r="O134" s="167"/>
      <c r="P134" s="167"/>
      <c r="Q134" s="167"/>
      <c r="R134" s="167"/>
      <c r="S134" s="167"/>
      <c r="T134" s="167"/>
      <c r="U134" s="167"/>
      <c r="V134" s="167"/>
      <c r="W134" s="167"/>
      <c r="X134" s="167"/>
      <c r="Y134" s="167"/>
      <c r="Z134" s="167"/>
      <c r="AA134" s="167"/>
      <c r="AB134" s="167"/>
      <c r="AC134" s="167"/>
      <c r="AD134" s="167"/>
      <c r="AE134" s="167"/>
      <c r="AF134" s="167"/>
      <c r="AG134" s="167"/>
      <c r="AH134" s="167"/>
      <c r="AI134" s="167"/>
      <c r="AJ134" s="167"/>
      <c r="AK134" s="167"/>
      <c r="AL134" s="167"/>
      <c r="AM134" s="167"/>
      <c r="AN134" s="167"/>
      <c r="AO134" s="167"/>
      <c r="AP134" s="167"/>
      <c r="AQ134" s="167"/>
      <c r="AR134" s="167"/>
      <c r="AS134" s="167"/>
      <c r="AT134" s="167"/>
      <c r="AU134" s="181"/>
    </row>
    <row r="135" spans="1:47" ht="60" customHeight="1" x14ac:dyDescent="0.35">
      <c r="A135" s="177" t="s">
        <v>3900</v>
      </c>
      <c r="B135" s="151" t="s">
        <v>4007</v>
      </c>
      <c r="C135" s="152" t="s">
        <v>4013</v>
      </c>
      <c r="D135" s="155" t="s">
        <v>4014</v>
      </c>
      <c r="E135" s="158" t="s">
        <v>4015</v>
      </c>
      <c r="F135" s="161" t="s">
        <v>3681</v>
      </c>
      <c r="G135" s="164" t="str">
        <f>IF(COUNTIF(H135:AU135,"&lt;&gt;")=0,"",SUMPRODUCT(((Recommendations[ImplStatus]="Implemented")+(Recommendations[ImplStatus]="Compensated"))*ISNUMBER(MATCH(Recommendations[Id],H135:AU135,0)))/COUNTIF(H135:AU135,"&lt;&gt;"))</f>
        <v/>
      </c>
      <c r="H135" s="167"/>
      <c r="I135" s="167"/>
      <c r="J135" s="167"/>
      <c r="K135" s="167"/>
      <c r="L135" s="167"/>
      <c r="M135" s="167"/>
      <c r="N135" s="167"/>
      <c r="O135" s="167"/>
      <c r="P135" s="167"/>
      <c r="Q135" s="167"/>
      <c r="R135" s="167"/>
      <c r="S135" s="167"/>
      <c r="T135" s="167"/>
      <c r="U135" s="167"/>
      <c r="V135" s="167"/>
      <c r="W135" s="167"/>
      <c r="X135" s="167"/>
      <c r="Y135" s="167"/>
      <c r="Z135" s="167"/>
      <c r="AA135" s="167"/>
      <c r="AB135" s="167"/>
      <c r="AC135" s="167"/>
      <c r="AD135" s="167"/>
      <c r="AE135" s="167"/>
      <c r="AF135" s="167"/>
      <c r="AG135" s="167"/>
      <c r="AH135" s="167"/>
      <c r="AI135" s="167"/>
      <c r="AJ135" s="167"/>
      <c r="AK135" s="167"/>
      <c r="AL135" s="167"/>
      <c r="AM135" s="167"/>
      <c r="AN135" s="167"/>
      <c r="AO135" s="167"/>
      <c r="AP135" s="167"/>
      <c r="AQ135" s="167"/>
      <c r="AR135" s="167"/>
      <c r="AS135" s="167"/>
      <c r="AT135" s="167"/>
      <c r="AU135" s="181"/>
    </row>
    <row r="136" spans="1:47" ht="60" customHeight="1" x14ac:dyDescent="0.35">
      <c r="A136" s="177" t="s">
        <v>3900</v>
      </c>
      <c r="B136" s="151" t="s">
        <v>4007</v>
      </c>
      <c r="C136" s="152" t="s">
        <v>4016</v>
      </c>
      <c r="D136" s="155" t="s">
        <v>4017</v>
      </c>
      <c r="E136" s="158" t="s">
        <v>4018</v>
      </c>
      <c r="F136" s="161" t="s">
        <v>3677</v>
      </c>
      <c r="G136" s="164" t="str">
        <f>IF(COUNTIF(H136:AU136,"&lt;&gt;")=0,"",SUMPRODUCT(((Recommendations[ImplStatus]="Implemented")+(Recommendations[ImplStatus]="Compensated"))*ISNUMBER(MATCH(Recommendations[Id],H136:AU136,0)))/COUNTIF(H136:AU136,"&lt;&gt;"))</f>
        <v/>
      </c>
      <c r="H136" s="167"/>
      <c r="I136" s="167"/>
      <c r="J136" s="167"/>
      <c r="K136" s="167"/>
      <c r="L136" s="167"/>
      <c r="M136" s="167"/>
      <c r="N136" s="167"/>
      <c r="O136" s="167"/>
      <c r="P136" s="167"/>
      <c r="Q136" s="167"/>
      <c r="R136" s="167"/>
      <c r="S136" s="167"/>
      <c r="T136" s="167"/>
      <c r="U136" s="167"/>
      <c r="V136" s="167"/>
      <c r="W136" s="167"/>
      <c r="X136" s="167"/>
      <c r="Y136" s="167"/>
      <c r="Z136" s="167"/>
      <c r="AA136" s="167"/>
      <c r="AB136" s="167"/>
      <c r="AC136" s="167"/>
      <c r="AD136" s="167"/>
      <c r="AE136" s="167"/>
      <c r="AF136" s="167"/>
      <c r="AG136" s="167"/>
      <c r="AH136" s="167"/>
      <c r="AI136" s="167"/>
      <c r="AJ136" s="167"/>
      <c r="AK136" s="167"/>
      <c r="AL136" s="167"/>
      <c r="AM136" s="167"/>
      <c r="AN136" s="167"/>
      <c r="AO136" s="167"/>
      <c r="AP136" s="167"/>
      <c r="AQ136" s="167"/>
      <c r="AR136" s="167"/>
      <c r="AS136" s="167"/>
      <c r="AT136" s="167"/>
      <c r="AU136" s="181"/>
    </row>
    <row r="137" spans="1:47" ht="60" customHeight="1" x14ac:dyDescent="0.35">
      <c r="A137" s="177" t="s">
        <v>3900</v>
      </c>
      <c r="B137" s="151" t="s">
        <v>4007</v>
      </c>
      <c r="C137" s="152" t="s">
        <v>4019</v>
      </c>
      <c r="D137" s="155" t="s">
        <v>4020</v>
      </c>
      <c r="E137" s="158" t="s">
        <v>4021</v>
      </c>
      <c r="F137" s="161" t="s">
        <v>19</v>
      </c>
      <c r="G137" s="164" t="str">
        <f>IF(COUNTIF(H137:AU137,"&lt;&gt;")=0,"",SUMPRODUCT(((Recommendations[ImplStatus]="Implemented")+(Recommendations[ImplStatus]="Compensated"))*ISNUMBER(MATCH(Recommendations[Id],H137:AU137,0)))/COUNTIF(H137:AU137,"&lt;&gt;"))</f>
        <v/>
      </c>
      <c r="H137" s="167"/>
      <c r="I137" s="167"/>
      <c r="J137" s="167"/>
      <c r="K137" s="167"/>
      <c r="L137" s="167"/>
      <c r="M137" s="167"/>
      <c r="N137" s="167"/>
      <c r="O137" s="167"/>
      <c r="P137" s="167"/>
      <c r="Q137" s="167"/>
      <c r="R137" s="167"/>
      <c r="S137" s="167"/>
      <c r="T137" s="167"/>
      <c r="U137" s="167"/>
      <c r="V137" s="167"/>
      <c r="W137" s="167"/>
      <c r="X137" s="167"/>
      <c r="Y137" s="167"/>
      <c r="Z137" s="167"/>
      <c r="AA137" s="167"/>
      <c r="AB137" s="167"/>
      <c r="AC137" s="167"/>
      <c r="AD137" s="167"/>
      <c r="AE137" s="167"/>
      <c r="AF137" s="167"/>
      <c r="AG137" s="167"/>
      <c r="AH137" s="167"/>
      <c r="AI137" s="167"/>
      <c r="AJ137" s="167"/>
      <c r="AK137" s="167"/>
      <c r="AL137" s="167"/>
      <c r="AM137" s="167"/>
      <c r="AN137" s="167"/>
      <c r="AO137" s="167"/>
      <c r="AP137" s="167"/>
      <c r="AQ137" s="167"/>
      <c r="AR137" s="167"/>
      <c r="AS137" s="167"/>
      <c r="AT137" s="167"/>
      <c r="AU137" s="181"/>
    </row>
    <row r="138" spans="1:47" ht="60" customHeight="1" outlineLevel="1" x14ac:dyDescent="0.35">
      <c r="A138" s="176" t="s">
        <v>3900</v>
      </c>
      <c r="B138" s="150" t="s">
        <v>3317</v>
      </c>
      <c r="C138" s="148" t="s">
        <v>4022</v>
      </c>
      <c r="D138" s="154"/>
      <c r="E138" s="157" t="s">
        <v>19</v>
      </c>
      <c r="F138" s="160" t="s">
        <v>19</v>
      </c>
      <c r="G138" s="163" t="str">
        <f>IF(COUNTIF(H138:AU138,"&lt;&gt;")=0,"",SUMPRODUCT(((Recommendations[ImplStatus]="Implemented")+(Recommendations[ImplStatus]="Compensated"))*ISNUMBER(MATCH(Recommendations[Id],H138:AU138,0)))/COUNTIF(H138:AU138,"&lt;&gt;"))</f>
        <v/>
      </c>
      <c r="H138" s="166"/>
      <c r="I138" s="166"/>
      <c r="J138" s="166"/>
      <c r="K138" s="166"/>
      <c r="L138" s="166"/>
      <c r="M138" s="166"/>
      <c r="N138" s="166"/>
      <c r="O138" s="166"/>
      <c r="P138" s="166"/>
      <c r="Q138" s="166"/>
      <c r="R138" s="166"/>
      <c r="S138" s="166"/>
      <c r="T138" s="166"/>
      <c r="U138" s="166"/>
      <c r="V138" s="166"/>
      <c r="W138" s="166"/>
      <c r="X138" s="166"/>
      <c r="Y138" s="166"/>
      <c r="Z138" s="166"/>
      <c r="AA138" s="166"/>
      <c r="AB138" s="166"/>
      <c r="AC138" s="166"/>
      <c r="AD138" s="166"/>
      <c r="AE138" s="166"/>
      <c r="AF138" s="166"/>
      <c r="AG138" s="166"/>
      <c r="AH138" s="166"/>
      <c r="AI138" s="166"/>
      <c r="AJ138" s="166"/>
      <c r="AK138" s="166"/>
      <c r="AL138" s="166"/>
      <c r="AM138" s="166"/>
      <c r="AN138" s="166"/>
      <c r="AO138" s="166"/>
      <c r="AP138" s="166"/>
      <c r="AQ138" s="166"/>
      <c r="AR138" s="166"/>
      <c r="AS138" s="166"/>
      <c r="AT138" s="166"/>
      <c r="AU138" s="180"/>
    </row>
    <row r="139" spans="1:47" ht="60" customHeight="1" x14ac:dyDescent="0.35">
      <c r="A139" s="177" t="s">
        <v>3900</v>
      </c>
      <c r="B139" s="151" t="s">
        <v>3317</v>
      </c>
      <c r="C139" s="152" t="s">
        <v>4023</v>
      </c>
      <c r="D139" s="155" t="s">
        <v>4024</v>
      </c>
      <c r="E139" s="158"/>
      <c r="F139" s="161" t="s">
        <v>19</v>
      </c>
      <c r="G139" s="164" t="str">
        <f>IF(COUNTIF(H139:AU139,"&lt;&gt;")=0,"",SUMPRODUCT(((Recommendations[ImplStatus]="Implemented")+(Recommendations[ImplStatus]="Compensated"))*ISNUMBER(MATCH(Recommendations[Id],H139:AU139,0)))/COUNTIF(H139:AU139,"&lt;&gt;"))</f>
        <v/>
      </c>
      <c r="H139" s="167"/>
      <c r="I139" s="167"/>
      <c r="J139" s="167"/>
      <c r="K139" s="167"/>
      <c r="L139" s="167"/>
      <c r="M139" s="167"/>
      <c r="N139" s="167"/>
      <c r="O139" s="167"/>
      <c r="P139" s="167"/>
      <c r="Q139" s="167"/>
      <c r="R139" s="167"/>
      <c r="S139" s="167"/>
      <c r="T139" s="167"/>
      <c r="U139" s="167"/>
      <c r="V139" s="167"/>
      <c r="W139" s="167"/>
      <c r="X139" s="167"/>
      <c r="Y139" s="167"/>
      <c r="Z139" s="167"/>
      <c r="AA139" s="167"/>
      <c r="AB139" s="167"/>
      <c r="AC139" s="167"/>
      <c r="AD139" s="167"/>
      <c r="AE139" s="167"/>
      <c r="AF139" s="167"/>
      <c r="AG139" s="167"/>
      <c r="AH139" s="167"/>
      <c r="AI139" s="167"/>
      <c r="AJ139" s="167"/>
      <c r="AK139" s="167"/>
      <c r="AL139" s="167"/>
      <c r="AM139" s="167"/>
      <c r="AN139" s="167"/>
      <c r="AO139" s="167"/>
      <c r="AP139" s="167"/>
      <c r="AQ139" s="167"/>
      <c r="AR139" s="167"/>
      <c r="AS139" s="167"/>
      <c r="AT139" s="167"/>
      <c r="AU139" s="181"/>
    </row>
    <row r="140" spans="1:47" ht="60" customHeight="1" x14ac:dyDescent="0.35">
      <c r="A140" s="177" t="s">
        <v>3900</v>
      </c>
      <c r="B140" s="151" t="s">
        <v>3317</v>
      </c>
      <c r="C140" s="152" t="s">
        <v>4025</v>
      </c>
      <c r="D140" s="155" t="s">
        <v>4026</v>
      </c>
      <c r="E140" s="158"/>
      <c r="F140" s="161" t="s">
        <v>19</v>
      </c>
      <c r="G140" s="164" t="str">
        <f>IF(COUNTIF(H140:AU140,"&lt;&gt;")=0,"",SUMPRODUCT(((Recommendations[ImplStatus]="Implemented")+(Recommendations[ImplStatus]="Compensated"))*ISNUMBER(MATCH(Recommendations[Id],H140:AU140,0)))/COUNTIF(H140:AU140,"&lt;&gt;"))</f>
        <v/>
      </c>
      <c r="H140" s="167"/>
      <c r="I140" s="167"/>
      <c r="J140" s="167"/>
      <c r="K140" s="167"/>
      <c r="L140" s="167"/>
      <c r="M140" s="167"/>
      <c r="N140" s="167"/>
      <c r="O140" s="167"/>
      <c r="P140" s="167"/>
      <c r="Q140" s="167"/>
      <c r="R140" s="167"/>
      <c r="S140" s="167"/>
      <c r="T140" s="167"/>
      <c r="U140" s="167"/>
      <c r="V140" s="167"/>
      <c r="W140" s="167"/>
      <c r="X140" s="167"/>
      <c r="Y140" s="167"/>
      <c r="Z140" s="167"/>
      <c r="AA140" s="167"/>
      <c r="AB140" s="167"/>
      <c r="AC140" s="167"/>
      <c r="AD140" s="167"/>
      <c r="AE140" s="167"/>
      <c r="AF140" s="167"/>
      <c r="AG140" s="167"/>
      <c r="AH140" s="167"/>
      <c r="AI140" s="167"/>
      <c r="AJ140" s="167"/>
      <c r="AK140" s="167"/>
      <c r="AL140" s="167"/>
      <c r="AM140" s="167"/>
      <c r="AN140" s="167"/>
      <c r="AO140" s="167"/>
      <c r="AP140" s="167"/>
      <c r="AQ140" s="167"/>
      <c r="AR140" s="167"/>
      <c r="AS140" s="167"/>
      <c r="AT140" s="167"/>
      <c r="AU140" s="181"/>
    </row>
    <row r="141" spans="1:47" ht="60" customHeight="1" outlineLevel="1" x14ac:dyDescent="0.35">
      <c r="A141" s="176" t="s">
        <v>3900</v>
      </c>
      <c r="B141" s="150" t="s">
        <v>4027</v>
      </c>
      <c r="C141" s="148" t="s">
        <v>4028</v>
      </c>
      <c r="D141" s="154" t="s">
        <v>4029</v>
      </c>
      <c r="E141" s="157" t="s">
        <v>19</v>
      </c>
      <c r="F141" s="160" t="s">
        <v>19</v>
      </c>
      <c r="G141" s="163" t="str">
        <f>IF(COUNTIF(H141:AU141,"&lt;&gt;")=0,"",SUMPRODUCT(((Recommendations[ImplStatus]="Implemented")+(Recommendations[ImplStatus]="Compensated"))*ISNUMBER(MATCH(Recommendations[Id],H141:AU141,0)))/COUNTIF(H141:AU141,"&lt;&gt;"))</f>
        <v/>
      </c>
      <c r="H141" s="166"/>
      <c r="I141" s="166"/>
      <c r="J141" s="166"/>
      <c r="K141" s="166"/>
      <c r="L141" s="166"/>
      <c r="M141" s="166"/>
      <c r="N141" s="166"/>
      <c r="O141" s="166"/>
      <c r="P141" s="166"/>
      <c r="Q141" s="166"/>
      <c r="R141" s="166"/>
      <c r="S141" s="166"/>
      <c r="T141" s="166"/>
      <c r="U141" s="166"/>
      <c r="V141" s="166"/>
      <c r="W141" s="166"/>
      <c r="X141" s="166"/>
      <c r="Y141" s="166"/>
      <c r="Z141" s="166"/>
      <c r="AA141" s="166"/>
      <c r="AB141" s="166"/>
      <c r="AC141" s="166"/>
      <c r="AD141" s="166"/>
      <c r="AE141" s="166"/>
      <c r="AF141" s="166"/>
      <c r="AG141" s="166"/>
      <c r="AH141" s="166"/>
      <c r="AI141" s="166"/>
      <c r="AJ141" s="166"/>
      <c r="AK141" s="166"/>
      <c r="AL141" s="166"/>
      <c r="AM141" s="166"/>
      <c r="AN141" s="166"/>
      <c r="AO141" s="166"/>
      <c r="AP141" s="166"/>
      <c r="AQ141" s="166"/>
      <c r="AR141" s="166"/>
      <c r="AS141" s="166"/>
      <c r="AT141" s="166"/>
      <c r="AU141" s="180"/>
    </row>
    <row r="142" spans="1:47" ht="60" customHeight="1" x14ac:dyDescent="0.35">
      <c r="A142" s="177" t="s">
        <v>3900</v>
      </c>
      <c r="B142" s="151" t="s">
        <v>4027</v>
      </c>
      <c r="C142" s="152" t="s">
        <v>4030</v>
      </c>
      <c r="D142" s="155" t="s">
        <v>4031</v>
      </c>
      <c r="E142" s="158" t="s">
        <v>4032</v>
      </c>
      <c r="F142" s="161" t="s">
        <v>3677</v>
      </c>
      <c r="G142" s="164">
        <f>IF(COUNTIF(H142:AU142,"&lt;&gt;")=0,"",SUMPRODUCT(((Recommendations[ImplStatus]="Implemented")+(Recommendations[ImplStatus]="Compensated"))*ISNUMBER(MATCH(Recommendations[Id],H142:AU142,0)))/COUNTIF(H142:AU142,"&lt;&gt;"))</f>
        <v>0</v>
      </c>
      <c r="H142" s="167" t="s">
        <v>48</v>
      </c>
      <c r="I142" s="167" t="s">
        <v>58</v>
      </c>
      <c r="J142" s="167" t="s">
        <v>63</v>
      </c>
      <c r="K142" s="167" t="s">
        <v>97</v>
      </c>
      <c r="L142" s="167" t="s">
        <v>112</v>
      </c>
      <c r="M142" s="167" t="s">
        <v>121</v>
      </c>
      <c r="N142" s="167" t="s">
        <v>134</v>
      </c>
      <c r="O142" s="167" t="s">
        <v>148</v>
      </c>
      <c r="P142" s="167" t="s">
        <v>159</v>
      </c>
      <c r="Q142" s="167" t="s">
        <v>204</v>
      </c>
      <c r="R142" s="167" t="s">
        <v>209</v>
      </c>
      <c r="S142" s="167" t="s">
        <v>213</v>
      </c>
      <c r="T142" s="167" t="s">
        <v>217</v>
      </c>
      <c r="U142" s="167" t="s">
        <v>221</v>
      </c>
      <c r="V142" s="167" t="s">
        <v>225</v>
      </c>
      <c r="W142" s="167" t="s">
        <v>235</v>
      </c>
      <c r="X142" s="167" t="s">
        <v>244</v>
      </c>
      <c r="Y142" s="167" t="s">
        <v>249</v>
      </c>
      <c r="Z142" s="167" t="s">
        <v>254</v>
      </c>
      <c r="AA142" s="167" t="s">
        <v>259</v>
      </c>
      <c r="AB142" s="167" t="s">
        <v>264</v>
      </c>
      <c r="AC142" s="167" t="s">
        <v>308</v>
      </c>
      <c r="AD142" s="167" t="s">
        <v>313</v>
      </c>
      <c r="AE142" s="167" t="s">
        <v>323</v>
      </c>
      <c r="AF142" s="167" t="s">
        <v>333</v>
      </c>
      <c r="AG142" s="167" t="s">
        <v>338</v>
      </c>
      <c r="AH142" s="167" t="s">
        <v>343</v>
      </c>
      <c r="AI142" s="167" t="s">
        <v>368</v>
      </c>
      <c r="AJ142" s="167" t="s">
        <v>373</v>
      </c>
      <c r="AK142" s="167" t="s">
        <v>378</v>
      </c>
      <c r="AL142" s="167" t="s">
        <v>396</v>
      </c>
      <c r="AM142" s="167" t="s">
        <v>401</v>
      </c>
      <c r="AN142" s="167" t="s">
        <v>409</v>
      </c>
      <c r="AO142" s="167" t="s">
        <v>413</v>
      </c>
      <c r="AP142" s="167" t="s">
        <v>427</v>
      </c>
      <c r="AQ142" s="167" t="s">
        <v>432</v>
      </c>
      <c r="AR142" s="167" t="s">
        <v>436</v>
      </c>
      <c r="AS142" s="167" t="s">
        <v>446</v>
      </c>
      <c r="AT142" s="167" t="s">
        <v>460</v>
      </c>
      <c r="AU142" s="181" t="s">
        <v>464</v>
      </c>
    </row>
    <row r="143" spans="1:47" ht="60" customHeight="1" x14ac:dyDescent="0.35">
      <c r="A143" s="177" t="s">
        <v>3900</v>
      </c>
      <c r="B143" s="151" t="s">
        <v>4027</v>
      </c>
      <c r="C143" s="152" t="s">
        <v>4033</v>
      </c>
      <c r="D143" s="155" t="s">
        <v>4034</v>
      </c>
      <c r="E143" s="158" t="s">
        <v>4035</v>
      </c>
      <c r="F143" s="161" t="s">
        <v>3677</v>
      </c>
      <c r="G143" s="164">
        <f>IF(COUNTIF(H143:AU143,"&lt;&gt;")=0,"",SUMPRODUCT(((Recommendations[ImplStatus]="Implemented")+(Recommendations[ImplStatus]="Compensated"))*ISNUMBER(MATCH(Recommendations[Id],H143:AU143,0)))/COUNTIF(H143:AU143,"&lt;&gt;"))</f>
        <v>0</v>
      </c>
      <c r="H143" s="167" t="s">
        <v>27</v>
      </c>
      <c r="I143" s="167" t="s">
        <v>33</v>
      </c>
      <c r="J143" s="167" t="s">
        <v>153</v>
      </c>
      <c r="K143" s="167"/>
      <c r="L143" s="167"/>
      <c r="M143" s="167"/>
      <c r="N143" s="167"/>
      <c r="O143" s="167"/>
      <c r="P143" s="167"/>
      <c r="Q143" s="167"/>
      <c r="R143" s="167"/>
      <c r="S143" s="167"/>
      <c r="T143" s="167"/>
      <c r="U143" s="167"/>
      <c r="V143" s="167"/>
      <c r="W143" s="167"/>
      <c r="X143" s="167"/>
      <c r="Y143" s="167"/>
      <c r="Z143" s="167"/>
      <c r="AA143" s="167"/>
      <c r="AB143" s="167"/>
      <c r="AC143" s="167"/>
      <c r="AD143" s="167"/>
      <c r="AE143" s="167"/>
      <c r="AF143" s="167"/>
      <c r="AG143" s="167"/>
      <c r="AH143" s="167"/>
      <c r="AI143" s="167"/>
      <c r="AJ143" s="167"/>
      <c r="AK143" s="167"/>
      <c r="AL143" s="167"/>
      <c r="AM143" s="167"/>
      <c r="AN143" s="167"/>
      <c r="AO143" s="167"/>
      <c r="AP143" s="167"/>
      <c r="AQ143" s="167"/>
      <c r="AR143" s="167"/>
      <c r="AS143" s="167"/>
      <c r="AT143" s="167"/>
      <c r="AU143" s="181"/>
    </row>
    <row r="144" spans="1:47" ht="60" customHeight="1" x14ac:dyDescent="0.35">
      <c r="A144" s="177" t="s">
        <v>3900</v>
      </c>
      <c r="B144" s="151" t="s">
        <v>4027</v>
      </c>
      <c r="C144" s="152" t="s">
        <v>4036</v>
      </c>
      <c r="D144" s="155" t="s">
        <v>4037</v>
      </c>
      <c r="E144" s="158" t="s">
        <v>4038</v>
      </c>
      <c r="F144" s="161" t="s">
        <v>3681</v>
      </c>
      <c r="G144" s="164" t="str">
        <f>IF(COUNTIF(H144:AU144,"&lt;&gt;")=0,"",SUMPRODUCT(((Recommendations[ImplStatus]="Implemented")+(Recommendations[ImplStatus]="Compensated"))*ISNUMBER(MATCH(Recommendations[Id],H144:AU144,0)))/COUNTIF(H144:AU144,"&lt;&gt;"))</f>
        <v/>
      </c>
      <c r="H144" s="167"/>
      <c r="I144" s="167"/>
      <c r="J144" s="167"/>
      <c r="K144" s="167"/>
      <c r="L144" s="167"/>
      <c r="M144" s="167"/>
      <c r="N144" s="167"/>
      <c r="O144" s="167"/>
      <c r="P144" s="167"/>
      <c r="Q144" s="167"/>
      <c r="R144" s="167"/>
      <c r="S144" s="167"/>
      <c r="T144" s="167"/>
      <c r="U144" s="167"/>
      <c r="V144" s="167"/>
      <c r="W144" s="167"/>
      <c r="X144" s="167"/>
      <c r="Y144" s="167"/>
      <c r="Z144" s="167"/>
      <c r="AA144" s="167"/>
      <c r="AB144" s="167"/>
      <c r="AC144" s="167"/>
      <c r="AD144" s="167"/>
      <c r="AE144" s="167"/>
      <c r="AF144" s="167"/>
      <c r="AG144" s="167"/>
      <c r="AH144" s="167"/>
      <c r="AI144" s="167"/>
      <c r="AJ144" s="167"/>
      <c r="AK144" s="167"/>
      <c r="AL144" s="167"/>
      <c r="AM144" s="167"/>
      <c r="AN144" s="167"/>
      <c r="AO144" s="167"/>
      <c r="AP144" s="167"/>
      <c r="AQ144" s="167"/>
      <c r="AR144" s="167"/>
      <c r="AS144" s="167"/>
      <c r="AT144" s="167"/>
      <c r="AU144" s="181"/>
    </row>
    <row r="145" spans="1:47" ht="60" customHeight="1" x14ac:dyDescent="0.35">
      <c r="A145" s="177" t="s">
        <v>3900</v>
      </c>
      <c r="B145" s="151" t="s">
        <v>4027</v>
      </c>
      <c r="C145" s="152" t="s">
        <v>4039</v>
      </c>
      <c r="D145" s="155" t="s">
        <v>4040</v>
      </c>
      <c r="E145" s="158" t="s">
        <v>4041</v>
      </c>
      <c r="F145" s="161" t="s">
        <v>3677</v>
      </c>
      <c r="G145" s="164">
        <f>IF(COUNTIF(H145:AU145,"&lt;&gt;")=0,"",SUMPRODUCT(((Recommendations[ImplStatus]="Implemented")+(Recommendations[ImplStatus]="Compensated"))*ISNUMBER(MATCH(Recommendations[Id],H145:AU145,0)))/COUNTIF(H145:AU145,"&lt;&gt;"))</f>
        <v>0</v>
      </c>
      <c r="H145" s="167" t="s">
        <v>13</v>
      </c>
      <c r="I145" s="167" t="s">
        <v>23</v>
      </c>
      <c r="J145" s="167" t="s">
        <v>53</v>
      </c>
      <c r="K145" s="167" t="s">
        <v>67</v>
      </c>
      <c r="L145" s="167" t="s">
        <v>72</v>
      </c>
      <c r="M145" s="167" t="s">
        <v>77</v>
      </c>
      <c r="N145" s="167" t="s">
        <v>102</v>
      </c>
      <c r="O145" s="167" t="s">
        <v>107</v>
      </c>
      <c r="P145" s="167" t="s">
        <v>116</v>
      </c>
      <c r="Q145" s="167" t="s">
        <v>139</v>
      </c>
      <c r="R145" s="167" t="s">
        <v>144</v>
      </c>
      <c r="S145" s="167" t="s">
        <v>174</v>
      </c>
      <c r="T145" s="167" t="s">
        <v>179</v>
      </c>
      <c r="U145" s="167" t="s">
        <v>183</v>
      </c>
      <c r="V145" s="167" t="s">
        <v>187</v>
      </c>
      <c r="W145" s="167" t="s">
        <v>191</v>
      </c>
      <c r="X145" s="167" t="s">
        <v>195</v>
      </c>
      <c r="Y145" s="167" t="s">
        <v>288</v>
      </c>
      <c r="Z145" s="167" t="s">
        <v>318</v>
      </c>
      <c r="AA145" s="167" t="s">
        <v>328</v>
      </c>
      <c r="AB145" s="167" t="s">
        <v>405</v>
      </c>
      <c r="AC145" s="167" t="s">
        <v>422</v>
      </c>
      <c r="AD145" s="167" t="s">
        <v>441</v>
      </c>
      <c r="AE145" s="167" t="s">
        <v>451</v>
      </c>
      <c r="AF145" s="167" t="s">
        <v>456</v>
      </c>
      <c r="AG145" s="167" t="s">
        <v>478</v>
      </c>
      <c r="AH145" s="167" t="s">
        <v>627</v>
      </c>
      <c r="AI145" s="167" t="s">
        <v>631</v>
      </c>
      <c r="AJ145" s="167" t="s">
        <v>636</v>
      </c>
      <c r="AK145" s="167" t="s">
        <v>640</v>
      </c>
      <c r="AL145" s="167" t="s">
        <v>807</v>
      </c>
      <c r="AM145" s="167" t="s">
        <v>812</v>
      </c>
      <c r="AN145" s="167" t="s">
        <v>878</v>
      </c>
      <c r="AO145" s="167" t="s">
        <v>883</v>
      </c>
      <c r="AP145" s="167" t="s">
        <v>888</v>
      </c>
      <c r="AQ145" s="167" t="s">
        <v>893</v>
      </c>
      <c r="AR145" s="167" t="s">
        <v>897</v>
      </c>
      <c r="AS145" s="167" t="s">
        <v>901</v>
      </c>
      <c r="AT145" s="167" t="s">
        <v>906</v>
      </c>
      <c r="AU145" s="181" t="s">
        <v>911</v>
      </c>
    </row>
    <row r="146" spans="1:47" ht="60" customHeight="1" x14ac:dyDescent="0.35">
      <c r="A146" s="177" t="s">
        <v>3900</v>
      </c>
      <c r="B146" s="151" t="s">
        <v>4027</v>
      </c>
      <c r="C146" s="152" t="s">
        <v>4042</v>
      </c>
      <c r="D146" s="155" t="s">
        <v>4043</v>
      </c>
      <c r="E146" s="158" t="s">
        <v>4044</v>
      </c>
      <c r="F146" s="161" t="s">
        <v>3677</v>
      </c>
      <c r="G146" s="164" t="str">
        <f>IF(COUNTIF(H146:AU146,"&lt;&gt;")=0,"",SUMPRODUCT(((Recommendations[ImplStatus]="Implemented")+(Recommendations[ImplStatus]="Compensated"))*ISNUMBER(MATCH(Recommendations[Id],H146:AU146,0)))/COUNTIF(H146:AU146,"&lt;&gt;"))</f>
        <v/>
      </c>
      <c r="H146" s="167"/>
      <c r="I146" s="167"/>
      <c r="J146" s="167"/>
      <c r="K146" s="167"/>
      <c r="L146" s="167"/>
      <c r="M146" s="167"/>
      <c r="N146" s="167"/>
      <c r="O146" s="167"/>
      <c r="P146" s="167"/>
      <c r="Q146" s="167"/>
      <c r="R146" s="167"/>
      <c r="S146" s="167"/>
      <c r="T146" s="167"/>
      <c r="U146" s="167"/>
      <c r="V146" s="167"/>
      <c r="W146" s="167"/>
      <c r="X146" s="167"/>
      <c r="Y146" s="167"/>
      <c r="Z146" s="167"/>
      <c r="AA146" s="167"/>
      <c r="AB146" s="167"/>
      <c r="AC146" s="167"/>
      <c r="AD146" s="167"/>
      <c r="AE146" s="167"/>
      <c r="AF146" s="167"/>
      <c r="AG146" s="167"/>
      <c r="AH146" s="167"/>
      <c r="AI146" s="167"/>
      <c r="AJ146" s="167"/>
      <c r="AK146" s="167"/>
      <c r="AL146" s="167"/>
      <c r="AM146" s="167"/>
      <c r="AN146" s="167"/>
      <c r="AO146" s="167"/>
      <c r="AP146" s="167"/>
      <c r="AQ146" s="167"/>
      <c r="AR146" s="167"/>
      <c r="AS146" s="167"/>
      <c r="AT146" s="167"/>
      <c r="AU146" s="181"/>
    </row>
    <row r="147" spans="1:47" ht="60" customHeight="1" x14ac:dyDescent="0.35">
      <c r="A147" s="177" t="s">
        <v>3900</v>
      </c>
      <c r="B147" s="151" t="s">
        <v>4027</v>
      </c>
      <c r="C147" s="152" t="s">
        <v>4045</v>
      </c>
      <c r="D147" s="155" t="s">
        <v>4046</v>
      </c>
      <c r="E147" s="158" t="s">
        <v>4047</v>
      </c>
      <c r="F147" s="161" t="s">
        <v>3677</v>
      </c>
      <c r="G147" s="164" t="str">
        <f>IF(COUNTIF(H147:AU147,"&lt;&gt;")=0,"",SUMPRODUCT(((Recommendations[ImplStatus]="Implemented")+(Recommendations[ImplStatus]="Compensated"))*ISNUMBER(MATCH(Recommendations[Id],H147:AU147,0)))/COUNTIF(H147:AU147,"&lt;&gt;"))</f>
        <v/>
      </c>
      <c r="H147" s="167"/>
      <c r="I147" s="167"/>
      <c r="J147" s="167"/>
      <c r="K147" s="167"/>
      <c r="L147" s="167"/>
      <c r="M147" s="167"/>
      <c r="N147" s="167"/>
      <c r="O147" s="167"/>
      <c r="P147" s="167"/>
      <c r="Q147" s="167"/>
      <c r="R147" s="167"/>
      <c r="S147" s="167"/>
      <c r="T147" s="167"/>
      <c r="U147" s="167"/>
      <c r="V147" s="167"/>
      <c r="W147" s="167"/>
      <c r="X147" s="167"/>
      <c r="Y147" s="167"/>
      <c r="Z147" s="167"/>
      <c r="AA147" s="167"/>
      <c r="AB147" s="167"/>
      <c r="AC147" s="167"/>
      <c r="AD147" s="167"/>
      <c r="AE147" s="167"/>
      <c r="AF147" s="167"/>
      <c r="AG147" s="167"/>
      <c r="AH147" s="167"/>
      <c r="AI147" s="167"/>
      <c r="AJ147" s="167"/>
      <c r="AK147" s="167"/>
      <c r="AL147" s="167"/>
      <c r="AM147" s="167"/>
      <c r="AN147" s="167"/>
      <c r="AO147" s="167"/>
      <c r="AP147" s="167"/>
      <c r="AQ147" s="167"/>
      <c r="AR147" s="167"/>
      <c r="AS147" s="167"/>
      <c r="AT147" s="167"/>
      <c r="AU147" s="181"/>
    </row>
    <row r="148" spans="1:47" ht="60" customHeight="1" outlineLevel="1" x14ac:dyDescent="0.35">
      <c r="A148" s="176" t="s">
        <v>3900</v>
      </c>
      <c r="B148" s="150" t="s">
        <v>4048</v>
      </c>
      <c r="C148" s="148" t="s">
        <v>4049</v>
      </c>
      <c r="D148" s="154"/>
      <c r="E148" s="157" t="s">
        <v>19</v>
      </c>
      <c r="F148" s="160" t="s">
        <v>19</v>
      </c>
      <c r="G148" s="163" t="str">
        <f>IF(COUNTIF(H148:AU148,"&lt;&gt;")=0,"",SUMPRODUCT(((Recommendations[ImplStatus]="Implemented")+(Recommendations[ImplStatus]="Compensated"))*ISNUMBER(MATCH(Recommendations[Id],H148:AU148,0)))/COUNTIF(H148:AU148,"&lt;&gt;"))</f>
        <v/>
      </c>
      <c r="H148" s="166"/>
      <c r="I148" s="166"/>
      <c r="J148" s="166"/>
      <c r="K148" s="166"/>
      <c r="L148" s="166"/>
      <c r="M148" s="166"/>
      <c r="N148" s="166"/>
      <c r="O148" s="166"/>
      <c r="P148" s="166"/>
      <c r="Q148" s="166"/>
      <c r="R148" s="166"/>
      <c r="S148" s="166"/>
      <c r="T148" s="166"/>
      <c r="U148" s="166"/>
      <c r="V148" s="166"/>
      <c r="W148" s="166"/>
      <c r="X148" s="166"/>
      <c r="Y148" s="166"/>
      <c r="Z148" s="166"/>
      <c r="AA148" s="166"/>
      <c r="AB148" s="166"/>
      <c r="AC148" s="166"/>
      <c r="AD148" s="166"/>
      <c r="AE148" s="166"/>
      <c r="AF148" s="166"/>
      <c r="AG148" s="166"/>
      <c r="AH148" s="166"/>
      <c r="AI148" s="166"/>
      <c r="AJ148" s="166"/>
      <c r="AK148" s="166"/>
      <c r="AL148" s="166"/>
      <c r="AM148" s="166"/>
      <c r="AN148" s="166"/>
      <c r="AO148" s="166"/>
      <c r="AP148" s="166"/>
      <c r="AQ148" s="166"/>
      <c r="AR148" s="166"/>
      <c r="AS148" s="166"/>
      <c r="AT148" s="166"/>
      <c r="AU148" s="180"/>
    </row>
    <row r="149" spans="1:47" ht="60" customHeight="1" x14ac:dyDescent="0.35">
      <c r="A149" s="177" t="s">
        <v>3900</v>
      </c>
      <c r="B149" s="151" t="s">
        <v>4048</v>
      </c>
      <c r="C149" s="152" t="s">
        <v>4050</v>
      </c>
      <c r="D149" s="155" t="s">
        <v>4051</v>
      </c>
      <c r="E149" s="158"/>
      <c r="F149" s="161" t="s">
        <v>19</v>
      </c>
      <c r="G149" s="164" t="str">
        <f>IF(COUNTIF(H149:AU149,"&lt;&gt;")=0,"",SUMPRODUCT(((Recommendations[ImplStatus]="Implemented")+(Recommendations[ImplStatus]="Compensated"))*ISNUMBER(MATCH(Recommendations[Id],H149:AU149,0)))/COUNTIF(H149:AU149,"&lt;&gt;"))</f>
        <v/>
      </c>
      <c r="H149" s="167"/>
      <c r="I149" s="167"/>
      <c r="J149" s="167"/>
      <c r="K149" s="167"/>
      <c r="L149" s="167"/>
      <c r="M149" s="167"/>
      <c r="N149" s="167"/>
      <c r="O149" s="167"/>
      <c r="P149" s="167"/>
      <c r="Q149" s="167"/>
      <c r="R149" s="167"/>
      <c r="S149" s="167"/>
      <c r="T149" s="167"/>
      <c r="U149" s="167"/>
      <c r="V149" s="167"/>
      <c r="W149" s="167"/>
      <c r="X149" s="167"/>
      <c r="Y149" s="167"/>
      <c r="Z149" s="167"/>
      <c r="AA149" s="167"/>
      <c r="AB149" s="167"/>
      <c r="AC149" s="167"/>
      <c r="AD149" s="167"/>
      <c r="AE149" s="167"/>
      <c r="AF149" s="167"/>
      <c r="AG149" s="167"/>
      <c r="AH149" s="167"/>
      <c r="AI149" s="167"/>
      <c r="AJ149" s="167"/>
      <c r="AK149" s="167"/>
      <c r="AL149" s="167"/>
      <c r="AM149" s="167"/>
      <c r="AN149" s="167"/>
      <c r="AO149" s="167"/>
      <c r="AP149" s="167"/>
      <c r="AQ149" s="167"/>
      <c r="AR149" s="167"/>
      <c r="AS149" s="167"/>
      <c r="AT149" s="167"/>
      <c r="AU149" s="181"/>
    </row>
    <row r="150" spans="1:47" ht="60" customHeight="1" x14ac:dyDescent="0.35">
      <c r="A150" s="177" t="s">
        <v>3900</v>
      </c>
      <c r="B150" s="151" t="s">
        <v>4048</v>
      </c>
      <c r="C150" s="152" t="s">
        <v>4052</v>
      </c>
      <c r="D150" s="155" t="s">
        <v>4053</v>
      </c>
      <c r="E150" s="158"/>
      <c r="F150" s="161" t="s">
        <v>19</v>
      </c>
      <c r="G150" s="164" t="str">
        <f>IF(COUNTIF(H150:AU150,"&lt;&gt;")=0,"",SUMPRODUCT(((Recommendations[ImplStatus]="Implemented")+(Recommendations[ImplStatus]="Compensated"))*ISNUMBER(MATCH(Recommendations[Id],H150:AU150,0)))/COUNTIF(H150:AU150,"&lt;&gt;"))</f>
        <v/>
      </c>
      <c r="H150" s="167"/>
      <c r="I150" s="167"/>
      <c r="J150" s="167"/>
      <c r="K150" s="167"/>
      <c r="L150" s="167"/>
      <c r="M150" s="167"/>
      <c r="N150" s="167"/>
      <c r="O150" s="167"/>
      <c r="P150" s="167"/>
      <c r="Q150" s="167"/>
      <c r="R150" s="167"/>
      <c r="S150" s="167"/>
      <c r="T150" s="167"/>
      <c r="U150" s="167"/>
      <c r="V150" s="167"/>
      <c r="W150" s="167"/>
      <c r="X150" s="167"/>
      <c r="Y150" s="167"/>
      <c r="Z150" s="167"/>
      <c r="AA150" s="167"/>
      <c r="AB150" s="167"/>
      <c r="AC150" s="167"/>
      <c r="AD150" s="167"/>
      <c r="AE150" s="167"/>
      <c r="AF150" s="167"/>
      <c r="AG150" s="167"/>
      <c r="AH150" s="167"/>
      <c r="AI150" s="167"/>
      <c r="AJ150" s="167"/>
      <c r="AK150" s="167"/>
      <c r="AL150" s="167"/>
      <c r="AM150" s="167"/>
      <c r="AN150" s="167"/>
      <c r="AO150" s="167"/>
      <c r="AP150" s="167"/>
      <c r="AQ150" s="167"/>
      <c r="AR150" s="167"/>
      <c r="AS150" s="167"/>
      <c r="AT150" s="167"/>
      <c r="AU150" s="181"/>
    </row>
    <row r="151" spans="1:47" ht="60" customHeight="1" x14ac:dyDescent="0.35">
      <c r="A151" s="177" t="s">
        <v>3900</v>
      </c>
      <c r="B151" s="151" t="s">
        <v>4048</v>
      </c>
      <c r="C151" s="152" t="s">
        <v>4054</v>
      </c>
      <c r="D151" s="155" t="s">
        <v>4055</v>
      </c>
      <c r="E151" s="158"/>
      <c r="F151" s="161" t="s">
        <v>19</v>
      </c>
      <c r="G151" s="164">
        <f>IF(COUNTIF(H151:AU151,"&lt;&gt;")=0,"",SUMPRODUCT(((Recommendations[ImplStatus]="Implemented")+(Recommendations[ImplStatus]="Compensated"))*ISNUMBER(MATCH(Recommendations[Id],H151:AU151,0)))/COUNTIF(H151:AU151,"&lt;&gt;"))</f>
        <v>0</v>
      </c>
      <c r="H151" s="167" t="s">
        <v>1292</v>
      </c>
      <c r="I151" s="167" t="s">
        <v>1297</v>
      </c>
      <c r="J151" s="167" t="s">
        <v>1302</v>
      </c>
      <c r="K151" s="167" t="s">
        <v>1307</v>
      </c>
      <c r="L151" s="167" t="s">
        <v>1312</v>
      </c>
      <c r="M151" s="167" t="s">
        <v>1317</v>
      </c>
      <c r="N151" s="167"/>
      <c r="O151" s="167"/>
      <c r="P151" s="167"/>
      <c r="Q151" s="167"/>
      <c r="R151" s="167"/>
      <c r="S151" s="167"/>
      <c r="T151" s="167"/>
      <c r="U151" s="167"/>
      <c r="V151" s="167"/>
      <c r="W151" s="167"/>
      <c r="X151" s="167"/>
      <c r="Y151" s="167"/>
      <c r="Z151" s="167"/>
      <c r="AA151" s="167"/>
      <c r="AB151" s="167"/>
      <c r="AC151" s="167"/>
      <c r="AD151" s="167"/>
      <c r="AE151" s="167"/>
      <c r="AF151" s="167"/>
      <c r="AG151" s="167"/>
      <c r="AH151" s="167"/>
      <c r="AI151" s="167"/>
      <c r="AJ151" s="167"/>
      <c r="AK151" s="167"/>
      <c r="AL151" s="167"/>
      <c r="AM151" s="167"/>
      <c r="AN151" s="167"/>
      <c r="AO151" s="167"/>
      <c r="AP151" s="167"/>
      <c r="AQ151" s="167"/>
      <c r="AR151" s="167"/>
      <c r="AS151" s="167"/>
      <c r="AT151" s="167"/>
      <c r="AU151" s="181"/>
    </row>
    <row r="152" spans="1:47" ht="60" customHeight="1" x14ac:dyDescent="0.35">
      <c r="A152" s="177" t="s">
        <v>3900</v>
      </c>
      <c r="B152" s="151" t="s">
        <v>4048</v>
      </c>
      <c r="C152" s="152" t="s">
        <v>4056</v>
      </c>
      <c r="D152" s="155" t="s">
        <v>4057</v>
      </c>
      <c r="E152" s="158"/>
      <c r="F152" s="161" t="s">
        <v>19</v>
      </c>
      <c r="G152" s="164" t="str">
        <f>IF(COUNTIF(H152:AU152,"&lt;&gt;")=0,"",SUMPRODUCT(((Recommendations[ImplStatus]="Implemented")+(Recommendations[ImplStatus]="Compensated"))*ISNUMBER(MATCH(Recommendations[Id],H152:AU152,0)))/COUNTIF(H152:AU152,"&lt;&gt;"))</f>
        <v/>
      </c>
      <c r="H152" s="167"/>
      <c r="I152" s="167"/>
      <c r="J152" s="167"/>
      <c r="K152" s="167"/>
      <c r="L152" s="167"/>
      <c r="M152" s="167"/>
      <c r="N152" s="167"/>
      <c r="O152" s="167"/>
      <c r="P152" s="167"/>
      <c r="Q152" s="167"/>
      <c r="R152" s="167"/>
      <c r="S152" s="167"/>
      <c r="T152" s="167"/>
      <c r="U152" s="167"/>
      <c r="V152" s="167"/>
      <c r="W152" s="167"/>
      <c r="X152" s="167"/>
      <c r="Y152" s="167"/>
      <c r="Z152" s="167"/>
      <c r="AA152" s="167"/>
      <c r="AB152" s="167"/>
      <c r="AC152" s="167"/>
      <c r="AD152" s="167"/>
      <c r="AE152" s="167"/>
      <c r="AF152" s="167"/>
      <c r="AG152" s="167"/>
      <c r="AH152" s="167"/>
      <c r="AI152" s="167"/>
      <c r="AJ152" s="167"/>
      <c r="AK152" s="167"/>
      <c r="AL152" s="167"/>
      <c r="AM152" s="167"/>
      <c r="AN152" s="167"/>
      <c r="AO152" s="167"/>
      <c r="AP152" s="167"/>
      <c r="AQ152" s="167"/>
      <c r="AR152" s="167"/>
      <c r="AS152" s="167"/>
      <c r="AT152" s="167"/>
      <c r="AU152" s="181"/>
    </row>
    <row r="153" spans="1:47" ht="60" customHeight="1" x14ac:dyDescent="0.35">
      <c r="A153" s="177" t="s">
        <v>3900</v>
      </c>
      <c r="B153" s="151" t="s">
        <v>4048</v>
      </c>
      <c r="C153" s="152" t="s">
        <v>4058</v>
      </c>
      <c r="D153" s="155" t="s">
        <v>4059</v>
      </c>
      <c r="E153" s="158"/>
      <c r="F153" s="161" t="s">
        <v>19</v>
      </c>
      <c r="G153" s="164" t="str">
        <f>IF(COUNTIF(H153:AU153,"&lt;&gt;")=0,"",SUMPRODUCT(((Recommendations[ImplStatus]="Implemented")+(Recommendations[ImplStatus]="Compensated"))*ISNUMBER(MATCH(Recommendations[Id],H153:AU153,0)))/COUNTIF(H153:AU153,"&lt;&gt;"))</f>
        <v/>
      </c>
      <c r="H153" s="167"/>
      <c r="I153" s="167"/>
      <c r="J153" s="167"/>
      <c r="K153" s="167"/>
      <c r="L153" s="167"/>
      <c r="M153" s="167"/>
      <c r="N153" s="167"/>
      <c r="O153" s="167"/>
      <c r="P153" s="167"/>
      <c r="Q153" s="167"/>
      <c r="R153" s="167"/>
      <c r="S153" s="167"/>
      <c r="T153" s="167"/>
      <c r="U153" s="167"/>
      <c r="V153" s="167"/>
      <c r="W153" s="167"/>
      <c r="X153" s="167"/>
      <c r="Y153" s="167"/>
      <c r="Z153" s="167"/>
      <c r="AA153" s="167"/>
      <c r="AB153" s="167"/>
      <c r="AC153" s="167"/>
      <c r="AD153" s="167"/>
      <c r="AE153" s="167"/>
      <c r="AF153" s="167"/>
      <c r="AG153" s="167"/>
      <c r="AH153" s="167"/>
      <c r="AI153" s="167"/>
      <c r="AJ153" s="167"/>
      <c r="AK153" s="167"/>
      <c r="AL153" s="167"/>
      <c r="AM153" s="167"/>
      <c r="AN153" s="167"/>
      <c r="AO153" s="167"/>
      <c r="AP153" s="167"/>
      <c r="AQ153" s="167"/>
      <c r="AR153" s="167"/>
      <c r="AS153" s="167"/>
      <c r="AT153" s="167"/>
      <c r="AU153" s="181"/>
    </row>
    <row r="154" spans="1:47" ht="60" customHeight="1" outlineLevel="1" x14ac:dyDescent="0.35">
      <c r="A154" s="175" t="s">
        <v>4060</v>
      </c>
      <c r="B154" s="149" t="s">
        <v>19</v>
      </c>
      <c r="C154" s="147" t="s">
        <v>4061</v>
      </c>
      <c r="D154" s="153" t="s">
        <v>4062</v>
      </c>
      <c r="E154" s="156" t="s">
        <v>19</v>
      </c>
      <c r="F154" s="159" t="s">
        <v>19</v>
      </c>
      <c r="G154" s="162" t="str">
        <f>IF(COUNTIF(H154:AU154,"&lt;&gt;")=0,"",SUMPRODUCT(((Recommendations[ImplStatus]="Implemented")+(Recommendations[ImplStatus]="Compensated"))*ISNUMBER(MATCH(Recommendations[Id],H154:AU154,0)))/COUNTIF(H154:AU154,"&lt;&gt;"))</f>
        <v/>
      </c>
      <c r="H154" s="165"/>
      <c r="I154" s="165"/>
      <c r="J154" s="165"/>
      <c r="K154" s="165"/>
      <c r="L154" s="165"/>
      <c r="M154" s="165"/>
      <c r="N154" s="165"/>
      <c r="O154" s="165"/>
      <c r="P154" s="165"/>
      <c r="Q154" s="165"/>
      <c r="R154" s="165"/>
      <c r="S154" s="165"/>
      <c r="T154" s="165"/>
      <c r="U154" s="165"/>
      <c r="V154" s="165"/>
      <c r="W154" s="165"/>
      <c r="X154" s="165"/>
      <c r="Y154" s="165"/>
      <c r="Z154" s="165"/>
      <c r="AA154" s="165"/>
      <c r="AB154" s="165"/>
      <c r="AC154" s="165"/>
      <c r="AD154" s="165"/>
      <c r="AE154" s="165"/>
      <c r="AF154" s="165"/>
      <c r="AG154" s="165"/>
      <c r="AH154" s="165"/>
      <c r="AI154" s="165"/>
      <c r="AJ154" s="165"/>
      <c r="AK154" s="165"/>
      <c r="AL154" s="165"/>
      <c r="AM154" s="165"/>
      <c r="AN154" s="165"/>
      <c r="AO154" s="165"/>
      <c r="AP154" s="165"/>
      <c r="AQ154" s="165"/>
      <c r="AR154" s="165"/>
      <c r="AS154" s="165"/>
      <c r="AT154" s="165"/>
      <c r="AU154" s="179"/>
    </row>
    <row r="155" spans="1:47" ht="60" customHeight="1" outlineLevel="1" x14ac:dyDescent="0.35">
      <c r="A155" s="176" t="s">
        <v>4060</v>
      </c>
      <c r="B155" s="150" t="s">
        <v>4063</v>
      </c>
      <c r="C155" s="148" t="s">
        <v>4064</v>
      </c>
      <c r="D155" s="154" t="s">
        <v>4065</v>
      </c>
      <c r="E155" s="157" t="s">
        <v>19</v>
      </c>
      <c r="F155" s="160" t="s">
        <v>19</v>
      </c>
      <c r="G155" s="163" t="str">
        <f>IF(COUNTIF(H155:AU155,"&lt;&gt;")=0,"",SUMPRODUCT(((Recommendations[ImplStatus]="Implemented")+(Recommendations[ImplStatus]="Compensated"))*ISNUMBER(MATCH(Recommendations[Id],H155:AU155,0)))/COUNTIF(H155:AU155,"&lt;&gt;"))</f>
        <v/>
      </c>
      <c r="H155" s="166"/>
      <c r="I155" s="166"/>
      <c r="J155" s="166"/>
      <c r="K155" s="166"/>
      <c r="L155" s="166"/>
      <c r="M155" s="166"/>
      <c r="N155" s="166"/>
      <c r="O155" s="166"/>
      <c r="P155" s="166"/>
      <c r="Q155" s="166"/>
      <c r="R155" s="166"/>
      <c r="S155" s="166"/>
      <c r="T155" s="166"/>
      <c r="U155" s="166"/>
      <c r="V155" s="166"/>
      <c r="W155" s="166"/>
      <c r="X155" s="166"/>
      <c r="Y155" s="166"/>
      <c r="Z155" s="166"/>
      <c r="AA155" s="166"/>
      <c r="AB155" s="166"/>
      <c r="AC155" s="166"/>
      <c r="AD155" s="166"/>
      <c r="AE155" s="166"/>
      <c r="AF155" s="166"/>
      <c r="AG155" s="166"/>
      <c r="AH155" s="166"/>
      <c r="AI155" s="166"/>
      <c r="AJ155" s="166"/>
      <c r="AK155" s="166"/>
      <c r="AL155" s="166"/>
      <c r="AM155" s="166"/>
      <c r="AN155" s="166"/>
      <c r="AO155" s="166"/>
      <c r="AP155" s="166"/>
      <c r="AQ155" s="166"/>
      <c r="AR155" s="166"/>
      <c r="AS155" s="166"/>
      <c r="AT155" s="166"/>
      <c r="AU155" s="180"/>
    </row>
    <row r="156" spans="1:47" ht="60" customHeight="1" x14ac:dyDescent="0.35">
      <c r="A156" s="177" t="s">
        <v>4060</v>
      </c>
      <c r="B156" s="151" t="s">
        <v>4063</v>
      </c>
      <c r="C156" s="152" t="s">
        <v>4066</v>
      </c>
      <c r="D156" s="155" t="s">
        <v>4067</v>
      </c>
      <c r="E156" s="158"/>
      <c r="F156" s="161" t="s">
        <v>19</v>
      </c>
      <c r="G156" s="164" t="str">
        <f>IF(COUNTIF(H156:AU156,"&lt;&gt;")=0,"",SUMPRODUCT(((Recommendations[ImplStatus]="Implemented")+(Recommendations[ImplStatus]="Compensated"))*ISNUMBER(MATCH(Recommendations[Id],H156:AU156,0)))/COUNTIF(H156:AU156,"&lt;&gt;"))</f>
        <v/>
      </c>
      <c r="H156" s="167"/>
      <c r="I156" s="167"/>
      <c r="J156" s="167"/>
      <c r="K156" s="167"/>
      <c r="L156" s="167"/>
      <c r="M156" s="167"/>
      <c r="N156" s="167"/>
      <c r="O156" s="167"/>
      <c r="P156" s="167"/>
      <c r="Q156" s="167"/>
      <c r="R156" s="167"/>
      <c r="S156" s="167"/>
      <c r="T156" s="167"/>
      <c r="U156" s="167"/>
      <c r="V156" s="167"/>
      <c r="W156" s="167"/>
      <c r="X156" s="167"/>
      <c r="Y156" s="167"/>
      <c r="Z156" s="167"/>
      <c r="AA156" s="167"/>
      <c r="AB156" s="167"/>
      <c r="AC156" s="167"/>
      <c r="AD156" s="167"/>
      <c r="AE156" s="167"/>
      <c r="AF156" s="167"/>
      <c r="AG156" s="167"/>
      <c r="AH156" s="167"/>
      <c r="AI156" s="167"/>
      <c r="AJ156" s="167"/>
      <c r="AK156" s="167"/>
      <c r="AL156" s="167"/>
      <c r="AM156" s="167"/>
      <c r="AN156" s="167"/>
      <c r="AO156" s="167"/>
      <c r="AP156" s="167"/>
      <c r="AQ156" s="167"/>
      <c r="AR156" s="167"/>
      <c r="AS156" s="167"/>
      <c r="AT156" s="167"/>
      <c r="AU156" s="181"/>
    </row>
    <row r="157" spans="1:47" ht="60" customHeight="1" x14ac:dyDescent="0.35">
      <c r="A157" s="177" t="s">
        <v>4060</v>
      </c>
      <c r="B157" s="151" t="s">
        <v>4063</v>
      </c>
      <c r="C157" s="152" t="s">
        <v>4068</v>
      </c>
      <c r="D157" s="155" t="s">
        <v>4069</v>
      </c>
      <c r="E157" s="158" t="s">
        <v>4070</v>
      </c>
      <c r="F157" s="161" t="s">
        <v>3677</v>
      </c>
      <c r="G157" s="164" t="str">
        <f>IF(COUNTIF(H157:AU157,"&lt;&gt;")=0,"",SUMPRODUCT(((Recommendations[ImplStatus]="Implemented")+(Recommendations[ImplStatus]="Compensated"))*ISNUMBER(MATCH(Recommendations[Id],H157:AU157,0)))/COUNTIF(H157:AU157,"&lt;&gt;"))</f>
        <v/>
      </c>
      <c r="H157" s="167"/>
      <c r="I157" s="167"/>
      <c r="J157" s="167"/>
      <c r="K157" s="167"/>
      <c r="L157" s="167"/>
      <c r="M157" s="167"/>
      <c r="N157" s="167"/>
      <c r="O157" s="167"/>
      <c r="P157" s="167"/>
      <c r="Q157" s="167"/>
      <c r="R157" s="167"/>
      <c r="S157" s="167"/>
      <c r="T157" s="167"/>
      <c r="U157" s="167"/>
      <c r="V157" s="167"/>
      <c r="W157" s="167"/>
      <c r="X157" s="167"/>
      <c r="Y157" s="167"/>
      <c r="Z157" s="167"/>
      <c r="AA157" s="167"/>
      <c r="AB157" s="167"/>
      <c r="AC157" s="167"/>
      <c r="AD157" s="167"/>
      <c r="AE157" s="167"/>
      <c r="AF157" s="167"/>
      <c r="AG157" s="167"/>
      <c r="AH157" s="167"/>
      <c r="AI157" s="167"/>
      <c r="AJ157" s="167"/>
      <c r="AK157" s="167"/>
      <c r="AL157" s="167"/>
      <c r="AM157" s="167"/>
      <c r="AN157" s="167"/>
      <c r="AO157" s="167"/>
      <c r="AP157" s="167"/>
      <c r="AQ157" s="167"/>
      <c r="AR157" s="167"/>
      <c r="AS157" s="167"/>
      <c r="AT157" s="167"/>
      <c r="AU157" s="181"/>
    </row>
    <row r="158" spans="1:47" ht="60" customHeight="1" x14ac:dyDescent="0.35">
      <c r="A158" s="177" t="s">
        <v>4060</v>
      </c>
      <c r="B158" s="151" t="s">
        <v>4063</v>
      </c>
      <c r="C158" s="152" t="s">
        <v>4071</v>
      </c>
      <c r="D158" s="155" t="s">
        <v>4072</v>
      </c>
      <c r="E158" s="158" t="s">
        <v>4073</v>
      </c>
      <c r="F158" s="161" t="s">
        <v>3677</v>
      </c>
      <c r="G158" s="164" t="str">
        <f>IF(COUNTIF(H158:AU158,"&lt;&gt;")=0,"",SUMPRODUCT(((Recommendations[ImplStatus]="Implemented")+(Recommendations[ImplStatus]="Compensated"))*ISNUMBER(MATCH(Recommendations[Id],H158:AU158,0)))/COUNTIF(H158:AU158,"&lt;&gt;"))</f>
        <v/>
      </c>
      <c r="H158" s="167"/>
      <c r="I158" s="167"/>
      <c r="J158" s="167"/>
      <c r="K158" s="167"/>
      <c r="L158" s="167"/>
      <c r="M158" s="167"/>
      <c r="N158" s="167"/>
      <c r="O158" s="167"/>
      <c r="P158" s="167"/>
      <c r="Q158" s="167"/>
      <c r="R158" s="167"/>
      <c r="S158" s="167"/>
      <c r="T158" s="167"/>
      <c r="U158" s="167"/>
      <c r="V158" s="167"/>
      <c r="W158" s="167"/>
      <c r="X158" s="167"/>
      <c r="Y158" s="167"/>
      <c r="Z158" s="167"/>
      <c r="AA158" s="167"/>
      <c r="AB158" s="167"/>
      <c r="AC158" s="167"/>
      <c r="AD158" s="167"/>
      <c r="AE158" s="167"/>
      <c r="AF158" s="167"/>
      <c r="AG158" s="167"/>
      <c r="AH158" s="167"/>
      <c r="AI158" s="167"/>
      <c r="AJ158" s="167"/>
      <c r="AK158" s="167"/>
      <c r="AL158" s="167"/>
      <c r="AM158" s="167"/>
      <c r="AN158" s="167"/>
      <c r="AO158" s="167"/>
      <c r="AP158" s="167"/>
      <c r="AQ158" s="167"/>
      <c r="AR158" s="167"/>
      <c r="AS158" s="167"/>
      <c r="AT158" s="167"/>
      <c r="AU158" s="181"/>
    </row>
    <row r="159" spans="1:47" ht="60" customHeight="1" x14ac:dyDescent="0.35">
      <c r="A159" s="177" t="s">
        <v>4060</v>
      </c>
      <c r="B159" s="151" t="s">
        <v>4063</v>
      </c>
      <c r="C159" s="152" t="s">
        <v>4074</v>
      </c>
      <c r="D159" s="155" t="s">
        <v>4075</v>
      </c>
      <c r="E159" s="158" t="s">
        <v>4076</v>
      </c>
      <c r="F159" s="161" t="s">
        <v>3677</v>
      </c>
      <c r="G159" s="164" t="str">
        <f>IF(COUNTIF(H159:AU159,"&lt;&gt;")=0,"",SUMPRODUCT(((Recommendations[ImplStatus]="Implemented")+(Recommendations[ImplStatus]="Compensated"))*ISNUMBER(MATCH(Recommendations[Id],H159:AU159,0)))/COUNTIF(H159:AU159,"&lt;&gt;"))</f>
        <v/>
      </c>
      <c r="H159" s="167"/>
      <c r="I159" s="167"/>
      <c r="J159" s="167"/>
      <c r="K159" s="167"/>
      <c r="L159" s="167"/>
      <c r="M159" s="167"/>
      <c r="N159" s="167"/>
      <c r="O159" s="167"/>
      <c r="P159" s="167"/>
      <c r="Q159" s="167"/>
      <c r="R159" s="167"/>
      <c r="S159" s="167"/>
      <c r="T159" s="167"/>
      <c r="U159" s="167"/>
      <c r="V159" s="167"/>
      <c r="W159" s="167"/>
      <c r="X159" s="167"/>
      <c r="Y159" s="167"/>
      <c r="Z159" s="167"/>
      <c r="AA159" s="167"/>
      <c r="AB159" s="167"/>
      <c r="AC159" s="167"/>
      <c r="AD159" s="167"/>
      <c r="AE159" s="167"/>
      <c r="AF159" s="167"/>
      <c r="AG159" s="167"/>
      <c r="AH159" s="167"/>
      <c r="AI159" s="167"/>
      <c r="AJ159" s="167"/>
      <c r="AK159" s="167"/>
      <c r="AL159" s="167"/>
      <c r="AM159" s="167"/>
      <c r="AN159" s="167"/>
      <c r="AO159" s="167"/>
      <c r="AP159" s="167"/>
      <c r="AQ159" s="167"/>
      <c r="AR159" s="167"/>
      <c r="AS159" s="167"/>
      <c r="AT159" s="167"/>
      <c r="AU159" s="181"/>
    </row>
    <row r="160" spans="1:47" ht="60" customHeight="1" x14ac:dyDescent="0.35">
      <c r="A160" s="177" t="s">
        <v>4060</v>
      </c>
      <c r="B160" s="151" t="s">
        <v>4063</v>
      </c>
      <c r="C160" s="152" t="s">
        <v>4077</v>
      </c>
      <c r="D160" s="155" t="s">
        <v>4078</v>
      </c>
      <c r="E160" s="158"/>
      <c r="F160" s="161" t="s">
        <v>19</v>
      </c>
      <c r="G160" s="164" t="str">
        <f>IF(COUNTIF(H160:AU160,"&lt;&gt;")=0,"",SUMPRODUCT(((Recommendations[ImplStatus]="Implemented")+(Recommendations[ImplStatus]="Compensated"))*ISNUMBER(MATCH(Recommendations[Id],H160:AU160,0)))/COUNTIF(H160:AU160,"&lt;&gt;"))</f>
        <v/>
      </c>
      <c r="H160" s="167"/>
      <c r="I160" s="167"/>
      <c r="J160" s="167"/>
      <c r="K160" s="167"/>
      <c r="L160" s="167"/>
      <c r="M160" s="167"/>
      <c r="N160" s="167"/>
      <c r="O160" s="167"/>
      <c r="P160" s="167"/>
      <c r="Q160" s="167"/>
      <c r="R160" s="167"/>
      <c r="S160" s="167"/>
      <c r="T160" s="167"/>
      <c r="U160" s="167"/>
      <c r="V160" s="167"/>
      <c r="W160" s="167"/>
      <c r="X160" s="167"/>
      <c r="Y160" s="167"/>
      <c r="Z160" s="167"/>
      <c r="AA160" s="167"/>
      <c r="AB160" s="167"/>
      <c r="AC160" s="167"/>
      <c r="AD160" s="167"/>
      <c r="AE160" s="167"/>
      <c r="AF160" s="167"/>
      <c r="AG160" s="167"/>
      <c r="AH160" s="167"/>
      <c r="AI160" s="167"/>
      <c r="AJ160" s="167"/>
      <c r="AK160" s="167"/>
      <c r="AL160" s="167"/>
      <c r="AM160" s="167"/>
      <c r="AN160" s="167"/>
      <c r="AO160" s="167"/>
      <c r="AP160" s="167"/>
      <c r="AQ160" s="167"/>
      <c r="AR160" s="167"/>
      <c r="AS160" s="167"/>
      <c r="AT160" s="167"/>
      <c r="AU160" s="181"/>
    </row>
    <row r="161" spans="1:47" ht="60" customHeight="1" x14ac:dyDescent="0.35">
      <c r="A161" s="177" t="s">
        <v>4060</v>
      </c>
      <c r="B161" s="151" t="s">
        <v>4063</v>
      </c>
      <c r="C161" s="152" t="s">
        <v>4079</v>
      </c>
      <c r="D161" s="155" t="s">
        <v>4080</v>
      </c>
      <c r="E161" s="158" t="s">
        <v>4081</v>
      </c>
      <c r="F161" s="161" t="s">
        <v>3677</v>
      </c>
      <c r="G161" s="164" t="str">
        <f>IF(COUNTIF(H161:AU161,"&lt;&gt;")=0,"",SUMPRODUCT(((Recommendations[ImplStatus]="Implemented")+(Recommendations[ImplStatus]="Compensated"))*ISNUMBER(MATCH(Recommendations[Id],H161:AU161,0)))/COUNTIF(H161:AU161,"&lt;&gt;"))</f>
        <v/>
      </c>
      <c r="H161" s="167"/>
      <c r="I161" s="167"/>
      <c r="J161" s="167"/>
      <c r="K161" s="167"/>
      <c r="L161" s="167"/>
      <c r="M161" s="167"/>
      <c r="N161" s="167"/>
      <c r="O161" s="167"/>
      <c r="P161" s="167"/>
      <c r="Q161" s="167"/>
      <c r="R161" s="167"/>
      <c r="S161" s="167"/>
      <c r="T161" s="167"/>
      <c r="U161" s="167"/>
      <c r="V161" s="167"/>
      <c r="W161" s="167"/>
      <c r="X161" s="167"/>
      <c r="Y161" s="167"/>
      <c r="Z161" s="167"/>
      <c r="AA161" s="167"/>
      <c r="AB161" s="167"/>
      <c r="AC161" s="167"/>
      <c r="AD161" s="167"/>
      <c r="AE161" s="167"/>
      <c r="AF161" s="167"/>
      <c r="AG161" s="167"/>
      <c r="AH161" s="167"/>
      <c r="AI161" s="167"/>
      <c r="AJ161" s="167"/>
      <c r="AK161" s="167"/>
      <c r="AL161" s="167"/>
      <c r="AM161" s="167"/>
      <c r="AN161" s="167"/>
      <c r="AO161" s="167"/>
      <c r="AP161" s="167"/>
      <c r="AQ161" s="167"/>
      <c r="AR161" s="167"/>
      <c r="AS161" s="167"/>
      <c r="AT161" s="167"/>
      <c r="AU161" s="181"/>
    </row>
    <row r="162" spans="1:47" ht="60" customHeight="1" x14ac:dyDescent="0.35">
      <c r="A162" s="177" t="s">
        <v>4060</v>
      </c>
      <c r="B162" s="151" t="s">
        <v>4063</v>
      </c>
      <c r="C162" s="152" t="s">
        <v>4082</v>
      </c>
      <c r="D162" s="155" t="s">
        <v>4083</v>
      </c>
      <c r="E162" s="158" t="s">
        <v>4084</v>
      </c>
      <c r="F162" s="161" t="s">
        <v>3677</v>
      </c>
      <c r="G162" s="164" t="str">
        <f>IF(COUNTIF(H162:AU162,"&lt;&gt;")=0,"",SUMPRODUCT(((Recommendations[ImplStatus]="Implemented")+(Recommendations[ImplStatus]="Compensated"))*ISNUMBER(MATCH(Recommendations[Id],H162:AU162,0)))/COUNTIF(H162:AU162,"&lt;&gt;"))</f>
        <v/>
      </c>
      <c r="H162" s="167"/>
      <c r="I162" s="167"/>
      <c r="J162" s="167"/>
      <c r="K162" s="167"/>
      <c r="L162" s="167"/>
      <c r="M162" s="167"/>
      <c r="N162" s="167"/>
      <c r="O162" s="167"/>
      <c r="P162" s="167"/>
      <c r="Q162" s="167"/>
      <c r="R162" s="167"/>
      <c r="S162" s="167"/>
      <c r="T162" s="167"/>
      <c r="U162" s="167"/>
      <c r="V162" s="167"/>
      <c r="W162" s="167"/>
      <c r="X162" s="167"/>
      <c r="Y162" s="167"/>
      <c r="Z162" s="167"/>
      <c r="AA162" s="167"/>
      <c r="AB162" s="167"/>
      <c r="AC162" s="167"/>
      <c r="AD162" s="167"/>
      <c r="AE162" s="167"/>
      <c r="AF162" s="167"/>
      <c r="AG162" s="167"/>
      <c r="AH162" s="167"/>
      <c r="AI162" s="167"/>
      <c r="AJ162" s="167"/>
      <c r="AK162" s="167"/>
      <c r="AL162" s="167"/>
      <c r="AM162" s="167"/>
      <c r="AN162" s="167"/>
      <c r="AO162" s="167"/>
      <c r="AP162" s="167"/>
      <c r="AQ162" s="167"/>
      <c r="AR162" s="167"/>
      <c r="AS162" s="167"/>
      <c r="AT162" s="167"/>
      <c r="AU162" s="181"/>
    </row>
    <row r="163" spans="1:47" ht="60" customHeight="1" x14ac:dyDescent="0.35">
      <c r="A163" s="177" t="s">
        <v>4060</v>
      </c>
      <c r="B163" s="151" t="s">
        <v>4063</v>
      </c>
      <c r="C163" s="152" t="s">
        <v>4085</v>
      </c>
      <c r="D163" s="155" t="s">
        <v>4086</v>
      </c>
      <c r="E163" s="158" t="s">
        <v>4087</v>
      </c>
      <c r="F163" s="161" t="s">
        <v>3677</v>
      </c>
      <c r="G163" s="164" t="str">
        <f>IF(COUNTIF(H163:AU163,"&lt;&gt;")=0,"",SUMPRODUCT(((Recommendations[ImplStatus]="Implemented")+(Recommendations[ImplStatus]="Compensated"))*ISNUMBER(MATCH(Recommendations[Id],H163:AU163,0)))/COUNTIF(H163:AU163,"&lt;&gt;"))</f>
        <v/>
      </c>
      <c r="H163" s="167"/>
      <c r="I163" s="167"/>
      <c r="J163" s="167"/>
      <c r="K163" s="167"/>
      <c r="L163" s="167"/>
      <c r="M163" s="167"/>
      <c r="N163" s="167"/>
      <c r="O163" s="167"/>
      <c r="P163" s="167"/>
      <c r="Q163" s="167"/>
      <c r="R163" s="167"/>
      <c r="S163" s="167"/>
      <c r="T163" s="167"/>
      <c r="U163" s="167"/>
      <c r="V163" s="167"/>
      <c r="W163" s="167"/>
      <c r="X163" s="167"/>
      <c r="Y163" s="167"/>
      <c r="Z163" s="167"/>
      <c r="AA163" s="167"/>
      <c r="AB163" s="167"/>
      <c r="AC163" s="167"/>
      <c r="AD163" s="167"/>
      <c r="AE163" s="167"/>
      <c r="AF163" s="167"/>
      <c r="AG163" s="167"/>
      <c r="AH163" s="167"/>
      <c r="AI163" s="167"/>
      <c r="AJ163" s="167"/>
      <c r="AK163" s="167"/>
      <c r="AL163" s="167"/>
      <c r="AM163" s="167"/>
      <c r="AN163" s="167"/>
      <c r="AO163" s="167"/>
      <c r="AP163" s="167"/>
      <c r="AQ163" s="167"/>
      <c r="AR163" s="167"/>
      <c r="AS163" s="167"/>
      <c r="AT163" s="167"/>
      <c r="AU163" s="181"/>
    </row>
    <row r="164" spans="1:47" ht="60" customHeight="1" outlineLevel="1" x14ac:dyDescent="0.35">
      <c r="A164" s="176" t="s">
        <v>4060</v>
      </c>
      <c r="B164" s="150" t="s">
        <v>3481</v>
      </c>
      <c r="C164" s="148" t="s">
        <v>4088</v>
      </c>
      <c r="D164" s="154" t="s">
        <v>4089</v>
      </c>
      <c r="E164" s="157" t="s">
        <v>19</v>
      </c>
      <c r="F164" s="160" t="s">
        <v>19</v>
      </c>
      <c r="G164" s="163" t="str">
        <f>IF(COUNTIF(H164:AU164,"&lt;&gt;")=0,"",SUMPRODUCT(((Recommendations[ImplStatus]="Implemented")+(Recommendations[ImplStatus]="Compensated"))*ISNUMBER(MATCH(Recommendations[Id],H164:AU164,0)))/COUNTIF(H164:AU164,"&lt;&gt;"))</f>
        <v/>
      </c>
      <c r="H164" s="166"/>
      <c r="I164" s="166"/>
      <c r="J164" s="166"/>
      <c r="K164" s="166"/>
      <c r="L164" s="166"/>
      <c r="M164" s="166"/>
      <c r="N164" s="166"/>
      <c r="O164" s="166"/>
      <c r="P164" s="166"/>
      <c r="Q164" s="166"/>
      <c r="R164" s="166"/>
      <c r="S164" s="166"/>
      <c r="T164" s="166"/>
      <c r="U164" s="166"/>
      <c r="V164" s="166"/>
      <c r="W164" s="166"/>
      <c r="X164" s="166"/>
      <c r="Y164" s="166"/>
      <c r="Z164" s="166"/>
      <c r="AA164" s="166"/>
      <c r="AB164" s="166"/>
      <c r="AC164" s="166"/>
      <c r="AD164" s="166"/>
      <c r="AE164" s="166"/>
      <c r="AF164" s="166"/>
      <c r="AG164" s="166"/>
      <c r="AH164" s="166"/>
      <c r="AI164" s="166"/>
      <c r="AJ164" s="166"/>
      <c r="AK164" s="166"/>
      <c r="AL164" s="166"/>
      <c r="AM164" s="166"/>
      <c r="AN164" s="166"/>
      <c r="AO164" s="166"/>
      <c r="AP164" s="166"/>
      <c r="AQ164" s="166"/>
      <c r="AR164" s="166"/>
      <c r="AS164" s="166"/>
      <c r="AT164" s="166"/>
      <c r="AU164" s="180"/>
    </row>
    <row r="165" spans="1:47" ht="60" customHeight="1" x14ac:dyDescent="0.35">
      <c r="A165" s="177" t="s">
        <v>4060</v>
      </c>
      <c r="B165" s="151" t="s">
        <v>3481</v>
      </c>
      <c r="C165" s="152" t="s">
        <v>4090</v>
      </c>
      <c r="D165" s="155" t="s">
        <v>4091</v>
      </c>
      <c r="E165" s="158" t="s">
        <v>4092</v>
      </c>
      <c r="F165" s="161" t="s">
        <v>3677</v>
      </c>
      <c r="G165" s="164" t="str">
        <f>IF(COUNTIF(H165:AU165,"&lt;&gt;")=0,"",SUMPRODUCT(((Recommendations[ImplStatus]="Implemented")+(Recommendations[ImplStatus]="Compensated"))*ISNUMBER(MATCH(Recommendations[Id],H165:AU165,0)))/COUNTIF(H165:AU165,"&lt;&gt;"))</f>
        <v/>
      </c>
      <c r="H165" s="167"/>
      <c r="I165" s="167"/>
      <c r="J165" s="167"/>
      <c r="K165" s="167"/>
      <c r="L165" s="167"/>
      <c r="M165" s="167"/>
      <c r="N165" s="167"/>
      <c r="O165" s="167"/>
      <c r="P165" s="167"/>
      <c r="Q165" s="167"/>
      <c r="R165" s="167"/>
      <c r="S165" s="167"/>
      <c r="T165" s="167"/>
      <c r="U165" s="167"/>
      <c r="V165" s="167"/>
      <c r="W165" s="167"/>
      <c r="X165" s="167"/>
      <c r="Y165" s="167"/>
      <c r="Z165" s="167"/>
      <c r="AA165" s="167"/>
      <c r="AB165" s="167"/>
      <c r="AC165" s="167"/>
      <c r="AD165" s="167"/>
      <c r="AE165" s="167"/>
      <c r="AF165" s="167"/>
      <c r="AG165" s="167"/>
      <c r="AH165" s="167"/>
      <c r="AI165" s="167"/>
      <c r="AJ165" s="167"/>
      <c r="AK165" s="167"/>
      <c r="AL165" s="167"/>
      <c r="AM165" s="167"/>
      <c r="AN165" s="167"/>
      <c r="AO165" s="167"/>
      <c r="AP165" s="167"/>
      <c r="AQ165" s="167"/>
      <c r="AR165" s="167"/>
      <c r="AS165" s="167"/>
      <c r="AT165" s="167"/>
      <c r="AU165" s="181"/>
    </row>
    <row r="166" spans="1:47" ht="60" customHeight="1" x14ac:dyDescent="0.35">
      <c r="A166" s="177" t="s">
        <v>4060</v>
      </c>
      <c r="B166" s="151" t="s">
        <v>3481</v>
      </c>
      <c r="C166" s="152" t="s">
        <v>4093</v>
      </c>
      <c r="D166" s="155" t="s">
        <v>4094</v>
      </c>
      <c r="E166" s="158" t="s">
        <v>4095</v>
      </c>
      <c r="F166" s="161" t="s">
        <v>3677</v>
      </c>
      <c r="G166" s="164" t="str">
        <f>IF(COUNTIF(H166:AU166,"&lt;&gt;")=0,"",SUMPRODUCT(((Recommendations[ImplStatus]="Implemented")+(Recommendations[ImplStatus]="Compensated"))*ISNUMBER(MATCH(Recommendations[Id],H166:AU166,0)))/COUNTIF(H166:AU166,"&lt;&gt;"))</f>
        <v/>
      </c>
      <c r="H166" s="167"/>
      <c r="I166" s="167"/>
      <c r="J166" s="167"/>
      <c r="K166" s="167"/>
      <c r="L166" s="167"/>
      <c r="M166" s="167"/>
      <c r="N166" s="167"/>
      <c r="O166" s="167"/>
      <c r="P166" s="167"/>
      <c r="Q166" s="167"/>
      <c r="R166" s="167"/>
      <c r="S166" s="167"/>
      <c r="T166" s="167"/>
      <c r="U166" s="167"/>
      <c r="V166" s="167"/>
      <c r="W166" s="167"/>
      <c r="X166" s="167"/>
      <c r="Y166" s="167"/>
      <c r="Z166" s="167"/>
      <c r="AA166" s="167"/>
      <c r="AB166" s="167"/>
      <c r="AC166" s="167"/>
      <c r="AD166" s="167"/>
      <c r="AE166" s="167"/>
      <c r="AF166" s="167"/>
      <c r="AG166" s="167"/>
      <c r="AH166" s="167"/>
      <c r="AI166" s="167"/>
      <c r="AJ166" s="167"/>
      <c r="AK166" s="167"/>
      <c r="AL166" s="167"/>
      <c r="AM166" s="167"/>
      <c r="AN166" s="167"/>
      <c r="AO166" s="167"/>
      <c r="AP166" s="167"/>
      <c r="AQ166" s="167"/>
      <c r="AR166" s="167"/>
      <c r="AS166" s="167"/>
      <c r="AT166" s="167"/>
      <c r="AU166" s="181"/>
    </row>
    <row r="167" spans="1:47" ht="60" customHeight="1" x14ac:dyDescent="0.35">
      <c r="A167" s="177" t="s">
        <v>4060</v>
      </c>
      <c r="B167" s="151" t="s">
        <v>3481</v>
      </c>
      <c r="C167" s="152" t="s">
        <v>4096</v>
      </c>
      <c r="D167" s="155" t="s">
        <v>4097</v>
      </c>
      <c r="E167" s="158" t="s">
        <v>4098</v>
      </c>
      <c r="F167" s="161" t="s">
        <v>3677</v>
      </c>
      <c r="G167" s="164" t="str">
        <f>IF(COUNTIF(H167:AU167,"&lt;&gt;")=0,"",SUMPRODUCT(((Recommendations[ImplStatus]="Implemented")+(Recommendations[ImplStatus]="Compensated"))*ISNUMBER(MATCH(Recommendations[Id],H167:AU167,0)))/COUNTIF(H167:AU167,"&lt;&gt;"))</f>
        <v/>
      </c>
      <c r="H167" s="167"/>
      <c r="I167" s="167"/>
      <c r="J167" s="167"/>
      <c r="K167" s="167"/>
      <c r="L167" s="167"/>
      <c r="M167" s="167"/>
      <c r="N167" s="167"/>
      <c r="O167" s="167"/>
      <c r="P167" s="167"/>
      <c r="Q167" s="167"/>
      <c r="R167" s="167"/>
      <c r="S167" s="167"/>
      <c r="T167" s="167"/>
      <c r="U167" s="167"/>
      <c r="V167" s="167"/>
      <c r="W167" s="167"/>
      <c r="X167" s="167"/>
      <c r="Y167" s="167"/>
      <c r="Z167" s="167"/>
      <c r="AA167" s="167"/>
      <c r="AB167" s="167"/>
      <c r="AC167" s="167"/>
      <c r="AD167" s="167"/>
      <c r="AE167" s="167"/>
      <c r="AF167" s="167"/>
      <c r="AG167" s="167"/>
      <c r="AH167" s="167"/>
      <c r="AI167" s="167"/>
      <c r="AJ167" s="167"/>
      <c r="AK167" s="167"/>
      <c r="AL167" s="167"/>
      <c r="AM167" s="167"/>
      <c r="AN167" s="167"/>
      <c r="AO167" s="167"/>
      <c r="AP167" s="167"/>
      <c r="AQ167" s="167"/>
      <c r="AR167" s="167"/>
      <c r="AS167" s="167"/>
      <c r="AT167" s="167"/>
      <c r="AU167" s="181"/>
    </row>
    <row r="168" spans="1:47" ht="60" customHeight="1" x14ac:dyDescent="0.35">
      <c r="A168" s="177" t="s">
        <v>4060</v>
      </c>
      <c r="B168" s="151" t="s">
        <v>3481</v>
      </c>
      <c r="C168" s="152" t="s">
        <v>4099</v>
      </c>
      <c r="D168" s="155" t="s">
        <v>4100</v>
      </c>
      <c r="E168" s="158"/>
      <c r="F168" s="161" t="s">
        <v>19</v>
      </c>
      <c r="G168" s="164" t="str">
        <f>IF(COUNTIF(H168:AU168,"&lt;&gt;")=0,"",SUMPRODUCT(((Recommendations[ImplStatus]="Implemented")+(Recommendations[ImplStatus]="Compensated"))*ISNUMBER(MATCH(Recommendations[Id],H168:AU168,0)))/COUNTIF(H168:AU168,"&lt;&gt;"))</f>
        <v/>
      </c>
      <c r="H168" s="167"/>
      <c r="I168" s="167"/>
      <c r="J168" s="167"/>
      <c r="K168" s="167"/>
      <c r="L168" s="167"/>
      <c r="M168" s="167"/>
      <c r="N168" s="167"/>
      <c r="O168" s="167"/>
      <c r="P168" s="167"/>
      <c r="Q168" s="167"/>
      <c r="R168" s="167"/>
      <c r="S168" s="167"/>
      <c r="T168" s="167"/>
      <c r="U168" s="167"/>
      <c r="V168" s="167"/>
      <c r="W168" s="167"/>
      <c r="X168" s="167"/>
      <c r="Y168" s="167"/>
      <c r="Z168" s="167"/>
      <c r="AA168" s="167"/>
      <c r="AB168" s="167"/>
      <c r="AC168" s="167"/>
      <c r="AD168" s="167"/>
      <c r="AE168" s="167"/>
      <c r="AF168" s="167"/>
      <c r="AG168" s="167"/>
      <c r="AH168" s="167"/>
      <c r="AI168" s="167"/>
      <c r="AJ168" s="167"/>
      <c r="AK168" s="167"/>
      <c r="AL168" s="167"/>
      <c r="AM168" s="167"/>
      <c r="AN168" s="167"/>
      <c r="AO168" s="167"/>
      <c r="AP168" s="167"/>
      <c r="AQ168" s="167"/>
      <c r="AR168" s="167"/>
      <c r="AS168" s="167"/>
      <c r="AT168" s="167"/>
      <c r="AU168" s="181"/>
    </row>
    <row r="169" spans="1:47" ht="60" customHeight="1" x14ac:dyDescent="0.35">
      <c r="A169" s="177" t="s">
        <v>4060</v>
      </c>
      <c r="B169" s="151" t="s">
        <v>3481</v>
      </c>
      <c r="C169" s="152" t="s">
        <v>4101</v>
      </c>
      <c r="D169" s="155" t="s">
        <v>4102</v>
      </c>
      <c r="E169" s="158"/>
      <c r="F169" s="161" t="s">
        <v>19</v>
      </c>
      <c r="G169" s="164" t="str">
        <f>IF(COUNTIF(H169:AU169,"&lt;&gt;")=0,"",SUMPRODUCT(((Recommendations[ImplStatus]="Implemented")+(Recommendations[ImplStatus]="Compensated"))*ISNUMBER(MATCH(Recommendations[Id],H169:AU169,0)))/COUNTIF(H169:AU169,"&lt;&gt;"))</f>
        <v/>
      </c>
      <c r="H169" s="167"/>
      <c r="I169" s="167"/>
      <c r="J169" s="167"/>
      <c r="K169" s="167"/>
      <c r="L169" s="167"/>
      <c r="M169" s="167"/>
      <c r="N169" s="167"/>
      <c r="O169" s="167"/>
      <c r="P169" s="167"/>
      <c r="Q169" s="167"/>
      <c r="R169" s="167"/>
      <c r="S169" s="167"/>
      <c r="T169" s="167"/>
      <c r="U169" s="167"/>
      <c r="V169" s="167"/>
      <c r="W169" s="167"/>
      <c r="X169" s="167"/>
      <c r="Y169" s="167"/>
      <c r="Z169" s="167"/>
      <c r="AA169" s="167"/>
      <c r="AB169" s="167"/>
      <c r="AC169" s="167"/>
      <c r="AD169" s="167"/>
      <c r="AE169" s="167"/>
      <c r="AF169" s="167"/>
      <c r="AG169" s="167"/>
      <c r="AH169" s="167"/>
      <c r="AI169" s="167"/>
      <c r="AJ169" s="167"/>
      <c r="AK169" s="167"/>
      <c r="AL169" s="167"/>
      <c r="AM169" s="167"/>
      <c r="AN169" s="167"/>
      <c r="AO169" s="167"/>
      <c r="AP169" s="167"/>
      <c r="AQ169" s="167"/>
      <c r="AR169" s="167"/>
      <c r="AS169" s="167"/>
      <c r="AT169" s="167"/>
      <c r="AU169" s="181"/>
    </row>
    <row r="170" spans="1:47" ht="60" customHeight="1" x14ac:dyDescent="0.35">
      <c r="A170" s="177" t="s">
        <v>4060</v>
      </c>
      <c r="B170" s="151" t="s">
        <v>3481</v>
      </c>
      <c r="C170" s="152" t="s">
        <v>4103</v>
      </c>
      <c r="D170" s="155" t="s">
        <v>4104</v>
      </c>
      <c r="E170" s="158" t="s">
        <v>4105</v>
      </c>
      <c r="F170" s="161" t="s">
        <v>3691</v>
      </c>
      <c r="G170" s="164" t="str">
        <f>IF(COUNTIF(H170:AU170,"&lt;&gt;")=0,"",SUMPRODUCT(((Recommendations[ImplStatus]="Implemented")+(Recommendations[ImplStatus]="Compensated"))*ISNUMBER(MATCH(Recommendations[Id],H170:AU170,0)))/COUNTIF(H170:AU170,"&lt;&gt;"))</f>
        <v/>
      </c>
      <c r="H170" s="167"/>
      <c r="I170" s="167"/>
      <c r="J170" s="167"/>
      <c r="K170" s="167"/>
      <c r="L170" s="167"/>
      <c r="M170" s="167"/>
      <c r="N170" s="167"/>
      <c r="O170" s="167"/>
      <c r="P170" s="167"/>
      <c r="Q170" s="167"/>
      <c r="R170" s="167"/>
      <c r="S170" s="167"/>
      <c r="T170" s="167"/>
      <c r="U170" s="167"/>
      <c r="V170" s="167"/>
      <c r="W170" s="167"/>
      <c r="X170" s="167"/>
      <c r="Y170" s="167"/>
      <c r="Z170" s="167"/>
      <c r="AA170" s="167"/>
      <c r="AB170" s="167"/>
      <c r="AC170" s="167"/>
      <c r="AD170" s="167"/>
      <c r="AE170" s="167"/>
      <c r="AF170" s="167"/>
      <c r="AG170" s="167"/>
      <c r="AH170" s="167"/>
      <c r="AI170" s="167"/>
      <c r="AJ170" s="167"/>
      <c r="AK170" s="167"/>
      <c r="AL170" s="167"/>
      <c r="AM170" s="167"/>
      <c r="AN170" s="167"/>
      <c r="AO170" s="167"/>
      <c r="AP170" s="167"/>
      <c r="AQ170" s="167"/>
      <c r="AR170" s="167"/>
      <c r="AS170" s="167"/>
      <c r="AT170" s="167"/>
      <c r="AU170" s="181"/>
    </row>
    <row r="171" spans="1:47" ht="60" customHeight="1" x14ac:dyDescent="0.35">
      <c r="A171" s="177" t="s">
        <v>4060</v>
      </c>
      <c r="B171" s="151" t="s">
        <v>3481</v>
      </c>
      <c r="C171" s="152" t="s">
        <v>4106</v>
      </c>
      <c r="D171" s="155" t="s">
        <v>4107</v>
      </c>
      <c r="E171" s="158"/>
      <c r="F171" s="161" t="s">
        <v>19</v>
      </c>
      <c r="G171" s="164" t="str">
        <f>IF(COUNTIF(H171:AU171,"&lt;&gt;")=0,"",SUMPRODUCT(((Recommendations[ImplStatus]="Implemented")+(Recommendations[ImplStatus]="Compensated"))*ISNUMBER(MATCH(Recommendations[Id],H171:AU171,0)))/COUNTIF(H171:AU171,"&lt;&gt;"))</f>
        <v/>
      </c>
      <c r="H171" s="167"/>
      <c r="I171" s="167"/>
      <c r="J171" s="167"/>
      <c r="K171" s="167"/>
      <c r="L171" s="167"/>
      <c r="M171" s="167"/>
      <c r="N171" s="167"/>
      <c r="O171" s="167"/>
      <c r="P171" s="167"/>
      <c r="Q171" s="167"/>
      <c r="R171" s="167"/>
      <c r="S171" s="167"/>
      <c r="T171" s="167"/>
      <c r="U171" s="167"/>
      <c r="V171" s="167"/>
      <c r="W171" s="167"/>
      <c r="X171" s="167"/>
      <c r="Y171" s="167"/>
      <c r="Z171" s="167"/>
      <c r="AA171" s="167"/>
      <c r="AB171" s="167"/>
      <c r="AC171" s="167"/>
      <c r="AD171" s="167"/>
      <c r="AE171" s="167"/>
      <c r="AF171" s="167"/>
      <c r="AG171" s="167"/>
      <c r="AH171" s="167"/>
      <c r="AI171" s="167"/>
      <c r="AJ171" s="167"/>
      <c r="AK171" s="167"/>
      <c r="AL171" s="167"/>
      <c r="AM171" s="167"/>
      <c r="AN171" s="167"/>
      <c r="AO171" s="167"/>
      <c r="AP171" s="167"/>
      <c r="AQ171" s="167"/>
      <c r="AR171" s="167"/>
      <c r="AS171" s="167"/>
      <c r="AT171" s="167"/>
      <c r="AU171" s="181"/>
    </row>
    <row r="172" spans="1:47" ht="60" customHeight="1" x14ac:dyDescent="0.35">
      <c r="A172" s="177" t="s">
        <v>4060</v>
      </c>
      <c r="B172" s="151" t="s">
        <v>3481</v>
      </c>
      <c r="C172" s="152" t="s">
        <v>4108</v>
      </c>
      <c r="D172" s="155" t="s">
        <v>4109</v>
      </c>
      <c r="E172" s="158"/>
      <c r="F172" s="161" t="s">
        <v>19</v>
      </c>
      <c r="G172" s="164" t="str">
        <f>IF(COUNTIF(H172:AU172,"&lt;&gt;")=0,"",SUMPRODUCT(((Recommendations[ImplStatus]="Implemented")+(Recommendations[ImplStatus]="Compensated"))*ISNUMBER(MATCH(Recommendations[Id],H172:AU172,0)))/COUNTIF(H172:AU172,"&lt;&gt;"))</f>
        <v/>
      </c>
      <c r="H172" s="167"/>
      <c r="I172" s="167"/>
      <c r="J172" s="167"/>
      <c r="K172" s="167"/>
      <c r="L172" s="167"/>
      <c r="M172" s="167"/>
      <c r="N172" s="167"/>
      <c r="O172" s="167"/>
      <c r="P172" s="167"/>
      <c r="Q172" s="167"/>
      <c r="R172" s="167"/>
      <c r="S172" s="167"/>
      <c r="T172" s="167"/>
      <c r="U172" s="167"/>
      <c r="V172" s="167"/>
      <c r="W172" s="167"/>
      <c r="X172" s="167"/>
      <c r="Y172" s="167"/>
      <c r="Z172" s="167"/>
      <c r="AA172" s="167"/>
      <c r="AB172" s="167"/>
      <c r="AC172" s="167"/>
      <c r="AD172" s="167"/>
      <c r="AE172" s="167"/>
      <c r="AF172" s="167"/>
      <c r="AG172" s="167"/>
      <c r="AH172" s="167"/>
      <c r="AI172" s="167"/>
      <c r="AJ172" s="167"/>
      <c r="AK172" s="167"/>
      <c r="AL172" s="167"/>
      <c r="AM172" s="167"/>
      <c r="AN172" s="167"/>
      <c r="AO172" s="167"/>
      <c r="AP172" s="167"/>
      <c r="AQ172" s="167"/>
      <c r="AR172" s="167"/>
      <c r="AS172" s="167"/>
      <c r="AT172" s="167"/>
      <c r="AU172" s="181"/>
    </row>
    <row r="173" spans="1:47" ht="60" customHeight="1" x14ac:dyDescent="0.35">
      <c r="A173" s="177" t="s">
        <v>4060</v>
      </c>
      <c r="B173" s="151" t="s">
        <v>3481</v>
      </c>
      <c r="C173" s="152" t="s">
        <v>4110</v>
      </c>
      <c r="D173" s="155" t="s">
        <v>4111</v>
      </c>
      <c r="E173" s="158" t="s">
        <v>4112</v>
      </c>
      <c r="F173" s="161" t="s">
        <v>3677</v>
      </c>
      <c r="G173" s="164" t="str">
        <f>IF(COUNTIF(H173:AU173,"&lt;&gt;")=0,"",SUMPRODUCT(((Recommendations[ImplStatus]="Implemented")+(Recommendations[ImplStatus]="Compensated"))*ISNUMBER(MATCH(Recommendations[Id],H173:AU173,0)))/COUNTIF(H173:AU173,"&lt;&gt;"))</f>
        <v/>
      </c>
      <c r="H173" s="167"/>
      <c r="I173" s="167"/>
      <c r="J173" s="167"/>
      <c r="K173" s="167"/>
      <c r="L173" s="167"/>
      <c r="M173" s="167"/>
      <c r="N173" s="167"/>
      <c r="O173" s="167"/>
      <c r="P173" s="167"/>
      <c r="Q173" s="167"/>
      <c r="R173" s="167"/>
      <c r="S173" s="167"/>
      <c r="T173" s="167"/>
      <c r="U173" s="167"/>
      <c r="V173" s="167"/>
      <c r="W173" s="167"/>
      <c r="X173" s="167"/>
      <c r="Y173" s="167"/>
      <c r="Z173" s="167"/>
      <c r="AA173" s="167"/>
      <c r="AB173" s="167"/>
      <c r="AC173" s="167"/>
      <c r="AD173" s="167"/>
      <c r="AE173" s="167"/>
      <c r="AF173" s="167"/>
      <c r="AG173" s="167"/>
      <c r="AH173" s="167"/>
      <c r="AI173" s="167"/>
      <c r="AJ173" s="167"/>
      <c r="AK173" s="167"/>
      <c r="AL173" s="167"/>
      <c r="AM173" s="167"/>
      <c r="AN173" s="167"/>
      <c r="AO173" s="167"/>
      <c r="AP173" s="167"/>
      <c r="AQ173" s="167"/>
      <c r="AR173" s="167"/>
      <c r="AS173" s="167"/>
      <c r="AT173" s="167"/>
      <c r="AU173" s="181"/>
    </row>
    <row r="174" spans="1:47" ht="60" customHeight="1" outlineLevel="1" x14ac:dyDescent="0.35">
      <c r="A174" s="176" t="s">
        <v>4060</v>
      </c>
      <c r="B174" s="150" t="s">
        <v>4113</v>
      </c>
      <c r="C174" s="148" t="s">
        <v>4114</v>
      </c>
      <c r="D174" s="154"/>
      <c r="E174" s="157" t="s">
        <v>19</v>
      </c>
      <c r="F174" s="160" t="s">
        <v>19</v>
      </c>
      <c r="G174" s="163" t="str">
        <f>IF(COUNTIF(H174:AU174,"&lt;&gt;")=0,"",SUMPRODUCT(((Recommendations[ImplStatus]="Implemented")+(Recommendations[ImplStatus]="Compensated"))*ISNUMBER(MATCH(Recommendations[Id],H174:AU174,0)))/COUNTIF(H174:AU174,"&lt;&gt;"))</f>
        <v/>
      </c>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L174" s="166"/>
      <c r="AM174" s="166"/>
      <c r="AN174" s="166"/>
      <c r="AO174" s="166"/>
      <c r="AP174" s="166"/>
      <c r="AQ174" s="166"/>
      <c r="AR174" s="166"/>
      <c r="AS174" s="166"/>
      <c r="AT174" s="166"/>
      <c r="AU174" s="180"/>
    </row>
    <row r="175" spans="1:47" ht="60" customHeight="1" x14ac:dyDescent="0.35">
      <c r="A175" s="177" t="s">
        <v>4060</v>
      </c>
      <c r="B175" s="151" t="s">
        <v>4113</v>
      </c>
      <c r="C175" s="152" t="s">
        <v>4115</v>
      </c>
      <c r="D175" s="155" t="s">
        <v>4116</v>
      </c>
      <c r="E175" s="158"/>
      <c r="F175" s="161" t="s">
        <v>19</v>
      </c>
      <c r="G175" s="164" t="str">
        <f>IF(COUNTIF(H175:AU175,"&lt;&gt;")=0,"",SUMPRODUCT(((Recommendations[ImplStatus]="Implemented")+(Recommendations[ImplStatus]="Compensated"))*ISNUMBER(MATCH(Recommendations[Id],H175:AU175,0)))/COUNTIF(H175:AU175,"&lt;&gt;"))</f>
        <v/>
      </c>
      <c r="H175" s="167"/>
      <c r="I175" s="167"/>
      <c r="J175" s="167"/>
      <c r="K175" s="167"/>
      <c r="L175" s="167"/>
      <c r="M175" s="167"/>
      <c r="N175" s="167"/>
      <c r="O175" s="167"/>
      <c r="P175" s="167"/>
      <c r="Q175" s="167"/>
      <c r="R175" s="167"/>
      <c r="S175" s="167"/>
      <c r="T175" s="167"/>
      <c r="U175" s="167"/>
      <c r="V175" s="167"/>
      <c r="W175" s="167"/>
      <c r="X175" s="167"/>
      <c r="Y175" s="167"/>
      <c r="Z175" s="167"/>
      <c r="AA175" s="167"/>
      <c r="AB175" s="167"/>
      <c r="AC175" s="167"/>
      <c r="AD175" s="167"/>
      <c r="AE175" s="167"/>
      <c r="AF175" s="167"/>
      <c r="AG175" s="167"/>
      <c r="AH175" s="167"/>
      <c r="AI175" s="167"/>
      <c r="AJ175" s="167"/>
      <c r="AK175" s="167"/>
      <c r="AL175" s="167"/>
      <c r="AM175" s="167"/>
      <c r="AN175" s="167"/>
      <c r="AO175" s="167"/>
      <c r="AP175" s="167"/>
      <c r="AQ175" s="167"/>
      <c r="AR175" s="167"/>
      <c r="AS175" s="167"/>
      <c r="AT175" s="167"/>
      <c r="AU175" s="181"/>
    </row>
    <row r="176" spans="1:47" ht="60" customHeight="1" x14ac:dyDescent="0.35">
      <c r="A176" s="177" t="s">
        <v>4060</v>
      </c>
      <c r="B176" s="151" t="s">
        <v>4113</v>
      </c>
      <c r="C176" s="152" t="s">
        <v>4117</v>
      </c>
      <c r="D176" s="155" t="s">
        <v>4118</v>
      </c>
      <c r="E176" s="158"/>
      <c r="F176" s="161" t="s">
        <v>19</v>
      </c>
      <c r="G176" s="164" t="str">
        <f>IF(COUNTIF(H176:AU176,"&lt;&gt;")=0,"",SUMPRODUCT(((Recommendations[ImplStatus]="Implemented")+(Recommendations[ImplStatus]="Compensated"))*ISNUMBER(MATCH(Recommendations[Id],H176:AU176,0)))/COUNTIF(H176:AU176,"&lt;&gt;"))</f>
        <v/>
      </c>
      <c r="H176" s="167"/>
      <c r="I176" s="167"/>
      <c r="J176" s="167"/>
      <c r="K176" s="167"/>
      <c r="L176" s="167"/>
      <c r="M176" s="167"/>
      <c r="N176" s="167"/>
      <c r="O176" s="167"/>
      <c r="P176" s="167"/>
      <c r="Q176" s="167"/>
      <c r="R176" s="167"/>
      <c r="S176" s="167"/>
      <c r="T176" s="167"/>
      <c r="U176" s="167"/>
      <c r="V176" s="167"/>
      <c r="W176" s="167"/>
      <c r="X176" s="167"/>
      <c r="Y176" s="167"/>
      <c r="Z176" s="167"/>
      <c r="AA176" s="167"/>
      <c r="AB176" s="167"/>
      <c r="AC176" s="167"/>
      <c r="AD176" s="167"/>
      <c r="AE176" s="167"/>
      <c r="AF176" s="167"/>
      <c r="AG176" s="167"/>
      <c r="AH176" s="167"/>
      <c r="AI176" s="167"/>
      <c r="AJ176" s="167"/>
      <c r="AK176" s="167"/>
      <c r="AL176" s="167"/>
      <c r="AM176" s="167"/>
      <c r="AN176" s="167"/>
      <c r="AO176" s="167"/>
      <c r="AP176" s="167"/>
      <c r="AQ176" s="167"/>
      <c r="AR176" s="167"/>
      <c r="AS176" s="167"/>
      <c r="AT176" s="167"/>
      <c r="AU176" s="181"/>
    </row>
    <row r="177" spans="1:47" ht="60" customHeight="1" x14ac:dyDescent="0.35">
      <c r="A177" s="177" t="s">
        <v>4060</v>
      </c>
      <c r="B177" s="151" t="s">
        <v>4113</v>
      </c>
      <c r="C177" s="152" t="s">
        <v>4119</v>
      </c>
      <c r="D177" s="155" t="s">
        <v>4120</v>
      </c>
      <c r="E177" s="158"/>
      <c r="F177" s="161" t="s">
        <v>19</v>
      </c>
      <c r="G177" s="164" t="str">
        <f>IF(COUNTIF(H177:AU177,"&lt;&gt;")=0,"",SUMPRODUCT(((Recommendations[ImplStatus]="Implemented")+(Recommendations[ImplStatus]="Compensated"))*ISNUMBER(MATCH(Recommendations[Id],H177:AU177,0)))/COUNTIF(H177:AU177,"&lt;&gt;"))</f>
        <v/>
      </c>
      <c r="H177" s="167"/>
      <c r="I177" s="167"/>
      <c r="J177" s="167"/>
      <c r="K177" s="167"/>
      <c r="L177" s="167"/>
      <c r="M177" s="167"/>
      <c r="N177" s="167"/>
      <c r="O177" s="167"/>
      <c r="P177" s="167"/>
      <c r="Q177" s="167"/>
      <c r="R177" s="167"/>
      <c r="S177" s="167"/>
      <c r="T177" s="167"/>
      <c r="U177" s="167"/>
      <c r="V177" s="167"/>
      <c r="W177" s="167"/>
      <c r="X177" s="167"/>
      <c r="Y177" s="167"/>
      <c r="Z177" s="167"/>
      <c r="AA177" s="167"/>
      <c r="AB177" s="167"/>
      <c r="AC177" s="167"/>
      <c r="AD177" s="167"/>
      <c r="AE177" s="167"/>
      <c r="AF177" s="167"/>
      <c r="AG177" s="167"/>
      <c r="AH177" s="167"/>
      <c r="AI177" s="167"/>
      <c r="AJ177" s="167"/>
      <c r="AK177" s="167"/>
      <c r="AL177" s="167"/>
      <c r="AM177" s="167"/>
      <c r="AN177" s="167"/>
      <c r="AO177" s="167"/>
      <c r="AP177" s="167"/>
      <c r="AQ177" s="167"/>
      <c r="AR177" s="167"/>
      <c r="AS177" s="167"/>
      <c r="AT177" s="167"/>
      <c r="AU177" s="181"/>
    </row>
    <row r="178" spans="1:47" ht="60" customHeight="1" x14ac:dyDescent="0.35">
      <c r="A178" s="177" t="s">
        <v>4060</v>
      </c>
      <c r="B178" s="151" t="s">
        <v>4113</v>
      </c>
      <c r="C178" s="152" t="s">
        <v>4121</v>
      </c>
      <c r="D178" s="155" t="s">
        <v>4122</v>
      </c>
      <c r="E178" s="158"/>
      <c r="F178" s="161" t="s">
        <v>19</v>
      </c>
      <c r="G178" s="164" t="str">
        <f>IF(COUNTIF(H178:AU178,"&lt;&gt;")=0,"",SUMPRODUCT(((Recommendations[ImplStatus]="Implemented")+(Recommendations[ImplStatus]="Compensated"))*ISNUMBER(MATCH(Recommendations[Id],H178:AU178,0)))/COUNTIF(H178:AU178,"&lt;&gt;"))</f>
        <v/>
      </c>
      <c r="H178" s="167"/>
      <c r="I178" s="167"/>
      <c r="J178" s="167"/>
      <c r="K178" s="167"/>
      <c r="L178" s="167"/>
      <c r="M178" s="167"/>
      <c r="N178" s="167"/>
      <c r="O178" s="167"/>
      <c r="P178" s="167"/>
      <c r="Q178" s="167"/>
      <c r="R178" s="167"/>
      <c r="S178" s="167"/>
      <c r="T178" s="167"/>
      <c r="U178" s="167"/>
      <c r="V178" s="167"/>
      <c r="W178" s="167"/>
      <c r="X178" s="167"/>
      <c r="Y178" s="167"/>
      <c r="Z178" s="167"/>
      <c r="AA178" s="167"/>
      <c r="AB178" s="167"/>
      <c r="AC178" s="167"/>
      <c r="AD178" s="167"/>
      <c r="AE178" s="167"/>
      <c r="AF178" s="167"/>
      <c r="AG178" s="167"/>
      <c r="AH178" s="167"/>
      <c r="AI178" s="167"/>
      <c r="AJ178" s="167"/>
      <c r="AK178" s="167"/>
      <c r="AL178" s="167"/>
      <c r="AM178" s="167"/>
      <c r="AN178" s="167"/>
      <c r="AO178" s="167"/>
      <c r="AP178" s="167"/>
      <c r="AQ178" s="167"/>
      <c r="AR178" s="167"/>
      <c r="AS178" s="167"/>
      <c r="AT178" s="167"/>
      <c r="AU178" s="181"/>
    </row>
    <row r="179" spans="1:47" ht="60" customHeight="1" x14ac:dyDescent="0.35">
      <c r="A179" s="177" t="s">
        <v>4060</v>
      </c>
      <c r="B179" s="151" t="s">
        <v>4113</v>
      </c>
      <c r="C179" s="152" t="s">
        <v>4123</v>
      </c>
      <c r="D179" s="155" t="s">
        <v>4124</v>
      </c>
      <c r="E179" s="158"/>
      <c r="F179" s="161" t="s">
        <v>19</v>
      </c>
      <c r="G179" s="164" t="str">
        <f>IF(COUNTIF(H179:AU179,"&lt;&gt;")=0,"",SUMPRODUCT(((Recommendations[ImplStatus]="Implemented")+(Recommendations[ImplStatus]="Compensated"))*ISNUMBER(MATCH(Recommendations[Id],H179:AU179,0)))/COUNTIF(H179:AU179,"&lt;&gt;"))</f>
        <v/>
      </c>
      <c r="H179" s="167"/>
      <c r="I179" s="167"/>
      <c r="J179" s="167"/>
      <c r="K179" s="167"/>
      <c r="L179" s="167"/>
      <c r="M179" s="167"/>
      <c r="N179" s="167"/>
      <c r="O179" s="167"/>
      <c r="P179" s="167"/>
      <c r="Q179" s="167"/>
      <c r="R179" s="167"/>
      <c r="S179" s="167"/>
      <c r="T179" s="167"/>
      <c r="U179" s="167"/>
      <c r="V179" s="167"/>
      <c r="W179" s="167"/>
      <c r="X179" s="167"/>
      <c r="Y179" s="167"/>
      <c r="Z179" s="167"/>
      <c r="AA179" s="167"/>
      <c r="AB179" s="167"/>
      <c r="AC179" s="167"/>
      <c r="AD179" s="167"/>
      <c r="AE179" s="167"/>
      <c r="AF179" s="167"/>
      <c r="AG179" s="167"/>
      <c r="AH179" s="167"/>
      <c r="AI179" s="167"/>
      <c r="AJ179" s="167"/>
      <c r="AK179" s="167"/>
      <c r="AL179" s="167"/>
      <c r="AM179" s="167"/>
      <c r="AN179" s="167"/>
      <c r="AO179" s="167"/>
      <c r="AP179" s="167"/>
      <c r="AQ179" s="167"/>
      <c r="AR179" s="167"/>
      <c r="AS179" s="167"/>
      <c r="AT179" s="167"/>
      <c r="AU179" s="181"/>
    </row>
    <row r="180" spans="1:47" ht="60" customHeight="1" outlineLevel="1" x14ac:dyDescent="0.35">
      <c r="A180" s="175" t="s">
        <v>4125</v>
      </c>
      <c r="B180" s="149" t="s">
        <v>19</v>
      </c>
      <c r="C180" s="147" t="s">
        <v>4126</v>
      </c>
      <c r="D180" s="153" t="s">
        <v>4127</v>
      </c>
      <c r="E180" s="156" t="s">
        <v>19</v>
      </c>
      <c r="F180" s="159" t="s">
        <v>19</v>
      </c>
      <c r="G180" s="162" t="str">
        <f>IF(COUNTIF(H180:AU180,"&lt;&gt;")=0,"",SUMPRODUCT(((Recommendations[ImplStatus]="Implemented")+(Recommendations[ImplStatus]="Compensated"))*ISNUMBER(MATCH(Recommendations[Id],H180:AU180,0)))/COUNTIF(H180:AU180,"&lt;&gt;"))</f>
        <v/>
      </c>
      <c r="H180" s="165"/>
      <c r="I180" s="165"/>
      <c r="J180" s="165"/>
      <c r="K180" s="165"/>
      <c r="L180" s="165"/>
      <c r="M180" s="165"/>
      <c r="N180" s="165"/>
      <c r="O180" s="165"/>
      <c r="P180" s="165"/>
      <c r="Q180" s="165"/>
      <c r="R180" s="165"/>
      <c r="S180" s="165"/>
      <c r="T180" s="165"/>
      <c r="U180" s="165"/>
      <c r="V180" s="165"/>
      <c r="W180" s="165"/>
      <c r="X180" s="165"/>
      <c r="Y180" s="165"/>
      <c r="Z180" s="165"/>
      <c r="AA180" s="165"/>
      <c r="AB180" s="165"/>
      <c r="AC180" s="165"/>
      <c r="AD180" s="165"/>
      <c r="AE180" s="165"/>
      <c r="AF180" s="165"/>
      <c r="AG180" s="165"/>
      <c r="AH180" s="165"/>
      <c r="AI180" s="165"/>
      <c r="AJ180" s="165"/>
      <c r="AK180" s="165"/>
      <c r="AL180" s="165"/>
      <c r="AM180" s="165"/>
      <c r="AN180" s="165"/>
      <c r="AO180" s="165"/>
      <c r="AP180" s="165"/>
      <c r="AQ180" s="165"/>
      <c r="AR180" s="165"/>
      <c r="AS180" s="165"/>
      <c r="AT180" s="165"/>
      <c r="AU180" s="179"/>
    </row>
    <row r="181" spans="1:47" ht="60" customHeight="1" outlineLevel="1" x14ac:dyDescent="0.35">
      <c r="A181" s="176" t="s">
        <v>4125</v>
      </c>
      <c r="B181" s="150" t="s">
        <v>4128</v>
      </c>
      <c r="C181" s="148" t="s">
        <v>4129</v>
      </c>
      <c r="D181" s="154" t="s">
        <v>4130</v>
      </c>
      <c r="E181" s="157" t="s">
        <v>19</v>
      </c>
      <c r="F181" s="160" t="s">
        <v>19</v>
      </c>
      <c r="G181" s="163" t="str">
        <f>IF(COUNTIF(H181:AU181,"&lt;&gt;")=0,"",SUMPRODUCT(((Recommendations[ImplStatus]="Implemented")+(Recommendations[ImplStatus]="Compensated"))*ISNUMBER(MATCH(Recommendations[Id],H181:AU181,0)))/COUNTIF(H181:AU181,"&lt;&gt;"))</f>
        <v/>
      </c>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c r="AL181" s="166"/>
      <c r="AM181" s="166"/>
      <c r="AN181" s="166"/>
      <c r="AO181" s="166"/>
      <c r="AP181" s="166"/>
      <c r="AQ181" s="166"/>
      <c r="AR181" s="166"/>
      <c r="AS181" s="166"/>
      <c r="AT181" s="166"/>
      <c r="AU181" s="180"/>
    </row>
    <row r="182" spans="1:47" ht="60" customHeight="1" x14ac:dyDescent="0.35">
      <c r="A182" s="177" t="s">
        <v>4125</v>
      </c>
      <c r="B182" s="151" t="s">
        <v>4128</v>
      </c>
      <c r="C182" s="152" t="s">
        <v>4131</v>
      </c>
      <c r="D182" s="155" t="s">
        <v>4132</v>
      </c>
      <c r="E182" s="158"/>
      <c r="F182" s="161" t="s">
        <v>19</v>
      </c>
      <c r="G182" s="164" t="str">
        <f>IF(COUNTIF(H182:AU182,"&lt;&gt;")=0,"",SUMPRODUCT(((Recommendations[ImplStatus]="Implemented")+(Recommendations[ImplStatus]="Compensated"))*ISNUMBER(MATCH(Recommendations[Id],H182:AU182,0)))/COUNTIF(H182:AU182,"&lt;&gt;"))</f>
        <v/>
      </c>
      <c r="H182" s="167"/>
      <c r="I182" s="167"/>
      <c r="J182" s="167"/>
      <c r="K182" s="167"/>
      <c r="L182" s="167"/>
      <c r="M182" s="167"/>
      <c r="N182" s="167"/>
      <c r="O182" s="167"/>
      <c r="P182" s="167"/>
      <c r="Q182" s="167"/>
      <c r="R182" s="167"/>
      <c r="S182" s="167"/>
      <c r="T182" s="167"/>
      <c r="U182" s="167"/>
      <c r="V182" s="167"/>
      <c r="W182" s="167"/>
      <c r="X182" s="167"/>
      <c r="Y182" s="167"/>
      <c r="Z182" s="167"/>
      <c r="AA182" s="167"/>
      <c r="AB182" s="167"/>
      <c r="AC182" s="167"/>
      <c r="AD182" s="167"/>
      <c r="AE182" s="167"/>
      <c r="AF182" s="167"/>
      <c r="AG182" s="167"/>
      <c r="AH182" s="167"/>
      <c r="AI182" s="167"/>
      <c r="AJ182" s="167"/>
      <c r="AK182" s="167"/>
      <c r="AL182" s="167"/>
      <c r="AM182" s="167"/>
      <c r="AN182" s="167"/>
      <c r="AO182" s="167"/>
      <c r="AP182" s="167"/>
      <c r="AQ182" s="167"/>
      <c r="AR182" s="167"/>
      <c r="AS182" s="167"/>
      <c r="AT182" s="167"/>
      <c r="AU182" s="181"/>
    </row>
    <row r="183" spans="1:47" ht="60" customHeight="1" x14ac:dyDescent="0.35">
      <c r="A183" s="177" t="s">
        <v>4125</v>
      </c>
      <c r="B183" s="151" t="s">
        <v>4128</v>
      </c>
      <c r="C183" s="152" t="s">
        <v>4133</v>
      </c>
      <c r="D183" s="155" t="s">
        <v>4134</v>
      </c>
      <c r="E183" s="158"/>
      <c r="F183" s="161" t="s">
        <v>19</v>
      </c>
      <c r="G183" s="164" t="str">
        <f>IF(COUNTIF(H183:AU183,"&lt;&gt;")=0,"",SUMPRODUCT(((Recommendations[ImplStatus]="Implemented")+(Recommendations[ImplStatus]="Compensated"))*ISNUMBER(MATCH(Recommendations[Id],H183:AU183,0)))/COUNTIF(H183:AU183,"&lt;&gt;"))</f>
        <v/>
      </c>
      <c r="H183" s="167"/>
      <c r="I183" s="167"/>
      <c r="J183" s="167"/>
      <c r="K183" s="167"/>
      <c r="L183" s="167"/>
      <c r="M183" s="167"/>
      <c r="N183" s="167"/>
      <c r="O183" s="167"/>
      <c r="P183" s="167"/>
      <c r="Q183" s="167"/>
      <c r="R183" s="167"/>
      <c r="S183" s="167"/>
      <c r="T183" s="167"/>
      <c r="U183" s="167"/>
      <c r="V183" s="167"/>
      <c r="W183" s="167"/>
      <c r="X183" s="167"/>
      <c r="Y183" s="167"/>
      <c r="Z183" s="167"/>
      <c r="AA183" s="167"/>
      <c r="AB183" s="167"/>
      <c r="AC183" s="167"/>
      <c r="AD183" s="167"/>
      <c r="AE183" s="167"/>
      <c r="AF183" s="167"/>
      <c r="AG183" s="167"/>
      <c r="AH183" s="167"/>
      <c r="AI183" s="167"/>
      <c r="AJ183" s="167"/>
      <c r="AK183" s="167"/>
      <c r="AL183" s="167"/>
      <c r="AM183" s="167"/>
      <c r="AN183" s="167"/>
      <c r="AO183" s="167"/>
      <c r="AP183" s="167"/>
      <c r="AQ183" s="167"/>
      <c r="AR183" s="167"/>
      <c r="AS183" s="167"/>
      <c r="AT183" s="167"/>
      <c r="AU183" s="181"/>
    </row>
    <row r="184" spans="1:47" ht="60" customHeight="1" x14ac:dyDescent="0.35">
      <c r="A184" s="177" t="s">
        <v>4125</v>
      </c>
      <c r="B184" s="151" t="s">
        <v>4128</v>
      </c>
      <c r="C184" s="152" t="s">
        <v>4135</v>
      </c>
      <c r="D184" s="155" t="s">
        <v>4136</v>
      </c>
      <c r="E184" s="158" t="s">
        <v>4137</v>
      </c>
      <c r="F184" s="161" t="s">
        <v>3677</v>
      </c>
      <c r="G184" s="164" t="str">
        <f>IF(COUNTIF(H184:AU184,"&lt;&gt;")=0,"",SUMPRODUCT(((Recommendations[ImplStatus]="Implemented")+(Recommendations[ImplStatus]="Compensated"))*ISNUMBER(MATCH(Recommendations[Id],H184:AU184,0)))/COUNTIF(H184:AU184,"&lt;&gt;"))</f>
        <v/>
      </c>
      <c r="H184" s="167"/>
      <c r="I184" s="167"/>
      <c r="J184" s="167"/>
      <c r="K184" s="167"/>
      <c r="L184" s="167"/>
      <c r="M184" s="167"/>
      <c r="N184" s="167"/>
      <c r="O184" s="167"/>
      <c r="P184" s="167"/>
      <c r="Q184" s="167"/>
      <c r="R184" s="167"/>
      <c r="S184" s="167"/>
      <c r="T184" s="167"/>
      <c r="U184" s="167"/>
      <c r="V184" s="167"/>
      <c r="W184" s="167"/>
      <c r="X184" s="167"/>
      <c r="Y184" s="167"/>
      <c r="Z184" s="167"/>
      <c r="AA184" s="167"/>
      <c r="AB184" s="167"/>
      <c r="AC184" s="167"/>
      <c r="AD184" s="167"/>
      <c r="AE184" s="167"/>
      <c r="AF184" s="167"/>
      <c r="AG184" s="167"/>
      <c r="AH184" s="167"/>
      <c r="AI184" s="167"/>
      <c r="AJ184" s="167"/>
      <c r="AK184" s="167"/>
      <c r="AL184" s="167"/>
      <c r="AM184" s="167"/>
      <c r="AN184" s="167"/>
      <c r="AO184" s="167"/>
      <c r="AP184" s="167"/>
      <c r="AQ184" s="167"/>
      <c r="AR184" s="167"/>
      <c r="AS184" s="167"/>
      <c r="AT184" s="167"/>
      <c r="AU184" s="181"/>
    </row>
    <row r="185" spans="1:47" ht="60" customHeight="1" x14ac:dyDescent="0.35">
      <c r="A185" s="177" t="s">
        <v>4125</v>
      </c>
      <c r="B185" s="151" t="s">
        <v>4128</v>
      </c>
      <c r="C185" s="152" t="s">
        <v>4138</v>
      </c>
      <c r="D185" s="155" t="s">
        <v>4139</v>
      </c>
      <c r="E185" s="158"/>
      <c r="F185" s="161" t="s">
        <v>19</v>
      </c>
      <c r="G185" s="164" t="str">
        <f>IF(COUNTIF(H185:AU185,"&lt;&gt;")=0,"",SUMPRODUCT(((Recommendations[ImplStatus]="Implemented")+(Recommendations[ImplStatus]="Compensated"))*ISNUMBER(MATCH(Recommendations[Id],H185:AU185,0)))/COUNTIF(H185:AU185,"&lt;&gt;"))</f>
        <v/>
      </c>
      <c r="H185" s="167"/>
      <c r="I185" s="167"/>
      <c r="J185" s="167"/>
      <c r="K185" s="167"/>
      <c r="L185" s="167"/>
      <c r="M185" s="167"/>
      <c r="N185" s="167"/>
      <c r="O185" s="167"/>
      <c r="P185" s="167"/>
      <c r="Q185" s="167"/>
      <c r="R185" s="167"/>
      <c r="S185" s="167"/>
      <c r="T185" s="167"/>
      <c r="U185" s="167"/>
      <c r="V185" s="167"/>
      <c r="W185" s="167"/>
      <c r="X185" s="167"/>
      <c r="Y185" s="167"/>
      <c r="Z185" s="167"/>
      <c r="AA185" s="167"/>
      <c r="AB185" s="167"/>
      <c r="AC185" s="167"/>
      <c r="AD185" s="167"/>
      <c r="AE185" s="167"/>
      <c r="AF185" s="167"/>
      <c r="AG185" s="167"/>
      <c r="AH185" s="167"/>
      <c r="AI185" s="167"/>
      <c r="AJ185" s="167"/>
      <c r="AK185" s="167"/>
      <c r="AL185" s="167"/>
      <c r="AM185" s="167"/>
      <c r="AN185" s="167"/>
      <c r="AO185" s="167"/>
      <c r="AP185" s="167"/>
      <c r="AQ185" s="167"/>
      <c r="AR185" s="167"/>
      <c r="AS185" s="167"/>
      <c r="AT185" s="167"/>
      <c r="AU185" s="181"/>
    </row>
    <row r="186" spans="1:47" ht="60" customHeight="1" x14ac:dyDescent="0.35">
      <c r="A186" s="177" t="s">
        <v>4125</v>
      </c>
      <c r="B186" s="151" t="s">
        <v>4128</v>
      </c>
      <c r="C186" s="152" t="s">
        <v>4140</v>
      </c>
      <c r="D186" s="155" t="s">
        <v>4141</v>
      </c>
      <c r="E186" s="158"/>
      <c r="F186" s="161" t="s">
        <v>19</v>
      </c>
      <c r="G186" s="164" t="str">
        <f>IF(COUNTIF(H186:AU186,"&lt;&gt;")=0,"",SUMPRODUCT(((Recommendations[ImplStatus]="Implemented")+(Recommendations[ImplStatus]="Compensated"))*ISNUMBER(MATCH(Recommendations[Id],H186:AU186,0)))/COUNTIF(H186:AU186,"&lt;&gt;"))</f>
        <v/>
      </c>
      <c r="H186" s="167"/>
      <c r="I186" s="167"/>
      <c r="J186" s="167"/>
      <c r="K186" s="167"/>
      <c r="L186" s="167"/>
      <c r="M186" s="167"/>
      <c r="N186" s="167"/>
      <c r="O186" s="167"/>
      <c r="P186" s="167"/>
      <c r="Q186" s="167"/>
      <c r="R186" s="167"/>
      <c r="S186" s="167"/>
      <c r="T186" s="167"/>
      <c r="U186" s="167"/>
      <c r="V186" s="167"/>
      <c r="W186" s="167"/>
      <c r="X186" s="167"/>
      <c r="Y186" s="167"/>
      <c r="Z186" s="167"/>
      <c r="AA186" s="167"/>
      <c r="AB186" s="167"/>
      <c r="AC186" s="167"/>
      <c r="AD186" s="167"/>
      <c r="AE186" s="167"/>
      <c r="AF186" s="167"/>
      <c r="AG186" s="167"/>
      <c r="AH186" s="167"/>
      <c r="AI186" s="167"/>
      <c r="AJ186" s="167"/>
      <c r="AK186" s="167"/>
      <c r="AL186" s="167"/>
      <c r="AM186" s="167"/>
      <c r="AN186" s="167"/>
      <c r="AO186" s="167"/>
      <c r="AP186" s="167"/>
      <c r="AQ186" s="167"/>
      <c r="AR186" s="167"/>
      <c r="AS186" s="167"/>
      <c r="AT186" s="167"/>
      <c r="AU186" s="181"/>
    </row>
    <row r="187" spans="1:47" ht="60" customHeight="1" x14ac:dyDescent="0.35">
      <c r="A187" s="177" t="s">
        <v>4125</v>
      </c>
      <c r="B187" s="151" t="s">
        <v>4128</v>
      </c>
      <c r="C187" s="152" t="s">
        <v>4142</v>
      </c>
      <c r="D187" s="155" t="s">
        <v>4143</v>
      </c>
      <c r="E187" s="158" t="s">
        <v>4144</v>
      </c>
      <c r="F187" s="161" t="s">
        <v>3677</v>
      </c>
      <c r="G187" s="164" t="str">
        <f>IF(COUNTIF(H187:AU187,"&lt;&gt;")=0,"",SUMPRODUCT(((Recommendations[ImplStatus]="Implemented")+(Recommendations[ImplStatus]="Compensated"))*ISNUMBER(MATCH(Recommendations[Id],H187:AU187,0)))/COUNTIF(H187:AU187,"&lt;&gt;"))</f>
        <v/>
      </c>
      <c r="H187" s="167"/>
      <c r="I187" s="167"/>
      <c r="J187" s="167"/>
      <c r="K187" s="167"/>
      <c r="L187" s="167"/>
      <c r="M187" s="167"/>
      <c r="N187" s="167"/>
      <c r="O187" s="167"/>
      <c r="P187" s="167"/>
      <c r="Q187" s="167"/>
      <c r="R187" s="167"/>
      <c r="S187" s="167"/>
      <c r="T187" s="167"/>
      <c r="U187" s="167"/>
      <c r="V187" s="167"/>
      <c r="W187" s="167"/>
      <c r="X187" s="167"/>
      <c r="Y187" s="167"/>
      <c r="Z187" s="167"/>
      <c r="AA187" s="167"/>
      <c r="AB187" s="167"/>
      <c r="AC187" s="167"/>
      <c r="AD187" s="167"/>
      <c r="AE187" s="167"/>
      <c r="AF187" s="167"/>
      <c r="AG187" s="167"/>
      <c r="AH187" s="167"/>
      <c r="AI187" s="167"/>
      <c r="AJ187" s="167"/>
      <c r="AK187" s="167"/>
      <c r="AL187" s="167"/>
      <c r="AM187" s="167"/>
      <c r="AN187" s="167"/>
      <c r="AO187" s="167"/>
      <c r="AP187" s="167"/>
      <c r="AQ187" s="167"/>
      <c r="AR187" s="167"/>
      <c r="AS187" s="167"/>
      <c r="AT187" s="167"/>
      <c r="AU187" s="181"/>
    </row>
    <row r="188" spans="1:47" ht="60" customHeight="1" x14ac:dyDescent="0.35">
      <c r="A188" s="177" t="s">
        <v>4125</v>
      </c>
      <c r="B188" s="151" t="s">
        <v>4128</v>
      </c>
      <c r="C188" s="152" t="s">
        <v>4145</v>
      </c>
      <c r="D188" s="155" t="s">
        <v>4146</v>
      </c>
      <c r="E188" s="158" t="s">
        <v>4147</v>
      </c>
      <c r="F188" s="161" t="s">
        <v>3677</v>
      </c>
      <c r="G188" s="164" t="str">
        <f>IF(COUNTIF(H188:AU188,"&lt;&gt;")=0,"",SUMPRODUCT(((Recommendations[ImplStatus]="Implemented")+(Recommendations[ImplStatus]="Compensated"))*ISNUMBER(MATCH(Recommendations[Id],H188:AU188,0)))/COUNTIF(H188:AU188,"&lt;&gt;"))</f>
        <v/>
      </c>
      <c r="H188" s="167"/>
      <c r="I188" s="167"/>
      <c r="J188" s="167"/>
      <c r="K188" s="167"/>
      <c r="L188" s="167"/>
      <c r="M188" s="167"/>
      <c r="N188" s="167"/>
      <c r="O188" s="167"/>
      <c r="P188" s="167"/>
      <c r="Q188" s="167"/>
      <c r="R188" s="167"/>
      <c r="S188" s="167"/>
      <c r="T188" s="167"/>
      <c r="U188" s="167"/>
      <c r="V188" s="167"/>
      <c r="W188" s="167"/>
      <c r="X188" s="167"/>
      <c r="Y188" s="167"/>
      <c r="Z188" s="167"/>
      <c r="AA188" s="167"/>
      <c r="AB188" s="167"/>
      <c r="AC188" s="167"/>
      <c r="AD188" s="167"/>
      <c r="AE188" s="167"/>
      <c r="AF188" s="167"/>
      <c r="AG188" s="167"/>
      <c r="AH188" s="167"/>
      <c r="AI188" s="167"/>
      <c r="AJ188" s="167"/>
      <c r="AK188" s="167"/>
      <c r="AL188" s="167"/>
      <c r="AM188" s="167"/>
      <c r="AN188" s="167"/>
      <c r="AO188" s="167"/>
      <c r="AP188" s="167"/>
      <c r="AQ188" s="167"/>
      <c r="AR188" s="167"/>
      <c r="AS188" s="167"/>
      <c r="AT188" s="167"/>
      <c r="AU188" s="181"/>
    </row>
    <row r="189" spans="1:47" ht="60" customHeight="1" x14ac:dyDescent="0.35">
      <c r="A189" s="177" t="s">
        <v>4125</v>
      </c>
      <c r="B189" s="151" t="s">
        <v>4128</v>
      </c>
      <c r="C189" s="152" t="s">
        <v>4148</v>
      </c>
      <c r="D189" s="155" t="s">
        <v>4149</v>
      </c>
      <c r="E189" s="158" t="s">
        <v>4150</v>
      </c>
      <c r="F189" s="161" t="s">
        <v>3677</v>
      </c>
      <c r="G189" s="164" t="str">
        <f>IF(COUNTIF(H189:AU189,"&lt;&gt;")=0,"",SUMPRODUCT(((Recommendations[ImplStatus]="Implemented")+(Recommendations[ImplStatus]="Compensated"))*ISNUMBER(MATCH(Recommendations[Id],H189:AU189,0)))/COUNTIF(H189:AU189,"&lt;&gt;"))</f>
        <v/>
      </c>
      <c r="H189" s="167"/>
      <c r="I189" s="167"/>
      <c r="J189" s="167"/>
      <c r="K189" s="167"/>
      <c r="L189" s="167"/>
      <c r="M189" s="167"/>
      <c r="N189" s="167"/>
      <c r="O189" s="167"/>
      <c r="P189" s="167"/>
      <c r="Q189" s="167"/>
      <c r="R189" s="167"/>
      <c r="S189" s="167"/>
      <c r="T189" s="167"/>
      <c r="U189" s="167"/>
      <c r="V189" s="167"/>
      <c r="W189" s="167"/>
      <c r="X189" s="167"/>
      <c r="Y189" s="167"/>
      <c r="Z189" s="167"/>
      <c r="AA189" s="167"/>
      <c r="AB189" s="167"/>
      <c r="AC189" s="167"/>
      <c r="AD189" s="167"/>
      <c r="AE189" s="167"/>
      <c r="AF189" s="167"/>
      <c r="AG189" s="167"/>
      <c r="AH189" s="167"/>
      <c r="AI189" s="167"/>
      <c r="AJ189" s="167"/>
      <c r="AK189" s="167"/>
      <c r="AL189" s="167"/>
      <c r="AM189" s="167"/>
      <c r="AN189" s="167"/>
      <c r="AO189" s="167"/>
      <c r="AP189" s="167"/>
      <c r="AQ189" s="167"/>
      <c r="AR189" s="167"/>
      <c r="AS189" s="167"/>
      <c r="AT189" s="167"/>
      <c r="AU189" s="181"/>
    </row>
    <row r="190" spans="1:47" ht="60" customHeight="1" outlineLevel="1" x14ac:dyDescent="0.35">
      <c r="A190" s="176" t="s">
        <v>4125</v>
      </c>
      <c r="B190" s="150" t="s">
        <v>4151</v>
      </c>
      <c r="C190" s="148" t="s">
        <v>4152</v>
      </c>
      <c r="D190" s="154" t="s">
        <v>4153</v>
      </c>
      <c r="E190" s="157" t="s">
        <v>19</v>
      </c>
      <c r="F190" s="160" t="s">
        <v>19</v>
      </c>
      <c r="G190" s="163" t="str">
        <f>IF(COUNTIF(H190:AU190,"&lt;&gt;")=0,"",SUMPRODUCT(((Recommendations[ImplStatus]="Implemented")+(Recommendations[ImplStatus]="Compensated"))*ISNUMBER(MATCH(Recommendations[Id],H190:AU190,0)))/COUNTIF(H190:AU190,"&lt;&gt;"))</f>
        <v/>
      </c>
      <c r="H190" s="166"/>
      <c r="I190" s="166"/>
      <c r="J190" s="166"/>
      <c r="K190" s="166"/>
      <c r="L190" s="166"/>
      <c r="M190" s="166"/>
      <c r="N190" s="166"/>
      <c r="O190" s="166"/>
      <c r="P190" s="166"/>
      <c r="Q190" s="166"/>
      <c r="R190" s="166"/>
      <c r="S190" s="166"/>
      <c r="T190" s="166"/>
      <c r="U190" s="166"/>
      <c r="V190" s="166"/>
      <c r="W190" s="166"/>
      <c r="X190" s="166"/>
      <c r="Y190" s="166"/>
      <c r="Z190" s="166"/>
      <c r="AA190" s="166"/>
      <c r="AB190" s="166"/>
      <c r="AC190" s="166"/>
      <c r="AD190" s="166"/>
      <c r="AE190" s="166"/>
      <c r="AF190" s="166"/>
      <c r="AG190" s="166"/>
      <c r="AH190" s="166"/>
      <c r="AI190" s="166"/>
      <c r="AJ190" s="166"/>
      <c r="AK190" s="166"/>
      <c r="AL190" s="166"/>
      <c r="AM190" s="166"/>
      <c r="AN190" s="166"/>
      <c r="AO190" s="166"/>
      <c r="AP190" s="166"/>
      <c r="AQ190" s="166"/>
      <c r="AR190" s="166"/>
      <c r="AS190" s="166"/>
      <c r="AT190" s="166"/>
      <c r="AU190" s="180"/>
    </row>
    <row r="191" spans="1:47" ht="60" customHeight="1" x14ac:dyDescent="0.35">
      <c r="A191" s="177" t="s">
        <v>4125</v>
      </c>
      <c r="B191" s="151" t="s">
        <v>4151</v>
      </c>
      <c r="C191" s="152" t="s">
        <v>4154</v>
      </c>
      <c r="D191" s="155" t="s">
        <v>4155</v>
      </c>
      <c r="E191" s="158"/>
      <c r="F191" s="161" t="s">
        <v>19</v>
      </c>
      <c r="G191" s="164" t="str">
        <f>IF(COUNTIF(H191:AU191,"&lt;&gt;")=0,"",SUMPRODUCT(((Recommendations[ImplStatus]="Implemented")+(Recommendations[ImplStatus]="Compensated"))*ISNUMBER(MATCH(Recommendations[Id],H191:AU191,0)))/COUNTIF(H191:AU191,"&lt;&gt;"))</f>
        <v/>
      </c>
      <c r="H191" s="167"/>
      <c r="I191" s="167"/>
      <c r="J191" s="167"/>
      <c r="K191" s="167"/>
      <c r="L191" s="167"/>
      <c r="M191" s="167"/>
      <c r="N191" s="167"/>
      <c r="O191" s="167"/>
      <c r="P191" s="167"/>
      <c r="Q191" s="167"/>
      <c r="R191" s="167"/>
      <c r="S191" s="167"/>
      <c r="T191" s="167"/>
      <c r="U191" s="167"/>
      <c r="V191" s="167"/>
      <c r="W191" s="167"/>
      <c r="X191" s="167"/>
      <c r="Y191" s="167"/>
      <c r="Z191" s="167"/>
      <c r="AA191" s="167"/>
      <c r="AB191" s="167"/>
      <c r="AC191" s="167"/>
      <c r="AD191" s="167"/>
      <c r="AE191" s="167"/>
      <c r="AF191" s="167"/>
      <c r="AG191" s="167"/>
      <c r="AH191" s="167"/>
      <c r="AI191" s="167"/>
      <c r="AJ191" s="167"/>
      <c r="AK191" s="167"/>
      <c r="AL191" s="167"/>
      <c r="AM191" s="167"/>
      <c r="AN191" s="167"/>
      <c r="AO191" s="167"/>
      <c r="AP191" s="167"/>
      <c r="AQ191" s="167"/>
      <c r="AR191" s="167"/>
      <c r="AS191" s="167"/>
      <c r="AT191" s="167"/>
      <c r="AU191" s="181"/>
    </row>
    <row r="192" spans="1:47" ht="60" customHeight="1" x14ac:dyDescent="0.35">
      <c r="A192" s="177" t="s">
        <v>4125</v>
      </c>
      <c r="B192" s="151" t="s">
        <v>4151</v>
      </c>
      <c r="C192" s="152" t="s">
        <v>4156</v>
      </c>
      <c r="D192" s="155" t="s">
        <v>4157</v>
      </c>
      <c r="E192" s="158" t="s">
        <v>4158</v>
      </c>
      <c r="F192" s="161" t="s">
        <v>3681</v>
      </c>
      <c r="G192" s="164" t="str">
        <f>IF(COUNTIF(H192:AU192,"&lt;&gt;")=0,"",SUMPRODUCT(((Recommendations[ImplStatus]="Implemented")+(Recommendations[ImplStatus]="Compensated"))*ISNUMBER(MATCH(Recommendations[Id],H192:AU192,0)))/COUNTIF(H192:AU192,"&lt;&gt;"))</f>
        <v/>
      </c>
      <c r="H192" s="167"/>
      <c r="I192" s="167"/>
      <c r="J192" s="167"/>
      <c r="K192" s="167"/>
      <c r="L192" s="167"/>
      <c r="M192" s="167"/>
      <c r="N192" s="167"/>
      <c r="O192" s="167"/>
      <c r="P192" s="167"/>
      <c r="Q192" s="167"/>
      <c r="R192" s="167"/>
      <c r="S192" s="167"/>
      <c r="T192" s="167"/>
      <c r="U192" s="167"/>
      <c r="V192" s="167"/>
      <c r="W192" s="167"/>
      <c r="X192" s="167"/>
      <c r="Y192" s="167"/>
      <c r="Z192" s="167"/>
      <c r="AA192" s="167"/>
      <c r="AB192" s="167"/>
      <c r="AC192" s="167"/>
      <c r="AD192" s="167"/>
      <c r="AE192" s="167"/>
      <c r="AF192" s="167"/>
      <c r="AG192" s="167"/>
      <c r="AH192" s="167"/>
      <c r="AI192" s="167"/>
      <c r="AJ192" s="167"/>
      <c r="AK192" s="167"/>
      <c r="AL192" s="167"/>
      <c r="AM192" s="167"/>
      <c r="AN192" s="167"/>
      <c r="AO192" s="167"/>
      <c r="AP192" s="167"/>
      <c r="AQ192" s="167"/>
      <c r="AR192" s="167"/>
      <c r="AS192" s="167"/>
      <c r="AT192" s="167"/>
      <c r="AU192" s="181"/>
    </row>
    <row r="193" spans="1:47" ht="60" customHeight="1" x14ac:dyDescent="0.35">
      <c r="A193" s="177" t="s">
        <v>4125</v>
      </c>
      <c r="B193" s="151" t="s">
        <v>4151</v>
      </c>
      <c r="C193" s="152" t="s">
        <v>4159</v>
      </c>
      <c r="D193" s="155" t="s">
        <v>4160</v>
      </c>
      <c r="E193" s="158" t="s">
        <v>4161</v>
      </c>
      <c r="F193" s="161" t="s">
        <v>3681</v>
      </c>
      <c r="G193" s="164" t="str">
        <f>IF(COUNTIF(H193:AU193,"&lt;&gt;")=0,"",SUMPRODUCT(((Recommendations[ImplStatus]="Implemented")+(Recommendations[ImplStatus]="Compensated"))*ISNUMBER(MATCH(Recommendations[Id],H193:AU193,0)))/COUNTIF(H193:AU193,"&lt;&gt;"))</f>
        <v/>
      </c>
      <c r="H193" s="167"/>
      <c r="I193" s="167"/>
      <c r="J193" s="167"/>
      <c r="K193" s="167"/>
      <c r="L193" s="167"/>
      <c r="M193" s="167"/>
      <c r="N193" s="167"/>
      <c r="O193" s="167"/>
      <c r="P193" s="167"/>
      <c r="Q193" s="167"/>
      <c r="R193" s="167"/>
      <c r="S193" s="167"/>
      <c r="T193" s="167"/>
      <c r="U193" s="167"/>
      <c r="V193" s="167"/>
      <c r="W193" s="167"/>
      <c r="X193" s="167"/>
      <c r="Y193" s="167"/>
      <c r="Z193" s="167"/>
      <c r="AA193" s="167"/>
      <c r="AB193" s="167"/>
      <c r="AC193" s="167"/>
      <c r="AD193" s="167"/>
      <c r="AE193" s="167"/>
      <c r="AF193" s="167"/>
      <c r="AG193" s="167"/>
      <c r="AH193" s="167"/>
      <c r="AI193" s="167"/>
      <c r="AJ193" s="167"/>
      <c r="AK193" s="167"/>
      <c r="AL193" s="167"/>
      <c r="AM193" s="167"/>
      <c r="AN193" s="167"/>
      <c r="AO193" s="167"/>
      <c r="AP193" s="167"/>
      <c r="AQ193" s="167"/>
      <c r="AR193" s="167"/>
      <c r="AS193" s="167"/>
      <c r="AT193" s="167"/>
      <c r="AU193" s="181"/>
    </row>
    <row r="194" spans="1:47" ht="60" customHeight="1" x14ac:dyDescent="0.35">
      <c r="A194" s="177" t="s">
        <v>4125</v>
      </c>
      <c r="B194" s="151" t="s">
        <v>4151</v>
      </c>
      <c r="C194" s="152" t="s">
        <v>4162</v>
      </c>
      <c r="D194" s="155" t="s">
        <v>4163</v>
      </c>
      <c r="E194" s="158"/>
      <c r="F194" s="161" t="s">
        <v>19</v>
      </c>
      <c r="G194" s="164" t="str">
        <f>IF(COUNTIF(H194:AU194,"&lt;&gt;")=0,"",SUMPRODUCT(((Recommendations[ImplStatus]="Implemented")+(Recommendations[ImplStatus]="Compensated"))*ISNUMBER(MATCH(Recommendations[Id],H194:AU194,0)))/COUNTIF(H194:AU194,"&lt;&gt;"))</f>
        <v/>
      </c>
      <c r="H194" s="167"/>
      <c r="I194" s="167"/>
      <c r="J194" s="167"/>
      <c r="K194" s="167"/>
      <c r="L194" s="167"/>
      <c r="M194" s="167"/>
      <c r="N194" s="167"/>
      <c r="O194" s="167"/>
      <c r="P194" s="167"/>
      <c r="Q194" s="167"/>
      <c r="R194" s="167"/>
      <c r="S194" s="167"/>
      <c r="T194" s="167"/>
      <c r="U194" s="167"/>
      <c r="V194" s="167"/>
      <c r="W194" s="167"/>
      <c r="X194" s="167"/>
      <c r="Y194" s="167"/>
      <c r="Z194" s="167"/>
      <c r="AA194" s="167"/>
      <c r="AB194" s="167"/>
      <c r="AC194" s="167"/>
      <c r="AD194" s="167"/>
      <c r="AE194" s="167"/>
      <c r="AF194" s="167"/>
      <c r="AG194" s="167"/>
      <c r="AH194" s="167"/>
      <c r="AI194" s="167"/>
      <c r="AJ194" s="167"/>
      <c r="AK194" s="167"/>
      <c r="AL194" s="167"/>
      <c r="AM194" s="167"/>
      <c r="AN194" s="167"/>
      <c r="AO194" s="167"/>
      <c r="AP194" s="167"/>
      <c r="AQ194" s="167"/>
      <c r="AR194" s="167"/>
      <c r="AS194" s="167"/>
      <c r="AT194" s="167"/>
      <c r="AU194" s="181"/>
    </row>
    <row r="195" spans="1:47" ht="60" customHeight="1" x14ac:dyDescent="0.35">
      <c r="A195" s="177" t="s">
        <v>4125</v>
      </c>
      <c r="B195" s="151" t="s">
        <v>4151</v>
      </c>
      <c r="C195" s="152" t="s">
        <v>4164</v>
      </c>
      <c r="D195" s="155" t="s">
        <v>4165</v>
      </c>
      <c r="E195" s="158"/>
      <c r="F195" s="161" t="s">
        <v>19</v>
      </c>
      <c r="G195" s="164" t="str">
        <f>IF(COUNTIF(H195:AU195,"&lt;&gt;")=0,"",SUMPRODUCT(((Recommendations[ImplStatus]="Implemented")+(Recommendations[ImplStatus]="Compensated"))*ISNUMBER(MATCH(Recommendations[Id],H195:AU195,0)))/COUNTIF(H195:AU195,"&lt;&gt;"))</f>
        <v/>
      </c>
      <c r="H195" s="167"/>
      <c r="I195" s="167"/>
      <c r="J195" s="167"/>
      <c r="K195" s="167"/>
      <c r="L195" s="167"/>
      <c r="M195" s="167"/>
      <c r="N195" s="167"/>
      <c r="O195" s="167"/>
      <c r="P195" s="167"/>
      <c r="Q195" s="167"/>
      <c r="R195" s="167"/>
      <c r="S195" s="167"/>
      <c r="T195" s="167"/>
      <c r="U195" s="167"/>
      <c r="V195" s="167"/>
      <c r="W195" s="167"/>
      <c r="X195" s="167"/>
      <c r="Y195" s="167"/>
      <c r="Z195" s="167"/>
      <c r="AA195" s="167"/>
      <c r="AB195" s="167"/>
      <c r="AC195" s="167"/>
      <c r="AD195" s="167"/>
      <c r="AE195" s="167"/>
      <c r="AF195" s="167"/>
      <c r="AG195" s="167"/>
      <c r="AH195" s="167"/>
      <c r="AI195" s="167"/>
      <c r="AJ195" s="167"/>
      <c r="AK195" s="167"/>
      <c r="AL195" s="167"/>
      <c r="AM195" s="167"/>
      <c r="AN195" s="167"/>
      <c r="AO195" s="167"/>
      <c r="AP195" s="167"/>
      <c r="AQ195" s="167"/>
      <c r="AR195" s="167"/>
      <c r="AS195" s="167"/>
      <c r="AT195" s="167"/>
      <c r="AU195" s="181"/>
    </row>
    <row r="196" spans="1:47" ht="60" customHeight="1" outlineLevel="1" x14ac:dyDescent="0.35">
      <c r="A196" s="176" t="s">
        <v>4125</v>
      </c>
      <c r="B196" s="150" t="s">
        <v>4166</v>
      </c>
      <c r="C196" s="148" t="s">
        <v>4167</v>
      </c>
      <c r="D196" s="154"/>
      <c r="E196" s="157" t="s">
        <v>19</v>
      </c>
      <c r="F196" s="160" t="s">
        <v>19</v>
      </c>
      <c r="G196" s="163" t="str">
        <f>IF(COUNTIF(H196:AU196,"&lt;&gt;")=0,"",SUMPRODUCT(((Recommendations[ImplStatus]="Implemented")+(Recommendations[ImplStatus]="Compensated"))*ISNUMBER(MATCH(Recommendations[Id],H196:AU196,0)))/COUNTIF(H196:AU196,"&lt;&gt;"))</f>
        <v/>
      </c>
      <c r="H196" s="166"/>
      <c r="I196" s="166"/>
      <c r="J196" s="166"/>
      <c r="K196" s="166"/>
      <c r="L196" s="166"/>
      <c r="M196" s="166"/>
      <c r="N196" s="166"/>
      <c r="O196" s="166"/>
      <c r="P196" s="166"/>
      <c r="Q196" s="166"/>
      <c r="R196" s="166"/>
      <c r="S196" s="166"/>
      <c r="T196" s="166"/>
      <c r="U196" s="166"/>
      <c r="V196" s="166"/>
      <c r="W196" s="166"/>
      <c r="X196" s="166"/>
      <c r="Y196" s="166"/>
      <c r="Z196" s="166"/>
      <c r="AA196" s="166"/>
      <c r="AB196" s="166"/>
      <c r="AC196" s="166"/>
      <c r="AD196" s="166"/>
      <c r="AE196" s="166"/>
      <c r="AF196" s="166"/>
      <c r="AG196" s="166"/>
      <c r="AH196" s="166"/>
      <c r="AI196" s="166"/>
      <c r="AJ196" s="166"/>
      <c r="AK196" s="166"/>
      <c r="AL196" s="166"/>
      <c r="AM196" s="166"/>
      <c r="AN196" s="166"/>
      <c r="AO196" s="166"/>
      <c r="AP196" s="166"/>
      <c r="AQ196" s="166"/>
      <c r="AR196" s="166"/>
      <c r="AS196" s="166"/>
      <c r="AT196" s="166"/>
      <c r="AU196" s="180"/>
    </row>
    <row r="197" spans="1:47" ht="60" customHeight="1" x14ac:dyDescent="0.35">
      <c r="A197" s="177" t="s">
        <v>4125</v>
      </c>
      <c r="B197" s="151" t="s">
        <v>4166</v>
      </c>
      <c r="C197" s="152" t="s">
        <v>4168</v>
      </c>
      <c r="D197" s="155" t="s">
        <v>4169</v>
      </c>
      <c r="E197" s="158"/>
      <c r="F197" s="161" t="s">
        <v>19</v>
      </c>
      <c r="G197" s="164" t="str">
        <f>IF(COUNTIF(H197:AU197,"&lt;&gt;")=0,"",SUMPRODUCT(((Recommendations[ImplStatus]="Implemented")+(Recommendations[ImplStatus]="Compensated"))*ISNUMBER(MATCH(Recommendations[Id],H197:AU197,0)))/COUNTIF(H197:AU197,"&lt;&gt;"))</f>
        <v/>
      </c>
      <c r="H197" s="167"/>
      <c r="I197" s="167"/>
      <c r="J197" s="167"/>
      <c r="K197" s="167"/>
      <c r="L197" s="167"/>
      <c r="M197" s="167"/>
      <c r="N197" s="167"/>
      <c r="O197" s="167"/>
      <c r="P197" s="167"/>
      <c r="Q197" s="167"/>
      <c r="R197" s="167"/>
      <c r="S197" s="167"/>
      <c r="T197" s="167"/>
      <c r="U197" s="167"/>
      <c r="V197" s="167"/>
      <c r="W197" s="167"/>
      <c r="X197" s="167"/>
      <c r="Y197" s="167"/>
      <c r="Z197" s="167"/>
      <c r="AA197" s="167"/>
      <c r="AB197" s="167"/>
      <c r="AC197" s="167"/>
      <c r="AD197" s="167"/>
      <c r="AE197" s="167"/>
      <c r="AF197" s="167"/>
      <c r="AG197" s="167"/>
      <c r="AH197" s="167"/>
      <c r="AI197" s="167"/>
      <c r="AJ197" s="167"/>
      <c r="AK197" s="167"/>
      <c r="AL197" s="167"/>
      <c r="AM197" s="167"/>
      <c r="AN197" s="167"/>
      <c r="AO197" s="167"/>
      <c r="AP197" s="167"/>
      <c r="AQ197" s="167"/>
      <c r="AR197" s="167"/>
      <c r="AS197" s="167"/>
      <c r="AT197" s="167"/>
      <c r="AU197" s="181"/>
    </row>
    <row r="198" spans="1:47" ht="60" customHeight="1" x14ac:dyDescent="0.35">
      <c r="A198" s="177" t="s">
        <v>4125</v>
      </c>
      <c r="B198" s="151" t="s">
        <v>4166</v>
      </c>
      <c r="C198" s="152" t="s">
        <v>4170</v>
      </c>
      <c r="D198" s="155" t="s">
        <v>4171</v>
      </c>
      <c r="E198" s="158"/>
      <c r="F198" s="161" t="s">
        <v>19</v>
      </c>
      <c r="G198" s="164" t="str">
        <f>IF(COUNTIF(H198:AU198,"&lt;&gt;")=0,"",SUMPRODUCT(((Recommendations[ImplStatus]="Implemented")+(Recommendations[ImplStatus]="Compensated"))*ISNUMBER(MATCH(Recommendations[Id],H198:AU198,0)))/COUNTIF(H198:AU198,"&lt;&gt;"))</f>
        <v/>
      </c>
      <c r="H198" s="167"/>
      <c r="I198" s="167"/>
      <c r="J198" s="167"/>
      <c r="K198" s="167"/>
      <c r="L198" s="167"/>
      <c r="M198" s="167"/>
      <c r="N198" s="167"/>
      <c r="O198" s="167"/>
      <c r="P198" s="167"/>
      <c r="Q198" s="167"/>
      <c r="R198" s="167"/>
      <c r="S198" s="167"/>
      <c r="T198" s="167"/>
      <c r="U198" s="167"/>
      <c r="V198" s="167"/>
      <c r="W198" s="167"/>
      <c r="X198" s="167"/>
      <c r="Y198" s="167"/>
      <c r="Z198" s="167"/>
      <c r="AA198" s="167"/>
      <c r="AB198" s="167"/>
      <c r="AC198" s="167"/>
      <c r="AD198" s="167"/>
      <c r="AE198" s="167"/>
      <c r="AF198" s="167"/>
      <c r="AG198" s="167"/>
      <c r="AH198" s="167"/>
      <c r="AI198" s="167"/>
      <c r="AJ198" s="167"/>
      <c r="AK198" s="167"/>
      <c r="AL198" s="167"/>
      <c r="AM198" s="167"/>
      <c r="AN198" s="167"/>
      <c r="AO198" s="167"/>
      <c r="AP198" s="167"/>
      <c r="AQ198" s="167"/>
      <c r="AR198" s="167"/>
      <c r="AS198" s="167"/>
      <c r="AT198" s="167"/>
      <c r="AU198" s="181"/>
    </row>
    <row r="199" spans="1:47" ht="60" customHeight="1" outlineLevel="1" x14ac:dyDescent="0.35">
      <c r="A199" s="176" t="s">
        <v>4125</v>
      </c>
      <c r="B199" s="150" t="s">
        <v>4172</v>
      </c>
      <c r="C199" s="148" t="s">
        <v>4173</v>
      </c>
      <c r="D199" s="154" t="s">
        <v>4174</v>
      </c>
      <c r="E199" s="157" t="s">
        <v>19</v>
      </c>
      <c r="F199" s="160" t="s">
        <v>19</v>
      </c>
      <c r="G199" s="163" t="str">
        <f>IF(COUNTIF(H199:AU199,"&lt;&gt;")=0,"",SUMPRODUCT(((Recommendations[ImplStatus]="Implemented")+(Recommendations[ImplStatus]="Compensated"))*ISNUMBER(MATCH(Recommendations[Id],H199:AU199,0)))/COUNTIF(H199:AU199,"&lt;&gt;"))</f>
        <v/>
      </c>
      <c r="H199" s="166"/>
      <c r="I199" s="166"/>
      <c r="J199" s="166"/>
      <c r="K199" s="166"/>
      <c r="L199" s="166"/>
      <c r="M199" s="166"/>
      <c r="N199" s="166"/>
      <c r="O199" s="166"/>
      <c r="P199" s="166"/>
      <c r="Q199" s="166"/>
      <c r="R199" s="166"/>
      <c r="S199" s="166"/>
      <c r="T199" s="166"/>
      <c r="U199" s="166"/>
      <c r="V199" s="166"/>
      <c r="W199" s="166"/>
      <c r="X199" s="166"/>
      <c r="Y199" s="166"/>
      <c r="Z199" s="166"/>
      <c r="AA199" s="166"/>
      <c r="AB199" s="166"/>
      <c r="AC199" s="166"/>
      <c r="AD199" s="166"/>
      <c r="AE199" s="166"/>
      <c r="AF199" s="166"/>
      <c r="AG199" s="166"/>
      <c r="AH199" s="166"/>
      <c r="AI199" s="166"/>
      <c r="AJ199" s="166"/>
      <c r="AK199" s="166"/>
      <c r="AL199" s="166"/>
      <c r="AM199" s="166"/>
      <c r="AN199" s="166"/>
      <c r="AO199" s="166"/>
      <c r="AP199" s="166"/>
      <c r="AQ199" s="166"/>
      <c r="AR199" s="166"/>
      <c r="AS199" s="166"/>
      <c r="AT199" s="166"/>
      <c r="AU199" s="180"/>
    </row>
    <row r="200" spans="1:47" ht="60" customHeight="1" x14ac:dyDescent="0.35">
      <c r="A200" s="177" t="s">
        <v>4125</v>
      </c>
      <c r="B200" s="151" t="s">
        <v>4172</v>
      </c>
      <c r="C200" s="152" t="s">
        <v>4175</v>
      </c>
      <c r="D200" s="155" t="s">
        <v>4176</v>
      </c>
      <c r="E200" s="158" t="s">
        <v>4177</v>
      </c>
      <c r="F200" s="161" t="s">
        <v>3691</v>
      </c>
      <c r="G200" s="164" t="str">
        <f>IF(COUNTIF(H200:AU200,"&lt;&gt;")=0,"",SUMPRODUCT(((Recommendations[ImplStatus]="Implemented")+(Recommendations[ImplStatus]="Compensated"))*ISNUMBER(MATCH(Recommendations[Id],H200:AU200,0)))/COUNTIF(H200:AU200,"&lt;&gt;"))</f>
        <v/>
      </c>
      <c r="H200" s="167"/>
      <c r="I200" s="167"/>
      <c r="J200" s="167"/>
      <c r="K200" s="167"/>
      <c r="L200" s="167"/>
      <c r="M200" s="167"/>
      <c r="N200" s="167"/>
      <c r="O200" s="167"/>
      <c r="P200" s="167"/>
      <c r="Q200" s="167"/>
      <c r="R200" s="167"/>
      <c r="S200" s="167"/>
      <c r="T200" s="167"/>
      <c r="U200" s="167"/>
      <c r="V200" s="167"/>
      <c r="W200" s="167"/>
      <c r="X200" s="167"/>
      <c r="Y200" s="167"/>
      <c r="Z200" s="167"/>
      <c r="AA200" s="167"/>
      <c r="AB200" s="167"/>
      <c r="AC200" s="167"/>
      <c r="AD200" s="167"/>
      <c r="AE200" s="167"/>
      <c r="AF200" s="167"/>
      <c r="AG200" s="167"/>
      <c r="AH200" s="167"/>
      <c r="AI200" s="167"/>
      <c r="AJ200" s="167"/>
      <c r="AK200" s="167"/>
      <c r="AL200" s="167"/>
      <c r="AM200" s="167"/>
      <c r="AN200" s="167"/>
      <c r="AO200" s="167"/>
      <c r="AP200" s="167"/>
      <c r="AQ200" s="167"/>
      <c r="AR200" s="167"/>
      <c r="AS200" s="167"/>
      <c r="AT200" s="167"/>
      <c r="AU200" s="181"/>
    </row>
    <row r="201" spans="1:47" ht="60" customHeight="1" x14ac:dyDescent="0.35">
      <c r="A201" s="177" t="s">
        <v>4125</v>
      </c>
      <c r="B201" s="151" t="s">
        <v>4172</v>
      </c>
      <c r="C201" s="152" t="s">
        <v>4178</v>
      </c>
      <c r="D201" s="155" t="s">
        <v>4179</v>
      </c>
      <c r="E201" s="158" t="s">
        <v>4180</v>
      </c>
      <c r="F201" s="161" t="s">
        <v>3677</v>
      </c>
      <c r="G201" s="164" t="str">
        <f>IF(COUNTIF(H201:AU201,"&lt;&gt;")=0,"",SUMPRODUCT(((Recommendations[ImplStatus]="Implemented")+(Recommendations[ImplStatus]="Compensated"))*ISNUMBER(MATCH(Recommendations[Id],H201:AU201,0)))/COUNTIF(H201:AU201,"&lt;&gt;"))</f>
        <v/>
      </c>
      <c r="H201" s="167"/>
      <c r="I201" s="167"/>
      <c r="J201" s="167"/>
      <c r="K201" s="167"/>
      <c r="L201" s="167"/>
      <c r="M201" s="167"/>
      <c r="N201" s="167"/>
      <c r="O201" s="167"/>
      <c r="P201" s="167"/>
      <c r="Q201" s="167"/>
      <c r="R201" s="167"/>
      <c r="S201" s="167"/>
      <c r="T201" s="167"/>
      <c r="U201" s="167"/>
      <c r="V201" s="167"/>
      <c r="W201" s="167"/>
      <c r="X201" s="167"/>
      <c r="Y201" s="167"/>
      <c r="Z201" s="167"/>
      <c r="AA201" s="167"/>
      <c r="AB201" s="167"/>
      <c r="AC201" s="167"/>
      <c r="AD201" s="167"/>
      <c r="AE201" s="167"/>
      <c r="AF201" s="167"/>
      <c r="AG201" s="167"/>
      <c r="AH201" s="167"/>
      <c r="AI201" s="167"/>
      <c r="AJ201" s="167"/>
      <c r="AK201" s="167"/>
      <c r="AL201" s="167"/>
      <c r="AM201" s="167"/>
      <c r="AN201" s="167"/>
      <c r="AO201" s="167"/>
      <c r="AP201" s="167"/>
      <c r="AQ201" s="167"/>
      <c r="AR201" s="167"/>
      <c r="AS201" s="167"/>
      <c r="AT201" s="167"/>
      <c r="AU201" s="181"/>
    </row>
    <row r="202" spans="1:47" ht="60" customHeight="1" x14ac:dyDescent="0.35">
      <c r="A202" s="177" t="s">
        <v>4125</v>
      </c>
      <c r="B202" s="151" t="s">
        <v>4172</v>
      </c>
      <c r="C202" s="152" t="s">
        <v>4181</v>
      </c>
      <c r="D202" s="155" t="s">
        <v>4182</v>
      </c>
      <c r="E202" s="158" t="s">
        <v>4183</v>
      </c>
      <c r="F202" s="161" t="s">
        <v>3677</v>
      </c>
      <c r="G202" s="164" t="str">
        <f>IF(COUNTIF(H202:AU202,"&lt;&gt;")=0,"",SUMPRODUCT(((Recommendations[ImplStatus]="Implemented")+(Recommendations[ImplStatus]="Compensated"))*ISNUMBER(MATCH(Recommendations[Id],H202:AU202,0)))/COUNTIF(H202:AU202,"&lt;&gt;"))</f>
        <v/>
      </c>
      <c r="H202" s="167"/>
      <c r="I202" s="167"/>
      <c r="J202" s="167"/>
      <c r="K202" s="167"/>
      <c r="L202" s="167"/>
      <c r="M202" s="167"/>
      <c r="N202" s="167"/>
      <c r="O202" s="167"/>
      <c r="P202" s="167"/>
      <c r="Q202" s="167"/>
      <c r="R202" s="167"/>
      <c r="S202" s="167"/>
      <c r="T202" s="167"/>
      <c r="U202" s="167"/>
      <c r="V202" s="167"/>
      <c r="W202" s="167"/>
      <c r="X202" s="167"/>
      <c r="Y202" s="167"/>
      <c r="Z202" s="167"/>
      <c r="AA202" s="167"/>
      <c r="AB202" s="167"/>
      <c r="AC202" s="167"/>
      <c r="AD202" s="167"/>
      <c r="AE202" s="167"/>
      <c r="AF202" s="167"/>
      <c r="AG202" s="167"/>
      <c r="AH202" s="167"/>
      <c r="AI202" s="167"/>
      <c r="AJ202" s="167"/>
      <c r="AK202" s="167"/>
      <c r="AL202" s="167"/>
      <c r="AM202" s="167"/>
      <c r="AN202" s="167"/>
      <c r="AO202" s="167"/>
      <c r="AP202" s="167"/>
      <c r="AQ202" s="167"/>
      <c r="AR202" s="167"/>
      <c r="AS202" s="167"/>
      <c r="AT202" s="167"/>
      <c r="AU202" s="181"/>
    </row>
    <row r="203" spans="1:47" ht="60" customHeight="1" x14ac:dyDescent="0.35">
      <c r="A203" s="177" t="s">
        <v>4125</v>
      </c>
      <c r="B203" s="151" t="s">
        <v>4172</v>
      </c>
      <c r="C203" s="152" t="s">
        <v>4184</v>
      </c>
      <c r="D203" s="155" t="s">
        <v>4185</v>
      </c>
      <c r="E203" s="158" t="s">
        <v>4186</v>
      </c>
      <c r="F203" s="161" t="s">
        <v>3677</v>
      </c>
      <c r="G203" s="164" t="str">
        <f>IF(COUNTIF(H203:AU203,"&lt;&gt;")=0,"",SUMPRODUCT(((Recommendations[ImplStatus]="Implemented")+(Recommendations[ImplStatus]="Compensated"))*ISNUMBER(MATCH(Recommendations[Id],H203:AU203,0)))/COUNTIF(H203:AU203,"&lt;&gt;"))</f>
        <v/>
      </c>
      <c r="H203" s="167"/>
      <c r="I203" s="167"/>
      <c r="J203" s="167"/>
      <c r="K203" s="167"/>
      <c r="L203" s="167"/>
      <c r="M203" s="167"/>
      <c r="N203" s="167"/>
      <c r="O203" s="167"/>
      <c r="P203" s="167"/>
      <c r="Q203" s="167"/>
      <c r="R203" s="167"/>
      <c r="S203" s="167"/>
      <c r="T203" s="167"/>
      <c r="U203" s="167"/>
      <c r="V203" s="167"/>
      <c r="W203" s="167"/>
      <c r="X203" s="167"/>
      <c r="Y203" s="167"/>
      <c r="Z203" s="167"/>
      <c r="AA203" s="167"/>
      <c r="AB203" s="167"/>
      <c r="AC203" s="167"/>
      <c r="AD203" s="167"/>
      <c r="AE203" s="167"/>
      <c r="AF203" s="167"/>
      <c r="AG203" s="167"/>
      <c r="AH203" s="167"/>
      <c r="AI203" s="167"/>
      <c r="AJ203" s="167"/>
      <c r="AK203" s="167"/>
      <c r="AL203" s="167"/>
      <c r="AM203" s="167"/>
      <c r="AN203" s="167"/>
      <c r="AO203" s="167"/>
      <c r="AP203" s="167"/>
      <c r="AQ203" s="167"/>
      <c r="AR203" s="167"/>
      <c r="AS203" s="167"/>
      <c r="AT203" s="167"/>
      <c r="AU203" s="181"/>
    </row>
    <row r="204" spans="1:47" ht="60" customHeight="1" x14ac:dyDescent="0.35">
      <c r="A204" s="177" t="s">
        <v>4125</v>
      </c>
      <c r="B204" s="151" t="s">
        <v>4172</v>
      </c>
      <c r="C204" s="152" t="s">
        <v>4187</v>
      </c>
      <c r="D204" s="155" t="s">
        <v>4188</v>
      </c>
      <c r="E204" s="158" t="s">
        <v>4189</v>
      </c>
      <c r="F204" s="161" t="s">
        <v>3677</v>
      </c>
      <c r="G204" s="164" t="str">
        <f>IF(COUNTIF(H204:AU204,"&lt;&gt;")=0,"",SUMPRODUCT(((Recommendations[ImplStatus]="Implemented")+(Recommendations[ImplStatus]="Compensated"))*ISNUMBER(MATCH(Recommendations[Id],H204:AU204,0)))/COUNTIF(H204:AU204,"&lt;&gt;"))</f>
        <v/>
      </c>
      <c r="H204" s="167"/>
      <c r="I204" s="167"/>
      <c r="J204" s="167"/>
      <c r="K204" s="167"/>
      <c r="L204" s="167"/>
      <c r="M204" s="167"/>
      <c r="N204" s="167"/>
      <c r="O204" s="167"/>
      <c r="P204" s="167"/>
      <c r="Q204" s="167"/>
      <c r="R204" s="167"/>
      <c r="S204" s="167"/>
      <c r="T204" s="167"/>
      <c r="U204" s="167"/>
      <c r="V204" s="167"/>
      <c r="W204" s="167"/>
      <c r="X204" s="167"/>
      <c r="Y204" s="167"/>
      <c r="Z204" s="167"/>
      <c r="AA204" s="167"/>
      <c r="AB204" s="167"/>
      <c r="AC204" s="167"/>
      <c r="AD204" s="167"/>
      <c r="AE204" s="167"/>
      <c r="AF204" s="167"/>
      <c r="AG204" s="167"/>
      <c r="AH204" s="167"/>
      <c r="AI204" s="167"/>
      <c r="AJ204" s="167"/>
      <c r="AK204" s="167"/>
      <c r="AL204" s="167"/>
      <c r="AM204" s="167"/>
      <c r="AN204" s="167"/>
      <c r="AO204" s="167"/>
      <c r="AP204" s="167"/>
      <c r="AQ204" s="167"/>
      <c r="AR204" s="167"/>
      <c r="AS204" s="167"/>
      <c r="AT204" s="167"/>
      <c r="AU204" s="181"/>
    </row>
    <row r="205" spans="1:47" ht="60" customHeight="1" outlineLevel="1" x14ac:dyDescent="0.35">
      <c r="A205" s="176" t="s">
        <v>4125</v>
      </c>
      <c r="B205" s="150" t="s">
        <v>4190</v>
      </c>
      <c r="C205" s="148" t="s">
        <v>4191</v>
      </c>
      <c r="D205" s="154" t="s">
        <v>4192</v>
      </c>
      <c r="E205" s="157" t="s">
        <v>19</v>
      </c>
      <c r="F205" s="160" t="s">
        <v>19</v>
      </c>
      <c r="G205" s="163" t="str">
        <f>IF(COUNTIF(H205:AU205,"&lt;&gt;")=0,"",SUMPRODUCT(((Recommendations[ImplStatus]="Implemented")+(Recommendations[ImplStatus]="Compensated"))*ISNUMBER(MATCH(Recommendations[Id],H205:AU205,0)))/COUNTIF(H205:AU205,"&lt;&gt;"))</f>
        <v/>
      </c>
      <c r="H205" s="166"/>
      <c r="I205" s="166"/>
      <c r="J205" s="166"/>
      <c r="K205" s="166"/>
      <c r="L205" s="166"/>
      <c r="M205" s="166"/>
      <c r="N205" s="166"/>
      <c r="O205" s="166"/>
      <c r="P205" s="166"/>
      <c r="Q205" s="166"/>
      <c r="R205" s="166"/>
      <c r="S205" s="166"/>
      <c r="T205" s="166"/>
      <c r="U205" s="166"/>
      <c r="V205" s="166"/>
      <c r="W205" s="166"/>
      <c r="X205" s="166"/>
      <c r="Y205" s="166"/>
      <c r="Z205" s="166"/>
      <c r="AA205" s="166"/>
      <c r="AB205" s="166"/>
      <c r="AC205" s="166"/>
      <c r="AD205" s="166"/>
      <c r="AE205" s="166"/>
      <c r="AF205" s="166"/>
      <c r="AG205" s="166"/>
      <c r="AH205" s="166"/>
      <c r="AI205" s="166"/>
      <c r="AJ205" s="166"/>
      <c r="AK205" s="166"/>
      <c r="AL205" s="166"/>
      <c r="AM205" s="166"/>
      <c r="AN205" s="166"/>
      <c r="AO205" s="166"/>
      <c r="AP205" s="166"/>
      <c r="AQ205" s="166"/>
      <c r="AR205" s="166"/>
      <c r="AS205" s="166"/>
      <c r="AT205" s="166"/>
      <c r="AU205" s="180"/>
    </row>
    <row r="206" spans="1:47" ht="60" customHeight="1" x14ac:dyDescent="0.35">
      <c r="A206" s="177" t="s">
        <v>4125</v>
      </c>
      <c r="B206" s="151" t="s">
        <v>4190</v>
      </c>
      <c r="C206" s="152" t="s">
        <v>4193</v>
      </c>
      <c r="D206" s="155" t="s">
        <v>4194</v>
      </c>
      <c r="E206" s="158" t="s">
        <v>4195</v>
      </c>
      <c r="F206" s="161" t="s">
        <v>3681</v>
      </c>
      <c r="G206" s="164" t="str">
        <f>IF(COUNTIF(H206:AU206,"&lt;&gt;")=0,"",SUMPRODUCT(((Recommendations[ImplStatus]="Implemented")+(Recommendations[ImplStatus]="Compensated"))*ISNUMBER(MATCH(Recommendations[Id],H206:AU206,0)))/COUNTIF(H206:AU206,"&lt;&gt;"))</f>
        <v/>
      </c>
      <c r="H206" s="167"/>
      <c r="I206" s="167"/>
      <c r="J206" s="167"/>
      <c r="K206" s="167"/>
      <c r="L206" s="167"/>
      <c r="M206" s="167"/>
      <c r="N206" s="167"/>
      <c r="O206" s="167"/>
      <c r="P206" s="167"/>
      <c r="Q206" s="167"/>
      <c r="R206" s="167"/>
      <c r="S206" s="167"/>
      <c r="T206" s="167"/>
      <c r="U206" s="167"/>
      <c r="V206" s="167"/>
      <c r="W206" s="167"/>
      <c r="X206" s="167"/>
      <c r="Y206" s="167"/>
      <c r="Z206" s="167"/>
      <c r="AA206" s="167"/>
      <c r="AB206" s="167"/>
      <c r="AC206" s="167"/>
      <c r="AD206" s="167"/>
      <c r="AE206" s="167"/>
      <c r="AF206" s="167"/>
      <c r="AG206" s="167"/>
      <c r="AH206" s="167"/>
      <c r="AI206" s="167"/>
      <c r="AJ206" s="167"/>
      <c r="AK206" s="167"/>
      <c r="AL206" s="167"/>
      <c r="AM206" s="167"/>
      <c r="AN206" s="167"/>
      <c r="AO206" s="167"/>
      <c r="AP206" s="167"/>
      <c r="AQ206" s="167"/>
      <c r="AR206" s="167"/>
      <c r="AS206" s="167"/>
      <c r="AT206" s="167"/>
      <c r="AU206" s="181"/>
    </row>
    <row r="207" spans="1:47" ht="60" customHeight="1" x14ac:dyDescent="0.35">
      <c r="A207" s="177" t="s">
        <v>4125</v>
      </c>
      <c r="B207" s="151" t="s">
        <v>4190</v>
      </c>
      <c r="C207" s="152" t="s">
        <v>4196</v>
      </c>
      <c r="D207" s="155" t="s">
        <v>4197</v>
      </c>
      <c r="E207" s="158" t="s">
        <v>4198</v>
      </c>
      <c r="F207" s="161" t="s">
        <v>3681</v>
      </c>
      <c r="G207" s="164" t="str">
        <f>IF(COUNTIF(H207:AU207,"&lt;&gt;")=0,"",SUMPRODUCT(((Recommendations[ImplStatus]="Implemented")+(Recommendations[ImplStatus]="Compensated"))*ISNUMBER(MATCH(Recommendations[Id],H207:AU207,0)))/COUNTIF(H207:AU207,"&lt;&gt;"))</f>
        <v/>
      </c>
      <c r="H207" s="167"/>
      <c r="I207" s="167"/>
      <c r="J207" s="167"/>
      <c r="K207" s="167"/>
      <c r="L207" s="167"/>
      <c r="M207" s="167"/>
      <c r="N207" s="167"/>
      <c r="O207" s="167"/>
      <c r="P207" s="167"/>
      <c r="Q207" s="167"/>
      <c r="R207" s="167"/>
      <c r="S207" s="167"/>
      <c r="T207" s="167"/>
      <c r="U207" s="167"/>
      <c r="V207" s="167"/>
      <c r="W207" s="167"/>
      <c r="X207" s="167"/>
      <c r="Y207" s="167"/>
      <c r="Z207" s="167"/>
      <c r="AA207" s="167"/>
      <c r="AB207" s="167"/>
      <c r="AC207" s="167"/>
      <c r="AD207" s="167"/>
      <c r="AE207" s="167"/>
      <c r="AF207" s="167"/>
      <c r="AG207" s="167"/>
      <c r="AH207" s="167"/>
      <c r="AI207" s="167"/>
      <c r="AJ207" s="167"/>
      <c r="AK207" s="167"/>
      <c r="AL207" s="167"/>
      <c r="AM207" s="167"/>
      <c r="AN207" s="167"/>
      <c r="AO207" s="167"/>
      <c r="AP207" s="167"/>
      <c r="AQ207" s="167"/>
      <c r="AR207" s="167"/>
      <c r="AS207" s="167"/>
      <c r="AT207" s="167"/>
      <c r="AU207" s="181"/>
    </row>
    <row r="208" spans="1:47" ht="60" customHeight="1" x14ac:dyDescent="0.35">
      <c r="A208" s="177" t="s">
        <v>4125</v>
      </c>
      <c r="B208" s="151" t="s">
        <v>4190</v>
      </c>
      <c r="C208" s="152" t="s">
        <v>4199</v>
      </c>
      <c r="D208" s="155" t="s">
        <v>4200</v>
      </c>
      <c r="E208" s="158"/>
      <c r="F208" s="161" t="s">
        <v>19</v>
      </c>
      <c r="G208" s="164" t="str">
        <f>IF(COUNTIF(H208:AU208,"&lt;&gt;")=0,"",SUMPRODUCT(((Recommendations[ImplStatus]="Implemented")+(Recommendations[ImplStatus]="Compensated"))*ISNUMBER(MATCH(Recommendations[Id],H208:AU208,0)))/COUNTIF(H208:AU208,"&lt;&gt;"))</f>
        <v/>
      </c>
      <c r="H208" s="167"/>
      <c r="I208" s="167"/>
      <c r="J208" s="167"/>
      <c r="K208" s="167"/>
      <c r="L208" s="167"/>
      <c r="M208" s="167"/>
      <c r="N208" s="167"/>
      <c r="O208" s="167"/>
      <c r="P208" s="167"/>
      <c r="Q208" s="167"/>
      <c r="R208" s="167"/>
      <c r="S208" s="167"/>
      <c r="T208" s="167"/>
      <c r="U208" s="167"/>
      <c r="V208" s="167"/>
      <c r="W208" s="167"/>
      <c r="X208" s="167"/>
      <c r="Y208" s="167"/>
      <c r="Z208" s="167"/>
      <c r="AA208" s="167"/>
      <c r="AB208" s="167"/>
      <c r="AC208" s="167"/>
      <c r="AD208" s="167"/>
      <c r="AE208" s="167"/>
      <c r="AF208" s="167"/>
      <c r="AG208" s="167"/>
      <c r="AH208" s="167"/>
      <c r="AI208" s="167"/>
      <c r="AJ208" s="167"/>
      <c r="AK208" s="167"/>
      <c r="AL208" s="167"/>
      <c r="AM208" s="167"/>
      <c r="AN208" s="167"/>
      <c r="AO208" s="167"/>
      <c r="AP208" s="167"/>
      <c r="AQ208" s="167"/>
      <c r="AR208" s="167"/>
      <c r="AS208" s="167"/>
      <c r="AT208" s="167"/>
      <c r="AU208" s="181"/>
    </row>
    <row r="209" spans="1:47" ht="60" customHeight="1" outlineLevel="1" x14ac:dyDescent="0.35">
      <c r="A209" s="176" t="s">
        <v>4125</v>
      </c>
      <c r="B209" s="150" t="s">
        <v>4201</v>
      </c>
      <c r="C209" s="148" t="s">
        <v>4202</v>
      </c>
      <c r="D209" s="154"/>
      <c r="E209" s="157" t="s">
        <v>19</v>
      </c>
      <c r="F209" s="160" t="s">
        <v>19</v>
      </c>
      <c r="G209" s="163" t="str">
        <f>IF(COUNTIF(H209:AU209,"&lt;&gt;")=0,"",SUMPRODUCT(((Recommendations[ImplStatus]="Implemented")+(Recommendations[ImplStatus]="Compensated"))*ISNUMBER(MATCH(Recommendations[Id],H209:AU209,0)))/COUNTIF(H209:AU209,"&lt;&gt;"))</f>
        <v/>
      </c>
      <c r="H209" s="166"/>
      <c r="I209" s="166"/>
      <c r="J209" s="166"/>
      <c r="K209" s="166"/>
      <c r="L209" s="166"/>
      <c r="M209" s="166"/>
      <c r="N209" s="166"/>
      <c r="O209" s="166"/>
      <c r="P209" s="166"/>
      <c r="Q209" s="166"/>
      <c r="R209" s="166"/>
      <c r="S209" s="166"/>
      <c r="T209" s="166"/>
      <c r="U209" s="166"/>
      <c r="V209" s="166"/>
      <c r="W209" s="166"/>
      <c r="X209" s="166"/>
      <c r="Y209" s="166"/>
      <c r="Z209" s="166"/>
      <c r="AA209" s="166"/>
      <c r="AB209" s="166"/>
      <c r="AC209" s="166"/>
      <c r="AD209" s="166"/>
      <c r="AE209" s="166"/>
      <c r="AF209" s="166"/>
      <c r="AG209" s="166"/>
      <c r="AH209" s="166"/>
      <c r="AI209" s="166"/>
      <c r="AJ209" s="166"/>
      <c r="AK209" s="166"/>
      <c r="AL209" s="166"/>
      <c r="AM209" s="166"/>
      <c r="AN209" s="166"/>
      <c r="AO209" s="166"/>
      <c r="AP209" s="166"/>
      <c r="AQ209" s="166"/>
      <c r="AR209" s="166"/>
      <c r="AS209" s="166"/>
      <c r="AT209" s="166"/>
      <c r="AU209" s="180"/>
    </row>
    <row r="210" spans="1:47" ht="60" customHeight="1" x14ac:dyDescent="0.35">
      <c r="A210" s="177" t="s">
        <v>4125</v>
      </c>
      <c r="B210" s="151" t="s">
        <v>4201</v>
      </c>
      <c r="C210" s="152" t="s">
        <v>4203</v>
      </c>
      <c r="D210" s="155" t="s">
        <v>4204</v>
      </c>
      <c r="E210" s="158"/>
      <c r="F210" s="161" t="s">
        <v>19</v>
      </c>
      <c r="G210" s="164" t="str">
        <f>IF(COUNTIF(H210:AU210,"&lt;&gt;")=0,"",SUMPRODUCT(((Recommendations[ImplStatus]="Implemented")+(Recommendations[ImplStatus]="Compensated"))*ISNUMBER(MATCH(Recommendations[Id],H210:AU210,0)))/COUNTIF(H210:AU210,"&lt;&gt;"))</f>
        <v/>
      </c>
      <c r="H210" s="167"/>
      <c r="I210" s="167"/>
      <c r="J210" s="167"/>
      <c r="K210" s="167"/>
      <c r="L210" s="167"/>
      <c r="M210" s="167"/>
      <c r="N210" s="167"/>
      <c r="O210" s="167"/>
      <c r="P210" s="167"/>
      <c r="Q210" s="167"/>
      <c r="R210" s="167"/>
      <c r="S210" s="167"/>
      <c r="T210" s="167"/>
      <c r="U210" s="167"/>
      <c r="V210" s="167"/>
      <c r="W210" s="167"/>
      <c r="X210" s="167"/>
      <c r="Y210" s="167"/>
      <c r="Z210" s="167"/>
      <c r="AA210" s="167"/>
      <c r="AB210" s="167"/>
      <c r="AC210" s="167"/>
      <c r="AD210" s="167"/>
      <c r="AE210" s="167"/>
      <c r="AF210" s="167"/>
      <c r="AG210" s="167"/>
      <c r="AH210" s="167"/>
      <c r="AI210" s="167"/>
      <c r="AJ210" s="167"/>
      <c r="AK210" s="167"/>
      <c r="AL210" s="167"/>
      <c r="AM210" s="167"/>
      <c r="AN210" s="167"/>
      <c r="AO210" s="167"/>
      <c r="AP210" s="167"/>
      <c r="AQ210" s="167"/>
      <c r="AR210" s="167"/>
      <c r="AS210" s="167"/>
      <c r="AT210" s="167"/>
      <c r="AU210" s="181"/>
    </row>
    <row r="211" spans="1:47" ht="60" customHeight="1" outlineLevel="1" x14ac:dyDescent="0.35">
      <c r="A211" s="175" t="s">
        <v>4205</v>
      </c>
      <c r="B211" s="149" t="s">
        <v>19</v>
      </c>
      <c r="C211" s="147" t="s">
        <v>4206</v>
      </c>
      <c r="D211" s="153" t="s">
        <v>4207</v>
      </c>
      <c r="E211" s="156" t="s">
        <v>19</v>
      </c>
      <c r="F211" s="159" t="s">
        <v>19</v>
      </c>
      <c r="G211" s="162" t="str">
        <f>IF(COUNTIF(H211:AU211,"&lt;&gt;")=0,"",SUMPRODUCT(((Recommendations[ImplStatus]="Implemented")+(Recommendations[ImplStatus]="Compensated"))*ISNUMBER(MATCH(Recommendations[Id],H211:AU211,0)))/COUNTIF(H211:AU211,"&lt;&gt;"))</f>
        <v/>
      </c>
      <c r="H211" s="165"/>
      <c r="I211" s="165"/>
      <c r="J211" s="165"/>
      <c r="K211" s="165"/>
      <c r="L211" s="165"/>
      <c r="M211" s="165"/>
      <c r="N211" s="165"/>
      <c r="O211" s="165"/>
      <c r="P211" s="165"/>
      <c r="Q211" s="165"/>
      <c r="R211" s="165"/>
      <c r="S211" s="165"/>
      <c r="T211" s="165"/>
      <c r="U211" s="165"/>
      <c r="V211" s="165"/>
      <c r="W211" s="165"/>
      <c r="X211" s="165"/>
      <c r="Y211" s="165"/>
      <c r="Z211" s="165"/>
      <c r="AA211" s="165"/>
      <c r="AB211" s="165"/>
      <c r="AC211" s="165"/>
      <c r="AD211" s="165"/>
      <c r="AE211" s="165"/>
      <c r="AF211" s="165"/>
      <c r="AG211" s="165"/>
      <c r="AH211" s="165"/>
      <c r="AI211" s="165"/>
      <c r="AJ211" s="165"/>
      <c r="AK211" s="165"/>
      <c r="AL211" s="165"/>
      <c r="AM211" s="165"/>
      <c r="AN211" s="165"/>
      <c r="AO211" s="165"/>
      <c r="AP211" s="165"/>
      <c r="AQ211" s="165"/>
      <c r="AR211" s="165"/>
      <c r="AS211" s="165"/>
      <c r="AT211" s="165"/>
      <c r="AU211" s="179"/>
    </row>
    <row r="212" spans="1:47" ht="60" customHeight="1" outlineLevel="1" x14ac:dyDescent="0.35">
      <c r="A212" s="176" t="s">
        <v>4205</v>
      </c>
      <c r="B212" s="150" t="s">
        <v>4208</v>
      </c>
      <c r="C212" s="148" t="s">
        <v>4209</v>
      </c>
      <c r="D212" s="154" t="s">
        <v>4210</v>
      </c>
      <c r="E212" s="157" t="s">
        <v>19</v>
      </c>
      <c r="F212" s="160" t="s">
        <v>19</v>
      </c>
      <c r="G212" s="163" t="str">
        <f>IF(COUNTIF(H212:AU212,"&lt;&gt;")=0,"",SUMPRODUCT(((Recommendations[ImplStatus]="Implemented")+(Recommendations[ImplStatus]="Compensated"))*ISNUMBER(MATCH(Recommendations[Id],H212:AU212,0)))/COUNTIF(H212:AU212,"&lt;&gt;"))</f>
        <v/>
      </c>
      <c r="H212" s="166"/>
      <c r="I212" s="166"/>
      <c r="J212" s="166"/>
      <c r="K212" s="166"/>
      <c r="L212" s="166"/>
      <c r="M212" s="166"/>
      <c r="N212" s="166"/>
      <c r="O212" s="166"/>
      <c r="P212" s="166"/>
      <c r="Q212" s="166"/>
      <c r="R212" s="166"/>
      <c r="S212" s="166"/>
      <c r="T212" s="166"/>
      <c r="U212" s="166"/>
      <c r="V212" s="166"/>
      <c r="W212" s="166"/>
      <c r="X212" s="166"/>
      <c r="Y212" s="166"/>
      <c r="Z212" s="166"/>
      <c r="AA212" s="166"/>
      <c r="AB212" s="166"/>
      <c r="AC212" s="166"/>
      <c r="AD212" s="166"/>
      <c r="AE212" s="166"/>
      <c r="AF212" s="166"/>
      <c r="AG212" s="166"/>
      <c r="AH212" s="166"/>
      <c r="AI212" s="166"/>
      <c r="AJ212" s="166"/>
      <c r="AK212" s="166"/>
      <c r="AL212" s="166"/>
      <c r="AM212" s="166"/>
      <c r="AN212" s="166"/>
      <c r="AO212" s="166"/>
      <c r="AP212" s="166"/>
      <c r="AQ212" s="166"/>
      <c r="AR212" s="166"/>
      <c r="AS212" s="166"/>
      <c r="AT212" s="166"/>
      <c r="AU212" s="180"/>
    </row>
    <row r="213" spans="1:47" ht="60" customHeight="1" x14ac:dyDescent="0.35">
      <c r="A213" s="177" t="s">
        <v>4205</v>
      </c>
      <c r="B213" s="151" t="s">
        <v>4208</v>
      </c>
      <c r="C213" s="152" t="s">
        <v>4211</v>
      </c>
      <c r="D213" s="155" t="s">
        <v>4212</v>
      </c>
      <c r="E213" s="158"/>
      <c r="F213" s="161" t="s">
        <v>19</v>
      </c>
      <c r="G213" s="164" t="str">
        <f>IF(COUNTIF(H213:AU213,"&lt;&gt;")=0,"",SUMPRODUCT(((Recommendations[ImplStatus]="Implemented")+(Recommendations[ImplStatus]="Compensated"))*ISNUMBER(MATCH(Recommendations[Id],H213:AU213,0)))/COUNTIF(H213:AU213,"&lt;&gt;"))</f>
        <v/>
      </c>
      <c r="H213" s="167"/>
      <c r="I213" s="167"/>
      <c r="J213" s="167"/>
      <c r="K213" s="167"/>
      <c r="L213" s="167"/>
      <c r="M213" s="167"/>
      <c r="N213" s="167"/>
      <c r="O213" s="167"/>
      <c r="P213" s="167"/>
      <c r="Q213" s="167"/>
      <c r="R213" s="167"/>
      <c r="S213" s="167"/>
      <c r="T213" s="167"/>
      <c r="U213" s="167"/>
      <c r="V213" s="167"/>
      <c r="W213" s="167"/>
      <c r="X213" s="167"/>
      <c r="Y213" s="167"/>
      <c r="Z213" s="167"/>
      <c r="AA213" s="167"/>
      <c r="AB213" s="167"/>
      <c r="AC213" s="167"/>
      <c r="AD213" s="167"/>
      <c r="AE213" s="167"/>
      <c r="AF213" s="167"/>
      <c r="AG213" s="167"/>
      <c r="AH213" s="167"/>
      <c r="AI213" s="167"/>
      <c r="AJ213" s="167"/>
      <c r="AK213" s="167"/>
      <c r="AL213" s="167"/>
      <c r="AM213" s="167"/>
      <c r="AN213" s="167"/>
      <c r="AO213" s="167"/>
      <c r="AP213" s="167"/>
      <c r="AQ213" s="167"/>
      <c r="AR213" s="167"/>
      <c r="AS213" s="167"/>
      <c r="AT213" s="167"/>
      <c r="AU213" s="181"/>
    </row>
    <row r="214" spans="1:47" ht="60" customHeight="1" x14ac:dyDescent="0.35">
      <c r="A214" s="177" t="s">
        <v>4205</v>
      </c>
      <c r="B214" s="151" t="s">
        <v>4208</v>
      </c>
      <c r="C214" s="152" t="s">
        <v>4213</v>
      </c>
      <c r="D214" s="155" t="s">
        <v>4214</v>
      </c>
      <c r="E214" s="158"/>
      <c r="F214" s="161" t="s">
        <v>19</v>
      </c>
      <c r="G214" s="164" t="str">
        <f>IF(COUNTIF(H214:AU214,"&lt;&gt;")=0,"",SUMPRODUCT(((Recommendations[ImplStatus]="Implemented")+(Recommendations[ImplStatus]="Compensated"))*ISNUMBER(MATCH(Recommendations[Id],H214:AU214,0)))/COUNTIF(H214:AU214,"&lt;&gt;"))</f>
        <v/>
      </c>
      <c r="H214" s="167"/>
      <c r="I214" s="167"/>
      <c r="J214" s="167"/>
      <c r="K214" s="167"/>
      <c r="L214" s="167"/>
      <c r="M214" s="167"/>
      <c r="N214" s="167"/>
      <c r="O214" s="167"/>
      <c r="P214" s="167"/>
      <c r="Q214" s="167"/>
      <c r="R214" s="167"/>
      <c r="S214" s="167"/>
      <c r="T214" s="167"/>
      <c r="U214" s="167"/>
      <c r="V214" s="167"/>
      <c r="W214" s="167"/>
      <c r="X214" s="167"/>
      <c r="Y214" s="167"/>
      <c r="Z214" s="167"/>
      <c r="AA214" s="167"/>
      <c r="AB214" s="167"/>
      <c r="AC214" s="167"/>
      <c r="AD214" s="167"/>
      <c r="AE214" s="167"/>
      <c r="AF214" s="167"/>
      <c r="AG214" s="167"/>
      <c r="AH214" s="167"/>
      <c r="AI214" s="167"/>
      <c r="AJ214" s="167"/>
      <c r="AK214" s="167"/>
      <c r="AL214" s="167"/>
      <c r="AM214" s="167"/>
      <c r="AN214" s="167"/>
      <c r="AO214" s="167"/>
      <c r="AP214" s="167"/>
      <c r="AQ214" s="167"/>
      <c r="AR214" s="167"/>
      <c r="AS214" s="167"/>
      <c r="AT214" s="167"/>
      <c r="AU214" s="181"/>
    </row>
    <row r="215" spans="1:47" ht="60" customHeight="1" x14ac:dyDescent="0.35">
      <c r="A215" s="177" t="s">
        <v>4205</v>
      </c>
      <c r="B215" s="151" t="s">
        <v>4208</v>
      </c>
      <c r="C215" s="152" t="s">
        <v>4215</v>
      </c>
      <c r="D215" s="155" t="s">
        <v>4216</v>
      </c>
      <c r="E215" s="158" t="s">
        <v>4217</v>
      </c>
      <c r="F215" s="161" t="s">
        <v>3681</v>
      </c>
      <c r="G215" s="164" t="str">
        <f>IF(COUNTIF(H215:AU215,"&lt;&gt;")=0,"",SUMPRODUCT(((Recommendations[ImplStatus]="Implemented")+(Recommendations[ImplStatus]="Compensated"))*ISNUMBER(MATCH(Recommendations[Id],H215:AU215,0)))/COUNTIF(H215:AU215,"&lt;&gt;"))</f>
        <v/>
      </c>
      <c r="H215" s="167"/>
      <c r="I215" s="167"/>
      <c r="J215" s="167"/>
      <c r="K215" s="167"/>
      <c r="L215" s="167"/>
      <c r="M215" s="167"/>
      <c r="N215" s="167"/>
      <c r="O215" s="167"/>
      <c r="P215" s="167"/>
      <c r="Q215" s="167"/>
      <c r="R215" s="167"/>
      <c r="S215" s="167"/>
      <c r="T215" s="167"/>
      <c r="U215" s="167"/>
      <c r="V215" s="167"/>
      <c r="W215" s="167"/>
      <c r="X215" s="167"/>
      <c r="Y215" s="167"/>
      <c r="Z215" s="167"/>
      <c r="AA215" s="167"/>
      <c r="AB215" s="167"/>
      <c r="AC215" s="167"/>
      <c r="AD215" s="167"/>
      <c r="AE215" s="167"/>
      <c r="AF215" s="167"/>
      <c r="AG215" s="167"/>
      <c r="AH215" s="167"/>
      <c r="AI215" s="167"/>
      <c r="AJ215" s="167"/>
      <c r="AK215" s="167"/>
      <c r="AL215" s="167"/>
      <c r="AM215" s="167"/>
      <c r="AN215" s="167"/>
      <c r="AO215" s="167"/>
      <c r="AP215" s="167"/>
      <c r="AQ215" s="167"/>
      <c r="AR215" s="167"/>
      <c r="AS215" s="167"/>
      <c r="AT215" s="167"/>
      <c r="AU215" s="181"/>
    </row>
    <row r="216" spans="1:47" ht="60" customHeight="1" x14ac:dyDescent="0.35">
      <c r="A216" s="177" t="s">
        <v>4205</v>
      </c>
      <c r="B216" s="151" t="s">
        <v>4208</v>
      </c>
      <c r="C216" s="152" t="s">
        <v>4218</v>
      </c>
      <c r="D216" s="155" t="s">
        <v>4219</v>
      </c>
      <c r="E216" s="158" t="s">
        <v>4220</v>
      </c>
      <c r="F216" s="161" t="s">
        <v>3677</v>
      </c>
      <c r="G216" s="164" t="str">
        <f>IF(COUNTIF(H216:AU216,"&lt;&gt;")=0,"",SUMPRODUCT(((Recommendations[ImplStatus]="Implemented")+(Recommendations[ImplStatus]="Compensated"))*ISNUMBER(MATCH(Recommendations[Id],H216:AU216,0)))/COUNTIF(H216:AU216,"&lt;&gt;"))</f>
        <v/>
      </c>
      <c r="H216" s="167"/>
      <c r="I216" s="167"/>
      <c r="J216" s="167"/>
      <c r="K216" s="167"/>
      <c r="L216" s="167"/>
      <c r="M216" s="167"/>
      <c r="N216" s="167"/>
      <c r="O216" s="167"/>
      <c r="P216" s="167"/>
      <c r="Q216" s="167"/>
      <c r="R216" s="167"/>
      <c r="S216" s="167"/>
      <c r="T216" s="167"/>
      <c r="U216" s="167"/>
      <c r="V216" s="167"/>
      <c r="W216" s="167"/>
      <c r="X216" s="167"/>
      <c r="Y216" s="167"/>
      <c r="Z216" s="167"/>
      <c r="AA216" s="167"/>
      <c r="AB216" s="167"/>
      <c r="AC216" s="167"/>
      <c r="AD216" s="167"/>
      <c r="AE216" s="167"/>
      <c r="AF216" s="167"/>
      <c r="AG216" s="167"/>
      <c r="AH216" s="167"/>
      <c r="AI216" s="167"/>
      <c r="AJ216" s="167"/>
      <c r="AK216" s="167"/>
      <c r="AL216" s="167"/>
      <c r="AM216" s="167"/>
      <c r="AN216" s="167"/>
      <c r="AO216" s="167"/>
      <c r="AP216" s="167"/>
      <c r="AQ216" s="167"/>
      <c r="AR216" s="167"/>
      <c r="AS216" s="167"/>
      <c r="AT216" s="167"/>
      <c r="AU216" s="181"/>
    </row>
    <row r="217" spans="1:47" ht="60" customHeight="1" outlineLevel="1" x14ac:dyDescent="0.35">
      <c r="A217" s="176" t="s">
        <v>4205</v>
      </c>
      <c r="B217" s="150" t="s">
        <v>4166</v>
      </c>
      <c r="C217" s="148" t="s">
        <v>4221</v>
      </c>
      <c r="D217" s="154"/>
      <c r="E217" s="157" t="s">
        <v>19</v>
      </c>
      <c r="F217" s="160" t="s">
        <v>19</v>
      </c>
      <c r="G217" s="163" t="str">
        <f>IF(COUNTIF(H217:AU217,"&lt;&gt;")=0,"",SUMPRODUCT(((Recommendations[ImplStatus]="Implemented")+(Recommendations[ImplStatus]="Compensated"))*ISNUMBER(MATCH(Recommendations[Id],H217:AU217,0)))/COUNTIF(H217:AU217,"&lt;&gt;"))</f>
        <v/>
      </c>
      <c r="H217" s="166"/>
      <c r="I217" s="166"/>
      <c r="J217" s="166"/>
      <c r="K217" s="166"/>
      <c r="L217" s="166"/>
      <c r="M217" s="166"/>
      <c r="N217" s="166"/>
      <c r="O217" s="166"/>
      <c r="P217" s="166"/>
      <c r="Q217" s="166"/>
      <c r="R217" s="166"/>
      <c r="S217" s="166"/>
      <c r="T217" s="166"/>
      <c r="U217" s="166"/>
      <c r="V217" s="166"/>
      <c r="W217" s="166"/>
      <c r="X217" s="166"/>
      <c r="Y217" s="166"/>
      <c r="Z217" s="166"/>
      <c r="AA217" s="166"/>
      <c r="AB217" s="166"/>
      <c r="AC217" s="166"/>
      <c r="AD217" s="166"/>
      <c r="AE217" s="166"/>
      <c r="AF217" s="166"/>
      <c r="AG217" s="166"/>
      <c r="AH217" s="166"/>
      <c r="AI217" s="166"/>
      <c r="AJ217" s="166"/>
      <c r="AK217" s="166"/>
      <c r="AL217" s="166"/>
      <c r="AM217" s="166"/>
      <c r="AN217" s="166"/>
      <c r="AO217" s="166"/>
      <c r="AP217" s="166"/>
      <c r="AQ217" s="166"/>
      <c r="AR217" s="166"/>
      <c r="AS217" s="166"/>
      <c r="AT217" s="166"/>
      <c r="AU217" s="180"/>
    </row>
    <row r="218" spans="1:47" ht="60" customHeight="1" x14ac:dyDescent="0.35">
      <c r="A218" s="177" t="s">
        <v>4205</v>
      </c>
      <c r="B218" s="151" t="s">
        <v>4166</v>
      </c>
      <c r="C218" s="152" t="s">
        <v>4222</v>
      </c>
      <c r="D218" s="155" t="s">
        <v>4223</v>
      </c>
      <c r="E218" s="158"/>
      <c r="F218" s="161" t="s">
        <v>19</v>
      </c>
      <c r="G218" s="164" t="str">
        <f>IF(COUNTIF(H218:AU218,"&lt;&gt;")=0,"",SUMPRODUCT(((Recommendations[ImplStatus]="Implemented")+(Recommendations[ImplStatus]="Compensated"))*ISNUMBER(MATCH(Recommendations[Id],H218:AU218,0)))/COUNTIF(H218:AU218,"&lt;&gt;"))</f>
        <v/>
      </c>
      <c r="H218" s="167"/>
      <c r="I218" s="167"/>
      <c r="J218" s="167"/>
      <c r="K218" s="167"/>
      <c r="L218" s="167"/>
      <c r="M218" s="167"/>
      <c r="N218" s="167"/>
      <c r="O218" s="167"/>
      <c r="P218" s="167"/>
      <c r="Q218" s="167"/>
      <c r="R218" s="167"/>
      <c r="S218" s="167"/>
      <c r="T218" s="167"/>
      <c r="U218" s="167"/>
      <c r="V218" s="167"/>
      <c r="W218" s="167"/>
      <c r="X218" s="167"/>
      <c r="Y218" s="167"/>
      <c r="Z218" s="167"/>
      <c r="AA218" s="167"/>
      <c r="AB218" s="167"/>
      <c r="AC218" s="167"/>
      <c r="AD218" s="167"/>
      <c r="AE218" s="167"/>
      <c r="AF218" s="167"/>
      <c r="AG218" s="167"/>
      <c r="AH218" s="167"/>
      <c r="AI218" s="167"/>
      <c r="AJ218" s="167"/>
      <c r="AK218" s="167"/>
      <c r="AL218" s="167"/>
      <c r="AM218" s="167"/>
      <c r="AN218" s="167"/>
      <c r="AO218" s="167"/>
      <c r="AP218" s="167"/>
      <c r="AQ218" s="167"/>
      <c r="AR218" s="167"/>
      <c r="AS218" s="167"/>
      <c r="AT218" s="167"/>
      <c r="AU218" s="181"/>
    </row>
    <row r="219" spans="1:47" ht="60" customHeight="1" x14ac:dyDescent="0.35">
      <c r="A219" s="177" t="s">
        <v>4205</v>
      </c>
      <c r="B219" s="151" t="s">
        <v>4166</v>
      </c>
      <c r="C219" s="152" t="s">
        <v>4224</v>
      </c>
      <c r="D219" s="155" t="s">
        <v>4225</v>
      </c>
      <c r="E219" s="158"/>
      <c r="F219" s="161" t="s">
        <v>19</v>
      </c>
      <c r="G219" s="164" t="str">
        <f>IF(COUNTIF(H219:AU219,"&lt;&gt;")=0,"",SUMPRODUCT(((Recommendations[ImplStatus]="Implemented")+(Recommendations[ImplStatus]="Compensated"))*ISNUMBER(MATCH(Recommendations[Id],H219:AU219,0)))/COUNTIF(H219:AU219,"&lt;&gt;"))</f>
        <v/>
      </c>
      <c r="H219" s="167"/>
      <c r="I219" s="167"/>
      <c r="J219" s="167"/>
      <c r="K219" s="167"/>
      <c r="L219" s="167"/>
      <c r="M219" s="167"/>
      <c r="N219" s="167"/>
      <c r="O219" s="167"/>
      <c r="P219" s="167"/>
      <c r="Q219" s="167"/>
      <c r="R219" s="167"/>
      <c r="S219" s="167"/>
      <c r="T219" s="167"/>
      <c r="U219" s="167"/>
      <c r="V219" s="167"/>
      <c r="W219" s="167"/>
      <c r="X219" s="167"/>
      <c r="Y219" s="167"/>
      <c r="Z219" s="167"/>
      <c r="AA219" s="167"/>
      <c r="AB219" s="167"/>
      <c r="AC219" s="167"/>
      <c r="AD219" s="167"/>
      <c r="AE219" s="167"/>
      <c r="AF219" s="167"/>
      <c r="AG219" s="167"/>
      <c r="AH219" s="167"/>
      <c r="AI219" s="167"/>
      <c r="AJ219" s="167"/>
      <c r="AK219" s="167"/>
      <c r="AL219" s="167"/>
      <c r="AM219" s="167"/>
      <c r="AN219" s="167"/>
      <c r="AO219" s="167"/>
      <c r="AP219" s="167"/>
      <c r="AQ219" s="167"/>
      <c r="AR219" s="167"/>
      <c r="AS219" s="167"/>
      <c r="AT219" s="167"/>
      <c r="AU219" s="181"/>
    </row>
    <row r="220" spans="1:47" ht="60" customHeight="1" outlineLevel="1" x14ac:dyDescent="0.35">
      <c r="A220" s="176" t="s">
        <v>4205</v>
      </c>
      <c r="B220" s="150" t="s">
        <v>4226</v>
      </c>
      <c r="C220" s="148" t="s">
        <v>4227</v>
      </c>
      <c r="D220" s="154" t="s">
        <v>4228</v>
      </c>
      <c r="E220" s="157" t="s">
        <v>19</v>
      </c>
      <c r="F220" s="160" t="s">
        <v>19</v>
      </c>
      <c r="G220" s="163" t="str">
        <f>IF(COUNTIF(H220:AU220,"&lt;&gt;")=0,"",SUMPRODUCT(((Recommendations[ImplStatus]="Implemented")+(Recommendations[ImplStatus]="Compensated"))*ISNUMBER(MATCH(Recommendations[Id],H220:AU220,0)))/COUNTIF(H220:AU220,"&lt;&gt;"))</f>
        <v/>
      </c>
      <c r="H220" s="166"/>
      <c r="I220" s="166"/>
      <c r="J220" s="166"/>
      <c r="K220" s="166"/>
      <c r="L220" s="166"/>
      <c r="M220" s="166"/>
      <c r="N220" s="166"/>
      <c r="O220" s="166"/>
      <c r="P220" s="166"/>
      <c r="Q220" s="166"/>
      <c r="R220" s="166"/>
      <c r="S220" s="166"/>
      <c r="T220" s="166"/>
      <c r="U220" s="166"/>
      <c r="V220" s="166"/>
      <c r="W220" s="166"/>
      <c r="X220" s="166"/>
      <c r="Y220" s="166"/>
      <c r="Z220" s="166"/>
      <c r="AA220" s="166"/>
      <c r="AB220" s="166"/>
      <c r="AC220" s="166"/>
      <c r="AD220" s="166"/>
      <c r="AE220" s="166"/>
      <c r="AF220" s="166"/>
      <c r="AG220" s="166"/>
      <c r="AH220" s="166"/>
      <c r="AI220" s="166"/>
      <c r="AJ220" s="166"/>
      <c r="AK220" s="166"/>
      <c r="AL220" s="166"/>
      <c r="AM220" s="166"/>
      <c r="AN220" s="166"/>
      <c r="AO220" s="166"/>
      <c r="AP220" s="166"/>
      <c r="AQ220" s="166"/>
      <c r="AR220" s="166"/>
      <c r="AS220" s="166"/>
      <c r="AT220" s="166"/>
      <c r="AU220" s="180"/>
    </row>
    <row r="221" spans="1:47" ht="60" customHeight="1" x14ac:dyDescent="0.35">
      <c r="A221" s="177" t="s">
        <v>4205</v>
      </c>
      <c r="B221" s="151" t="s">
        <v>4226</v>
      </c>
      <c r="C221" s="152" t="s">
        <v>4229</v>
      </c>
      <c r="D221" s="155" t="s">
        <v>4230</v>
      </c>
      <c r="E221" s="158" t="s">
        <v>4231</v>
      </c>
      <c r="F221" s="161" t="s">
        <v>3677</v>
      </c>
      <c r="G221" s="164" t="str">
        <f>IF(COUNTIF(H221:AU221,"&lt;&gt;")=0,"",SUMPRODUCT(((Recommendations[ImplStatus]="Implemented")+(Recommendations[ImplStatus]="Compensated"))*ISNUMBER(MATCH(Recommendations[Id],H221:AU221,0)))/COUNTIF(H221:AU221,"&lt;&gt;"))</f>
        <v/>
      </c>
      <c r="H221" s="167"/>
      <c r="I221" s="167"/>
      <c r="J221" s="167"/>
      <c r="K221" s="167"/>
      <c r="L221" s="167"/>
      <c r="M221" s="167"/>
      <c r="N221" s="167"/>
      <c r="O221" s="167"/>
      <c r="P221" s="167"/>
      <c r="Q221" s="167"/>
      <c r="R221" s="167"/>
      <c r="S221" s="167"/>
      <c r="T221" s="167"/>
      <c r="U221" s="167"/>
      <c r="V221" s="167"/>
      <c r="W221" s="167"/>
      <c r="X221" s="167"/>
      <c r="Y221" s="167"/>
      <c r="Z221" s="167"/>
      <c r="AA221" s="167"/>
      <c r="AB221" s="167"/>
      <c r="AC221" s="167"/>
      <c r="AD221" s="167"/>
      <c r="AE221" s="167"/>
      <c r="AF221" s="167"/>
      <c r="AG221" s="167"/>
      <c r="AH221" s="167"/>
      <c r="AI221" s="167"/>
      <c r="AJ221" s="167"/>
      <c r="AK221" s="167"/>
      <c r="AL221" s="167"/>
      <c r="AM221" s="167"/>
      <c r="AN221" s="167"/>
      <c r="AO221" s="167"/>
      <c r="AP221" s="167"/>
      <c r="AQ221" s="167"/>
      <c r="AR221" s="167"/>
      <c r="AS221" s="167"/>
      <c r="AT221" s="167"/>
      <c r="AU221" s="181"/>
    </row>
    <row r="222" spans="1:47" ht="60" customHeight="1" x14ac:dyDescent="0.35">
      <c r="A222" s="177" t="s">
        <v>4205</v>
      </c>
      <c r="B222" s="151" t="s">
        <v>4226</v>
      </c>
      <c r="C222" s="152" t="s">
        <v>4232</v>
      </c>
      <c r="D222" s="155" t="s">
        <v>4233</v>
      </c>
      <c r="E222" s="158" t="s">
        <v>4234</v>
      </c>
      <c r="F222" s="161" t="s">
        <v>3677</v>
      </c>
      <c r="G222" s="164" t="str">
        <f>IF(COUNTIF(H222:AU222,"&lt;&gt;")=0,"",SUMPRODUCT(((Recommendations[ImplStatus]="Implemented")+(Recommendations[ImplStatus]="Compensated"))*ISNUMBER(MATCH(Recommendations[Id],H222:AU222,0)))/COUNTIF(H222:AU222,"&lt;&gt;"))</f>
        <v/>
      </c>
      <c r="H222" s="167"/>
      <c r="I222" s="167"/>
      <c r="J222" s="167"/>
      <c r="K222" s="167"/>
      <c r="L222" s="167"/>
      <c r="M222" s="167"/>
      <c r="N222" s="167"/>
      <c r="O222" s="167"/>
      <c r="P222" s="167"/>
      <c r="Q222" s="167"/>
      <c r="R222" s="167"/>
      <c r="S222" s="167"/>
      <c r="T222" s="167"/>
      <c r="U222" s="167"/>
      <c r="V222" s="167"/>
      <c r="W222" s="167"/>
      <c r="X222" s="167"/>
      <c r="Y222" s="167"/>
      <c r="Z222" s="167"/>
      <c r="AA222" s="167"/>
      <c r="AB222" s="167"/>
      <c r="AC222" s="167"/>
      <c r="AD222" s="167"/>
      <c r="AE222" s="167"/>
      <c r="AF222" s="167"/>
      <c r="AG222" s="167"/>
      <c r="AH222" s="167"/>
      <c r="AI222" s="167"/>
      <c r="AJ222" s="167"/>
      <c r="AK222" s="167"/>
      <c r="AL222" s="167"/>
      <c r="AM222" s="167"/>
      <c r="AN222" s="167"/>
      <c r="AO222" s="167"/>
      <c r="AP222" s="167"/>
      <c r="AQ222" s="167"/>
      <c r="AR222" s="167"/>
      <c r="AS222" s="167"/>
      <c r="AT222" s="167"/>
      <c r="AU222" s="181"/>
    </row>
    <row r="223" spans="1:47" ht="60" customHeight="1" x14ac:dyDescent="0.35">
      <c r="A223" s="177" t="s">
        <v>4205</v>
      </c>
      <c r="B223" s="151" t="s">
        <v>4226</v>
      </c>
      <c r="C223" s="152" t="s">
        <v>4235</v>
      </c>
      <c r="D223" s="155" t="s">
        <v>4236</v>
      </c>
      <c r="E223" s="158" t="s">
        <v>4237</v>
      </c>
      <c r="F223" s="161" t="s">
        <v>3677</v>
      </c>
      <c r="G223" s="164" t="str">
        <f>IF(COUNTIF(H223:AU223,"&lt;&gt;")=0,"",SUMPRODUCT(((Recommendations[ImplStatus]="Implemented")+(Recommendations[ImplStatus]="Compensated"))*ISNUMBER(MATCH(Recommendations[Id],H223:AU223,0)))/COUNTIF(H223:AU223,"&lt;&gt;"))</f>
        <v/>
      </c>
      <c r="H223" s="167"/>
      <c r="I223" s="167"/>
      <c r="J223" s="167"/>
      <c r="K223" s="167"/>
      <c r="L223" s="167"/>
      <c r="M223" s="167"/>
      <c r="N223" s="167"/>
      <c r="O223" s="167"/>
      <c r="P223" s="167"/>
      <c r="Q223" s="167"/>
      <c r="R223" s="167"/>
      <c r="S223" s="167"/>
      <c r="T223" s="167"/>
      <c r="U223" s="167"/>
      <c r="V223" s="167"/>
      <c r="W223" s="167"/>
      <c r="X223" s="167"/>
      <c r="Y223" s="167"/>
      <c r="Z223" s="167"/>
      <c r="AA223" s="167"/>
      <c r="AB223" s="167"/>
      <c r="AC223" s="167"/>
      <c r="AD223" s="167"/>
      <c r="AE223" s="167"/>
      <c r="AF223" s="167"/>
      <c r="AG223" s="167"/>
      <c r="AH223" s="167"/>
      <c r="AI223" s="167"/>
      <c r="AJ223" s="167"/>
      <c r="AK223" s="167"/>
      <c r="AL223" s="167"/>
      <c r="AM223" s="167"/>
      <c r="AN223" s="167"/>
      <c r="AO223" s="167"/>
      <c r="AP223" s="167"/>
      <c r="AQ223" s="167"/>
      <c r="AR223" s="167"/>
      <c r="AS223" s="167"/>
      <c r="AT223" s="167"/>
      <c r="AU223" s="181"/>
    </row>
    <row r="224" spans="1:47" ht="60" customHeight="1" x14ac:dyDescent="0.35">
      <c r="A224" s="177" t="s">
        <v>4205</v>
      </c>
      <c r="B224" s="151" t="s">
        <v>4226</v>
      </c>
      <c r="C224" s="152" t="s">
        <v>4238</v>
      </c>
      <c r="D224" s="155" t="s">
        <v>4239</v>
      </c>
      <c r="E224" s="158" t="s">
        <v>4240</v>
      </c>
      <c r="F224" s="161" t="s">
        <v>3677</v>
      </c>
      <c r="G224" s="164" t="str">
        <f>IF(COUNTIF(H224:AU224,"&lt;&gt;")=0,"",SUMPRODUCT(((Recommendations[ImplStatus]="Implemented")+(Recommendations[ImplStatus]="Compensated"))*ISNUMBER(MATCH(Recommendations[Id],H224:AU224,0)))/COUNTIF(H224:AU224,"&lt;&gt;"))</f>
        <v/>
      </c>
      <c r="H224" s="167"/>
      <c r="I224" s="167"/>
      <c r="J224" s="167"/>
      <c r="K224" s="167"/>
      <c r="L224" s="167"/>
      <c r="M224" s="167"/>
      <c r="N224" s="167"/>
      <c r="O224" s="167"/>
      <c r="P224" s="167"/>
      <c r="Q224" s="167"/>
      <c r="R224" s="167"/>
      <c r="S224" s="167"/>
      <c r="T224" s="167"/>
      <c r="U224" s="167"/>
      <c r="V224" s="167"/>
      <c r="W224" s="167"/>
      <c r="X224" s="167"/>
      <c r="Y224" s="167"/>
      <c r="Z224" s="167"/>
      <c r="AA224" s="167"/>
      <c r="AB224" s="167"/>
      <c r="AC224" s="167"/>
      <c r="AD224" s="167"/>
      <c r="AE224" s="167"/>
      <c r="AF224" s="167"/>
      <c r="AG224" s="167"/>
      <c r="AH224" s="167"/>
      <c r="AI224" s="167"/>
      <c r="AJ224" s="167"/>
      <c r="AK224" s="167"/>
      <c r="AL224" s="167"/>
      <c r="AM224" s="167"/>
      <c r="AN224" s="167"/>
      <c r="AO224" s="167"/>
      <c r="AP224" s="167"/>
      <c r="AQ224" s="167"/>
      <c r="AR224" s="167"/>
      <c r="AS224" s="167"/>
      <c r="AT224" s="167"/>
      <c r="AU224" s="181"/>
    </row>
    <row r="225" spans="1:47" ht="60" customHeight="1" x14ac:dyDescent="0.35">
      <c r="A225" s="177" t="s">
        <v>4205</v>
      </c>
      <c r="B225" s="151" t="s">
        <v>4226</v>
      </c>
      <c r="C225" s="152" t="s">
        <v>4241</v>
      </c>
      <c r="D225" s="155" t="s">
        <v>4242</v>
      </c>
      <c r="E225" s="158" t="s">
        <v>4243</v>
      </c>
      <c r="F225" s="161" t="s">
        <v>3677</v>
      </c>
      <c r="G225" s="164" t="str">
        <f>IF(COUNTIF(H225:AU225,"&lt;&gt;")=0,"",SUMPRODUCT(((Recommendations[ImplStatus]="Implemented")+(Recommendations[ImplStatus]="Compensated"))*ISNUMBER(MATCH(Recommendations[Id],H225:AU225,0)))/COUNTIF(H225:AU225,"&lt;&gt;"))</f>
        <v/>
      </c>
      <c r="H225" s="167"/>
      <c r="I225" s="167"/>
      <c r="J225" s="167"/>
      <c r="K225" s="167"/>
      <c r="L225" s="167"/>
      <c r="M225" s="167"/>
      <c r="N225" s="167"/>
      <c r="O225" s="167"/>
      <c r="P225" s="167"/>
      <c r="Q225" s="167"/>
      <c r="R225" s="167"/>
      <c r="S225" s="167"/>
      <c r="T225" s="167"/>
      <c r="U225" s="167"/>
      <c r="V225" s="167"/>
      <c r="W225" s="167"/>
      <c r="X225" s="167"/>
      <c r="Y225" s="167"/>
      <c r="Z225" s="167"/>
      <c r="AA225" s="167"/>
      <c r="AB225" s="167"/>
      <c r="AC225" s="167"/>
      <c r="AD225" s="167"/>
      <c r="AE225" s="167"/>
      <c r="AF225" s="167"/>
      <c r="AG225" s="167"/>
      <c r="AH225" s="167"/>
      <c r="AI225" s="167"/>
      <c r="AJ225" s="167"/>
      <c r="AK225" s="167"/>
      <c r="AL225" s="167"/>
      <c r="AM225" s="167"/>
      <c r="AN225" s="167"/>
      <c r="AO225" s="167"/>
      <c r="AP225" s="167"/>
      <c r="AQ225" s="167"/>
      <c r="AR225" s="167"/>
      <c r="AS225" s="167"/>
      <c r="AT225" s="167"/>
      <c r="AU225" s="181"/>
    </row>
    <row r="226" spans="1:47" ht="60" customHeight="1" x14ac:dyDescent="0.35">
      <c r="A226" s="178" t="s">
        <v>4205</v>
      </c>
      <c r="B226" s="168" t="s">
        <v>4226</v>
      </c>
      <c r="C226" s="169" t="s">
        <v>4244</v>
      </c>
      <c r="D226" s="170" t="s">
        <v>4245</v>
      </c>
      <c r="E226" s="171" t="s">
        <v>4246</v>
      </c>
      <c r="F226" s="172" t="s">
        <v>3677</v>
      </c>
      <c r="G226" s="173" t="str">
        <f>IF(COUNTIF(H226:AU226,"&lt;&gt;")=0,"",SUMPRODUCT(((Recommendations[ImplStatus]="Implemented")+(Recommendations[ImplStatus]="Compensated"))*ISNUMBER(MATCH(Recommendations[Id],H226:AU226,0)))/COUNTIF(H226:AU226,"&lt;&gt;"))</f>
        <v/>
      </c>
      <c r="H226" s="174"/>
      <c r="I226" s="174"/>
      <c r="J226" s="174"/>
      <c r="K226" s="174"/>
      <c r="L226" s="174"/>
      <c r="M226" s="174"/>
      <c r="N226" s="174"/>
      <c r="O226" s="174"/>
      <c r="P226" s="174"/>
      <c r="Q226" s="174"/>
      <c r="R226" s="174"/>
      <c r="S226" s="174"/>
      <c r="T226" s="174"/>
      <c r="U226" s="174"/>
      <c r="V226" s="174"/>
      <c r="W226" s="174"/>
      <c r="X226" s="174"/>
      <c r="Y226" s="174"/>
      <c r="Z226" s="174"/>
      <c r="AA226" s="174"/>
      <c r="AB226" s="174"/>
      <c r="AC226" s="174"/>
      <c r="AD226" s="174"/>
      <c r="AE226" s="174"/>
      <c r="AF226" s="174"/>
      <c r="AG226" s="174"/>
      <c r="AH226" s="174"/>
      <c r="AI226" s="174"/>
      <c r="AJ226" s="174"/>
      <c r="AK226" s="174"/>
      <c r="AL226" s="174"/>
      <c r="AM226" s="174"/>
      <c r="AN226" s="174"/>
      <c r="AO226" s="174"/>
      <c r="AP226" s="174"/>
      <c r="AQ226" s="174"/>
      <c r="AR226" s="174"/>
      <c r="AS226" s="174"/>
      <c r="AT226" s="174"/>
      <c r="AU226" s="182"/>
    </row>
    <row r="230" spans="1:47" ht="32" customHeight="1" x14ac:dyDescent="0.35">
      <c r="A230" s="288" t="s">
        <v>1787</v>
      </c>
      <c r="B230" s="288"/>
      <c r="C230" s="288"/>
      <c r="D230" s="288"/>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IFERROR(INDEX('Recommendations'!$G$2:$G$376, MATCH(H2,'Recommendations'!$A$2:$A$376,0))="Implemented", FALSE))</xm:f>
            <x14:dxf>
              <font>
                <color rgb="FF000000"/>
              </font>
              <fill>
                <patternFill>
                  <bgColor rgb="FF3C7D22"/>
                </patternFill>
              </fill>
            </x14:dxf>
          </x14:cfRule>
          <x14:cfRule type="expression" priority="2" id="{00000000-000E-0000-0700-000002000000}">
            <xm:f>AND(H2&lt;&gt;"", IFERROR(INDEX('Recommendations'!$G$2:$G$376, MATCH(H2,'Recommendations'!$A$2:$A$376,0))="Compensated", FALSE))</xm:f>
            <x14:dxf>
              <font>
                <color rgb="FF000000"/>
              </font>
              <fill>
                <patternFill>
                  <bgColor rgb="FFC6E0B4"/>
                </patternFill>
              </fill>
            </x14:dxf>
          </x14:cfRule>
          <x14:cfRule type="expression" priority="3" id="{00000000-000E-0000-0700-000003000000}">
            <xm:f>AND(H2&lt;&gt;"", IFERROR(INDEX('Recommendations'!$G$2:$G$376, MATCH(H2,'Recommendations'!$A$2:$A$376,0))="Testing", FALSE))</xm:f>
            <x14:dxf>
              <font>
                <color rgb="FF000000"/>
              </font>
              <fill>
                <patternFill>
                  <bgColor rgb="FFFFC000"/>
                </patternFill>
              </fill>
            </x14:dxf>
          </x14:cfRule>
          <x14:cfRule type="expression" priority="4" id="{00000000-000E-0000-0700-000004000000}">
            <xm:f>AND(H2&lt;&gt;"", IFERROR(INDEX('Recommendations'!$G$2:$G$376, MATCH(H2,'Recommendations'!$A$2:$A$376,0))="Failed", FALSE))</xm:f>
            <x14:dxf>
              <font>
                <color rgb="FF000000"/>
              </font>
              <fill>
                <patternFill>
                  <bgColor rgb="FFD82891"/>
                </patternFill>
              </fill>
            </x14:dxf>
          </x14:cfRule>
          <x14:cfRule type="expression" priority="5" id="{00000000-000E-0000-0700-000005000000}">
            <xm:f>AND(H2&lt;&gt;"", IFERROR(INDEX('Recommendations'!$G$2:$G$376, MATCH(H2,'Recommendations'!$A$2:$A$376,0))="Risk Accepted", FALSE))</xm:f>
            <x14:dxf>
              <font>
                <color rgb="FF000000"/>
              </font>
              <fill>
                <patternFill>
                  <bgColor rgb="FFD9D9D9"/>
                </patternFill>
              </fill>
            </x14:dxf>
          </x14:cfRule>
          <x14:cfRule type="expression" priority="6" id="{00000000-000E-0000-0700-000006000000}">
            <xm:f>AND(H2&lt;&gt;"", IFERROR(INDEX('Recommendations'!$G$2:$G$376, MATCH(H2,'Recommendations'!$A$2:$A$376,0))="N/A",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6" t="s">
        <v>3664</v>
      </c>
      <c r="B1" s="207" t="s">
        <v>4247</v>
      </c>
      <c r="C1" s="207" t="s">
        <v>4248</v>
      </c>
      <c r="D1" s="207" t="s">
        <v>4249</v>
      </c>
      <c r="E1" s="207" t="s">
        <v>2973</v>
      </c>
      <c r="F1" s="207" t="s">
        <v>2032</v>
      </c>
      <c r="G1" s="207" t="s">
        <v>2033</v>
      </c>
      <c r="H1" s="207" t="s">
        <v>2034</v>
      </c>
      <c r="I1" s="207" t="s">
        <v>2035</v>
      </c>
      <c r="J1" s="207" t="s">
        <v>2036</v>
      </c>
      <c r="K1" s="207" t="s">
        <v>2037</v>
      </c>
      <c r="L1" s="207" t="s">
        <v>2038</v>
      </c>
      <c r="M1" s="207" t="s">
        <v>2039</v>
      </c>
      <c r="N1" s="207" t="s">
        <v>2040</v>
      </c>
      <c r="O1" s="207" t="s">
        <v>2041</v>
      </c>
      <c r="P1" s="207" t="s">
        <v>2042</v>
      </c>
      <c r="Q1" s="207" t="s">
        <v>2043</v>
      </c>
      <c r="R1" s="207" t="s">
        <v>2044</v>
      </c>
      <c r="S1" s="207" t="s">
        <v>2045</v>
      </c>
      <c r="T1" s="207" t="s">
        <v>2046</v>
      </c>
      <c r="U1" s="207" t="s">
        <v>2047</v>
      </c>
      <c r="V1" s="207" t="s">
        <v>2048</v>
      </c>
      <c r="W1" s="207" t="s">
        <v>2049</v>
      </c>
      <c r="X1" s="207" t="s">
        <v>2050</v>
      </c>
      <c r="Y1" s="207" t="s">
        <v>2051</v>
      </c>
      <c r="Z1" s="207" t="s">
        <v>2052</v>
      </c>
      <c r="AA1" s="207" t="s">
        <v>2053</v>
      </c>
      <c r="AB1" s="207" t="s">
        <v>2054</v>
      </c>
      <c r="AC1" s="207" t="s">
        <v>2055</v>
      </c>
      <c r="AD1" s="207" t="s">
        <v>2056</v>
      </c>
      <c r="AE1" s="207" t="s">
        <v>2057</v>
      </c>
      <c r="AF1" s="207" t="s">
        <v>2058</v>
      </c>
      <c r="AG1" s="207" t="s">
        <v>2059</v>
      </c>
      <c r="AH1" s="207" t="s">
        <v>2060</v>
      </c>
      <c r="AI1" s="207" t="s">
        <v>2061</v>
      </c>
      <c r="AJ1" s="207" t="s">
        <v>2062</v>
      </c>
      <c r="AK1" s="207" t="s">
        <v>2063</v>
      </c>
      <c r="AL1" s="207" t="s">
        <v>2064</v>
      </c>
      <c r="AM1" s="207" t="s">
        <v>2065</v>
      </c>
      <c r="AN1" s="207" t="s">
        <v>2066</v>
      </c>
      <c r="AO1" s="207" t="s">
        <v>2067</v>
      </c>
      <c r="AP1" s="207" t="s">
        <v>2068</v>
      </c>
      <c r="AQ1" s="207" t="s">
        <v>2069</v>
      </c>
      <c r="AR1" s="207" t="s">
        <v>2070</v>
      </c>
      <c r="AS1" s="207" t="s">
        <v>2071</v>
      </c>
      <c r="AT1" s="208" t="s">
        <v>2072</v>
      </c>
    </row>
    <row r="2" spans="1:46" ht="60" customHeight="1" outlineLevel="1" x14ac:dyDescent="0.35">
      <c r="A2" s="200" t="s">
        <v>1874</v>
      </c>
      <c r="B2" s="186" t="s">
        <v>4250</v>
      </c>
      <c r="C2" s="186"/>
      <c r="D2" s="189" t="s">
        <v>4251</v>
      </c>
      <c r="E2" s="189"/>
      <c r="F2" s="191" t="str">
        <f>IF(COUNTIF(G2:AT2,"&lt;&gt;")=0,"",SUMPRODUCT(((Recommendations[ImplStatus]="Implemented")+(Recommendations[ImplStatus]="Compensated"))*ISNUMBER(MATCH(Recommendations[Id],G2:AT2,0)))/COUNTIF(G2:AT2,"&lt;&gt;"))</f>
        <v/>
      </c>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203"/>
    </row>
    <row r="3" spans="1:46" ht="60" customHeight="1" x14ac:dyDescent="0.35">
      <c r="A3" s="201" t="s">
        <v>1874</v>
      </c>
      <c r="B3" s="187" t="s">
        <v>4250</v>
      </c>
      <c r="C3" s="188" t="s">
        <v>4252</v>
      </c>
      <c r="D3" s="190" t="s">
        <v>4253</v>
      </c>
      <c r="E3" s="190" t="s">
        <v>4254</v>
      </c>
      <c r="F3" s="192" t="str">
        <f>IF(COUNTIF(G3:AT3,"&lt;&gt;")=0,"",SUMPRODUCT(((Recommendations[ImplStatus]="Implemented")+(Recommendations[ImplStatus]="Compensated"))*ISNUMBER(MATCH(Recommendations[Id],G3:AT3,0)))/COUNTIF(G3:AT3,"&lt;&gt;"))</f>
        <v/>
      </c>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204"/>
    </row>
    <row r="4" spans="1:46" ht="60" customHeight="1" x14ac:dyDescent="0.35">
      <c r="A4" s="201" t="s">
        <v>1874</v>
      </c>
      <c r="B4" s="187" t="s">
        <v>4250</v>
      </c>
      <c r="C4" s="188" t="s">
        <v>4255</v>
      </c>
      <c r="D4" s="190" t="s">
        <v>4256</v>
      </c>
      <c r="E4" s="190" t="s">
        <v>4257</v>
      </c>
      <c r="F4" s="192" t="str">
        <f>IF(COUNTIF(G4:AT4,"&lt;&gt;")=0,"",SUMPRODUCT(((Recommendations[ImplStatus]="Implemented")+(Recommendations[ImplStatus]="Compensated"))*ISNUMBER(MATCH(Recommendations[Id],G4:AT4,0)))/COUNTIF(G4:AT4,"&lt;&gt;"))</f>
        <v/>
      </c>
      <c r="G4" s="194"/>
      <c r="H4" s="194"/>
      <c r="I4" s="194"/>
      <c r="J4" s="194"/>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c r="AR4" s="194"/>
      <c r="AS4" s="194"/>
      <c r="AT4" s="204"/>
    </row>
    <row r="5" spans="1:46" ht="60" customHeight="1" x14ac:dyDescent="0.35">
      <c r="A5" s="201" t="s">
        <v>1874</v>
      </c>
      <c r="B5" s="187" t="s">
        <v>4250</v>
      </c>
      <c r="C5" s="188" t="s">
        <v>4258</v>
      </c>
      <c r="D5" s="190" t="s">
        <v>4259</v>
      </c>
      <c r="E5" s="190" t="s">
        <v>4260</v>
      </c>
      <c r="F5" s="192" t="str">
        <f>IF(COUNTIF(G5:AT5,"&lt;&gt;")=0,"",SUMPRODUCT(((Recommendations[ImplStatus]="Implemented")+(Recommendations[ImplStatus]="Compensated"))*ISNUMBER(MATCH(Recommendations[Id],G5:AT5,0)))/COUNTIF(G5:AT5,"&lt;&gt;"))</f>
        <v/>
      </c>
      <c r="G5" s="194"/>
      <c r="H5" s="194"/>
      <c r="I5" s="194"/>
      <c r="J5" s="194"/>
      <c r="K5" s="194"/>
      <c r="L5" s="194"/>
      <c r="M5" s="194"/>
      <c r="N5" s="194"/>
      <c r="O5" s="194"/>
      <c r="P5" s="194"/>
      <c r="Q5" s="194"/>
      <c r="R5" s="194"/>
      <c r="S5" s="194"/>
      <c r="T5" s="194"/>
      <c r="U5" s="194"/>
      <c r="V5" s="194"/>
      <c r="W5" s="194"/>
      <c r="X5" s="194"/>
      <c r="Y5" s="194"/>
      <c r="Z5" s="194"/>
      <c r="AA5" s="194"/>
      <c r="AB5" s="194"/>
      <c r="AC5" s="194"/>
      <c r="AD5" s="194"/>
      <c r="AE5" s="194"/>
      <c r="AF5" s="194"/>
      <c r="AG5" s="194"/>
      <c r="AH5" s="194"/>
      <c r="AI5" s="194"/>
      <c r="AJ5" s="194"/>
      <c r="AK5" s="194"/>
      <c r="AL5" s="194"/>
      <c r="AM5" s="194"/>
      <c r="AN5" s="194"/>
      <c r="AO5" s="194"/>
      <c r="AP5" s="194"/>
      <c r="AQ5" s="194"/>
      <c r="AR5" s="194"/>
      <c r="AS5" s="194"/>
      <c r="AT5" s="204"/>
    </row>
    <row r="6" spans="1:46" ht="60" customHeight="1" x14ac:dyDescent="0.35">
      <c r="A6" s="201" t="s">
        <v>1874</v>
      </c>
      <c r="B6" s="187" t="s">
        <v>4250</v>
      </c>
      <c r="C6" s="188" t="s">
        <v>4261</v>
      </c>
      <c r="D6" s="190" t="s">
        <v>4262</v>
      </c>
      <c r="E6" s="190" t="s">
        <v>4263</v>
      </c>
      <c r="F6" s="192" t="str">
        <f>IF(COUNTIF(G6:AT6,"&lt;&gt;")=0,"",SUMPRODUCT(((Recommendations[ImplStatus]="Implemented")+(Recommendations[ImplStatus]="Compensated"))*ISNUMBER(MATCH(Recommendations[Id],G6:AT6,0)))/COUNTIF(G6:AT6,"&lt;&gt;"))</f>
        <v/>
      </c>
      <c r="G6" s="194"/>
      <c r="H6" s="194"/>
      <c r="I6" s="194"/>
      <c r="J6" s="194"/>
      <c r="K6" s="194"/>
      <c r="L6" s="194"/>
      <c r="M6" s="194"/>
      <c r="N6" s="194"/>
      <c r="O6" s="194"/>
      <c r="P6" s="194"/>
      <c r="Q6" s="194"/>
      <c r="R6" s="194"/>
      <c r="S6" s="194"/>
      <c r="T6" s="194"/>
      <c r="U6" s="194"/>
      <c r="V6" s="194"/>
      <c r="W6" s="194"/>
      <c r="X6" s="194"/>
      <c r="Y6" s="194"/>
      <c r="Z6" s="194"/>
      <c r="AA6" s="194"/>
      <c r="AB6" s="194"/>
      <c r="AC6" s="194"/>
      <c r="AD6" s="194"/>
      <c r="AE6" s="194"/>
      <c r="AF6" s="194"/>
      <c r="AG6" s="194"/>
      <c r="AH6" s="194"/>
      <c r="AI6" s="194"/>
      <c r="AJ6" s="194"/>
      <c r="AK6" s="194"/>
      <c r="AL6" s="194"/>
      <c r="AM6" s="194"/>
      <c r="AN6" s="194"/>
      <c r="AO6" s="194"/>
      <c r="AP6" s="194"/>
      <c r="AQ6" s="194"/>
      <c r="AR6" s="194"/>
      <c r="AS6" s="194"/>
      <c r="AT6" s="204"/>
    </row>
    <row r="7" spans="1:46" ht="60" customHeight="1" x14ac:dyDescent="0.35">
      <c r="A7" s="201" t="s">
        <v>1874</v>
      </c>
      <c r="B7" s="187" t="s">
        <v>4250</v>
      </c>
      <c r="C7" s="188" t="s">
        <v>4264</v>
      </c>
      <c r="D7" s="190" t="s">
        <v>4265</v>
      </c>
      <c r="E7" s="190" t="s">
        <v>4266</v>
      </c>
      <c r="F7" s="192" t="str">
        <f>IF(COUNTIF(G7:AT7,"&lt;&gt;")=0,"",SUMPRODUCT(((Recommendations[ImplStatus]="Implemented")+(Recommendations[ImplStatus]="Compensated"))*ISNUMBER(MATCH(Recommendations[Id],G7:AT7,0)))/COUNTIF(G7:AT7,"&lt;&gt;"))</f>
        <v/>
      </c>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94"/>
      <c r="AR7" s="194"/>
      <c r="AS7" s="194"/>
      <c r="AT7" s="204"/>
    </row>
    <row r="8" spans="1:46" ht="60" customHeight="1" x14ac:dyDescent="0.35">
      <c r="A8" s="201" t="s">
        <v>1874</v>
      </c>
      <c r="B8" s="187" t="s">
        <v>4250</v>
      </c>
      <c r="C8" s="188" t="s">
        <v>4267</v>
      </c>
      <c r="D8" s="190" t="s">
        <v>4268</v>
      </c>
      <c r="E8" s="190" t="s">
        <v>4269</v>
      </c>
      <c r="F8" s="192" t="str">
        <f>IF(COUNTIF(G8:AT8,"&lt;&gt;")=0,"",SUMPRODUCT(((Recommendations[ImplStatus]="Implemented")+(Recommendations[ImplStatus]="Compensated"))*ISNUMBER(MATCH(Recommendations[Id],G8:AT8,0)))/COUNTIF(G8:AT8,"&lt;&gt;"))</f>
        <v/>
      </c>
      <c r="G8" s="194"/>
      <c r="H8" s="194"/>
      <c r="I8" s="194"/>
      <c r="J8" s="194"/>
      <c r="K8" s="194"/>
      <c r="L8" s="194"/>
      <c r="M8" s="194"/>
      <c r="N8" s="194"/>
      <c r="O8" s="194"/>
      <c r="P8" s="194"/>
      <c r="Q8" s="194"/>
      <c r="R8" s="194"/>
      <c r="S8" s="194"/>
      <c r="T8" s="194"/>
      <c r="U8" s="194"/>
      <c r="V8" s="194"/>
      <c r="W8" s="194"/>
      <c r="X8" s="194"/>
      <c r="Y8" s="194"/>
      <c r="Z8" s="194"/>
      <c r="AA8" s="194"/>
      <c r="AB8" s="194"/>
      <c r="AC8" s="194"/>
      <c r="AD8" s="194"/>
      <c r="AE8" s="194"/>
      <c r="AF8" s="194"/>
      <c r="AG8" s="194"/>
      <c r="AH8" s="194"/>
      <c r="AI8" s="194"/>
      <c r="AJ8" s="194"/>
      <c r="AK8" s="194"/>
      <c r="AL8" s="194"/>
      <c r="AM8" s="194"/>
      <c r="AN8" s="194"/>
      <c r="AO8" s="194"/>
      <c r="AP8" s="194"/>
      <c r="AQ8" s="194"/>
      <c r="AR8" s="194"/>
      <c r="AS8" s="194"/>
      <c r="AT8" s="204"/>
    </row>
    <row r="9" spans="1:46" ht="60" customHeight="1" x14ac:dyDescent="0.35">
      <c r="A9" s="201" t="s">
        <v>1874</v>
      </c>
      <c r="B9" s="187" t="s">
        <v>4250</v>
      </c>
      <c r="C9" s="188" t="s">
        <v>4270</v>
      </c>
      <c r="D9" s="190" t="s">
        <v>4271</v>
      </c>
      <c r="E9" s="190" t="s">
        <v>4272</v>
      </c>
      <c r="F9" s="192" t="str">
        <f>IF(COUNTIF(G9:AT9,"&lt;&gt;")=0,"",SUMPRODUCT(((Recommendations[ImplStatus]="Implemented")+(Recommendations[ImplStatus]="Compensated"))*ISNUMBER(MATCH(Recommendations[Id],G9:AT9,0)))/COUNTIF(G9:AT9,"&lt;&gt;"))</f>
        <v/>
      </c>
      <c r="G9" s="194"/>
      <c r="H9" s="194"/>
      <c r="I9" s="194"/>
      <c r="J9" s="194"/>
      <c r="K9" s="194"/>
      <c r="L9" s="194"/>
      <c r="M9" s="194"/>
      <c r="N9" s="194"/>
      <c r="O9" s="194"/>
      <c r="P9" s="194"/>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c r="AP9" s="194"/>
      <c r="AQ9" s="194"/>
      <c r="AR9" s="194"/>
      <c r="AS9" s="194"/>
      <c r="AT9" s="204"/>
    </row>
    <row r="10" spans="1:46" ht="60" customHeight="1" x14ac:dyDescent="0.35">
      <c r="A10" s="201" t="s">
        <v>1874</v>
      </c>
      <c r="B10" s="187" t="s">
        <v>4250</v>
      </c>
      <c r="C10" s="188" t="s">
        <v>4273</v>
      </c>
      <c r="D10" s="190" t="s">
        <v>4274</v>
      </c>
      <c r="E10" s="190" t="s">
        <v>4275</v>
      </c>
      <c r="F10" s="192" t="str">
        <f>IF(COUNTIF(G10:AT10,"&lt;&gt;")=0,"",SUMPRODUCT(((Recommendations[ImplStatus]="Implemented")+(Recommendations[ImplStatus]="Compensated"))*ISNUMBER(MATCH(Recommendations[Id],G10:AT10,0)))/COUNTIF(G10:AT10,"&lt;&gt;"))</f>
        <v/>
      </c>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4"/>
      <c r="AF10" s="194"/>
      <c r="AG10" s="194"/>
      <c r="AH10" s="194"/>
      <c r="AI10" s="194"/>
      <c r="AJ10" s="194"/>
      <c r="AK10" s="194"/>
      <c r="AL10" s="194"/>
      <c r="AM10" s="194"/>
      <c r="AN10" s="194"/>
      <c r="AO10" s="194"/>
      <c r="AP10" s="194"/>
      <c r="AQ10" s="194"/>
      <c r="AR10" s="194"/>
      <c r="AS10" s="194"/>
      <c r="AT10" s="204"/>
    </row>
    <row r="11" spans="1:46" ht="60" customHeight="1" x14ac:dyDescent="0.35">
      <c r="A11" s="201" t="s">
        <v>1874</v>
      </c>
      <c r="B11" s="187" t="s">
        <v>4250</v>
      </c>
      <c r="C11" s="188" t="s">
        <v>4276</v>
      </c>
      <c r="D11" s="190" t="s">
        <v>4277</v>
      </c>
      <c r="E11" s="190" t="s">
        <v>4278</v>
      </c>
      <c r="F11" s="192" t="str">
        <f>IF(COUNTIF(G11:AT11,"&lt;&gt;")=0,"",SUMPRODUCT(((Recommendations[ImplStatus]="Implemented")+(Recommendations[ImplStatus]="Compensated"))*ISNUMBER(MATCH(Recommendations[Id],G11:AT11,0)))/COUNTIF(G11:AT11,"&lt;&gt;"))</f>
        <v/>
      </c>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204"/>
    </row>
    <row r="12" spans="1:46" ht="60" customHeight="1" x14ac:dyDescent="0.35">
      <c r="A12" s="201" t="s">
        <v>1874</v>
      </c>
      <c r="B12" s="187" t="s">
        <v>4250</v>
      </c>
      <c r="C12" s="188" t="s">
        <v>4279</v>
      </c>
      <c r="D12" s="190" t="s">
        <v>4280</v>
      </c>
      <c r="E12" s="190" t="s">
        <v>4281</v>
      </c>
      <c r="F12" s="192" t="str">
        <f>IF(COUNTIF(G12:AT12,"&lt;&gt;")=0,"",SUMPRODUCT(((Recommendations[ImplStatus]="Implemented")+(Recommendations[ImplStatus]="Compensated"))*ISNUMBER(MATCH(Recommendations[Id],G12:AT12,0)))/COUNTIF(G12:AT12,"&lt;&gt;"))</f>
        <v/>
      </c>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204"/>
    </row>
    <row r="13" spans="1:46" ht="60" customHeight="1" x14ac:dyDescent="0.35">
      <c r="A13" s="201" t="s">
        <v>1874</v>
      </c>
      <c r="B13" s="187" t="s">
        <v>4250</v>
      </c>
      <c r="C13" s="188" t="s">
        <v>4282</v>
      </c>
      <c r="D13" s="190" t="s">
        <v>4283</v>
      </c>
      <c r="E13" s="190" t="s">
        <v>4284</v>
      </c>
      <c r="F13" s="192" t="str">
        <f>IF(COUNTIF(G13:AT13,"&lt;&gt;")=0,"",SUMPRODUCT(((Recommendations[ImplStatus]="Implemented")+(Recommendations[ImplStatus]="Compensated"))*ISNUMBER(MATCH(Recommendations[Id],G13:AT13,0)))/COUNTIF(G13:AT13,"&lt;&gt;"))</f>
        <v/>
      </c>
      <c r="G13" s="194"/>
      <c r="H13" s="194"/>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4"/>
      <c r="AR13" s="194"/>
      <c r="AS13" s="194"/>
      <c r="AT13" s="204"/>
    </row>
    <row r="14" spans="1:46" ht="60" customHeight="1" x14ac:dyDescent="0.35">
      <c r="A14" s="201" t="s">
        <v>1874</v>
      </c>
      <c r="B14" s="187" t="s">
        <v>4250</v>
      </c>
      <c r="C14" s="188" t="s">
        <v>4285</v>
      </c>
      <c r="D14" s="190" t="s">
        <v>4286</v>
      </c>
      <c r="E14" s="190" t="s">
        <v>4287</v>
      </c>
      <c r="F14" s="192" t="str">
        <f>IF(COUNTIF(G14:AT14,"&lt;&gt;")=0,"",SUMPRODUCT(((Recommendations[ImplStatus]="Implemented")+(Recommendations[ImplStatus]="Compensated"))*ISNUMBER(MATCH(Recommendations[Id],G14:AT14,0)))/COUNTIF(G14:AT14,"&lt;&gt;"))</f>
        <v/>
      </c>
      <c r="G14" s="194"/>
      <c r="H14" s="194"/>
      <c r="I14" s="194"/>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94"/>
      <c r="AR14" s="194"/>
      <c r="AS14" s="194"/>
      <c r="AT14" s="204"/>
    </row>
    <row r="15" spans="1:46" ht="60" customHeight="1" x14ac:dyDescent="0.35">
      <c r="A15" s="201" t="s">
        <v>1874</v>
      </c>
      <c r="B15" s="187" t="s">
        <v>4250</v>
      </c>
      <c r="C15" s="188" t="s">
        <v>4288</v>
      </c>
      <c r="D15" s="190" t="s">
        <v>4289</v>
      </c>
      <c r="E15" s="190" t="s">
        <v>4290</v>
      </c>
      <c r="F15" s="192" t="str">
        <f>IF(COUNTIF(G15:AT15,"&lt;&gt;")=0,"",SUMPRODUCT(((Recommendations[ImplStatus]="Implemented")+(Recommendations[ImplStatus]="Compensated"))*ISNUMBER(MATCH(Recommendations[Id],G15:AT15,0)))/COUNTIF(G15:AT15,"&lt;&gt;"))</f>
        <v/>
      </c>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4"/>
      <c r="AR15" s="194"/>
      <c r="AS15" s="194"/>
      <c r="AT15" s="204"/>
    </row>
    <row r="16" spans="1:46" ht="60" customHeight="1" x14ac:dyDescent="0.35">
      <c r="A16" s="201" t="s">
        <v>1874</v>
      </c>
      <c r="B16" s="187" t="s">
        <v>4250</v>
      </c>
      <c r="C16" s="188" t="s">
        <v>4291</v>
      </c>
      <c r="D16" s="190" t="s">
        <v>4292</v>
      </c>
      <c r="E16" s="190" t="s">
        <v>4293</v>
      </c>
      <c r="F16" s="192" t="str">
        <f>IF(COUNTIF(G16:AT16,"&lt;&gt;")=0,"",SUMPRODUCT(((Recommendations[ImplStatus]="Implemented")+(Recommendations[ImplStatus]="Compensated"))*ISNUMBER(MATCH(Recommendations[Id],G16:AT16,0)))/COUNTIF(G16:AT16,"&lt;&gt;"))</f>
        <v/>
      </c>
      <c r="G16" s="194"/>
      <c r="H16" s="194"/>
      <c r="I16" s="194"/>
      <c r="J16" s="194"/>
      <c r="K16" s="194"/>
      <c r="L16" s="194"/>
      <c r="M16" s="194"/>
      <c r="N16" s="194"/>
      <c r="O16" s="194"/>
      <c r="P16" s="194"/>
      <c r="Q16" s="194"/>
      <c r="R16" s="194"/>
      <c r="S16" s="194"/>
      <c r="T16" s="194"/>
      <c r="U16" s="194"/>
      <c r="V16" s="194"/>
      <c r="W16" s="194"/>
      <c r="X16" s="194"/>
      <c r="Y16" s="194"/>
      <c r="Z16" s="194"/>
      <c r="AA16" s="194"/>
      <c r="AB16" s="194"/>
      <c r="AC16" s="194"/>
      <c r="AD16" s="194"/>
      <c r="AE16" s="194"/>
      <c r="AF16" s="194"/>
      <c r="AG16" s="194"/>
      <c r="AH16" s="194"/>
      <c r="AI16" s="194"/>
      <c r="AJ16" s="194"/>
      <c r="AK16" s="194"/>
      <c r="AL16" s="194"/>
      <c r="AM16" s="194"/>
      <c r="AN16" s="194"/>
      <c r="AO16" s="194"/>
      <c r="AP16" s="194"/>
      <c r="AQ16" s="194"/>
      <c r="AR16" s="194"/>
      <c r="AS16" s="194"/>
      <c r="AT16" s="204"/>
    </row>
    <row r="17" spans="1:46" ht="60" customHeight="1" x14ac:dyDescent="0.35">
      <c r="A17" s="201" t="s">
        <v>1874</v>
      </c>
      <c r="B17" s="187" t="s">
        <v>4250</v>
      </c>
      <c r="C17" s="188" t="s">
        <v>4294</v>
      </c>
      <c r="D17" s="190" t="s">
        <v>4295</v>
      </c>
      <c r="E17" s="190" t="s">
        <v>4296</v>
      </c>
      <c r="F17" s="192" t="str">
        <f>IF(COUNTIF(G17:AT17,"&lt;&gt;")=0,"",SUMPRODUCT(((Recommendations[ImplStatus]="Implemented")+(Recommendations[ImplStatus]="Compensated"))*ISNUMBER(MATCH(Recommendations[Id],G17:AT17,0)))/COUNTIF(G17:AT17,"&lt;&gt;"))</f>
        <v/>
      </c>
      <c r="G17" s="194"/>
      <c r="H17" s="194"/>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4"/>
      <c r="AF17" s="194"/>
      <c r="AG17" s="194"/>
      <c r="AH17" s="194"/>
      <c r="AI17" s="194"/>
      <c r="AJ17" s="194"/>
      <c r="AK17" s="194"/>
      <c r="AL17" s="194"/>
      <c r="AM17" s="194"/>
      <c r="AN17" s="194"/>
      <c r="AO17" s="194"/>
      <c r="AP17" s="194"/>
      <c r="AQ17" s="194"/>
      <c r="AR17" s="194"/>
      <c r="AS17" s="194"/>
      <c r="AT17" s="204"/>
    </row>
    <row r="18" spans="1:46" ht="60" customHeight="1" x14ac:dyDescent="0.35">
      <c r="A18" s="201" t="s">
        <v>1874</v>
      </c>
      <c r="B18" s="187" t="s">
        <v>4250</v>
      </c>
      <c r="C18" s="188" t="s">
        <v>4297</v>
      </c>
      <c r="D18" s="190" t="s">
        <v>4298</v>
      </c>
      <c r="E18" s="190" t="s">
        <v>4299</v>
      </c>
      <c r="F18" s="192" t="str">
        <f>IF(COUNTIF(G18:AT18,"&lt;&gt;")=0,"",SUMPRODUCT(((Recommendations[ImplStatus]="Implemented")+(Recommendations[ImplStatus]="Compensated"))*ISNUMBER(MATCH(Recommendations[Id],G18:AT18,0)))/COUNTIF(G18:AT18,"&lt;&gt;"))</f>
        <v/>
      </c>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204"/>
    </row>
    <row r="19" spans="1:46" ht="60" customHeight="1" outlineLevel="1" x14ac:dyDescent="0.35">
      <c r="A19" s="200" t="s">
        <v>1874</v>
      </c>
      <c r="B19" s="186" t="s">
        <v>4300</v>
      </c>
      <c r="C19" s="186"/>
      <c r="D19" s="189" t="s">
        <v>4301</v>
      </c>
      <c r="E19" s="189"/>
      <c r="F19" s="191" t="str">
        <f>IF(COUNTIF(G19:AT19,"&lt;&gt;")=0,"",SUMPRODUCT(((Recommendations[ImplStatus]="Implemented")+(Recommendations[ImplStatus]="Compensated"))*ISNUMBER(MATCH(Recommendations[Id],G19:AT19,0)))/COUNTIF(G19:AT19,"&lt;&gt;"))</f>
        <v/>
      </c>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c r="AO19" s="193"/>
      <c r="AP19" s="193"/>
      <c r="AQ19" s="193"/>
      <c r="AR19" s="193"/>
      <c r="AS19" s="193"/>
      <c r="AT19" s="203"/>
    </row>
    <row r="20" spans="1:46" ht="60" customHeight="1" x14ac:dyDescent="0.35">
      <c r="A20" s="201" t="s">
        <v>1874</v>
      </c>
      <c r="B20" s="187" t="s">
        <v>4300</v>
      </c>
      <c r="C20" s="188" t="s">
        <v>4302</v>
      </c>
      <c r="D20" s="190" t="s">
        <v>4303</v>
      </c>
      <c r="E20" s="190" t="s">
        <v>4304</v>
      </c>
      <c r="F20" s="192" t="str">
        <f>IF(COUNTIF(G20:AT20,"&lt;&gt;")=0,"",SUMPRODUCT(((Recommendations[ImplStatus]="Implemented")+(Recommendations[ImplStatus]="Compensated"))*ISNUMBER(MATCH(Recommendations[Id],G20:AT20,0)))/COUNTIF(G20:AT20,"&lt;&gt;"))</f>
        <v/>
      </c>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204"/>
    </row>
    <row r="21" spans="1:46" ht="60" customHeight="1" x14ac:dyDescent="0.35">
      <c r="A21" s="201" t="s">
        <v>1874</v>
      </c>
      <c r="B21" s="187" t="s">
        <v>4300</v>
      </c>
      <c r="C21" s="188" t="s">
        <v>4305</v>
      </c>
      <c r="D21" s="190" t="s">
        <v>4306</v>
      </c>
      <c r="E21" s="190" t="s">
        <v>4307</v>
      </c>
      <c r="F21" s="192" t="str">
        <f>IF(COUNTIF(G21:AT21,"&lt;&gt;")=0,"",SUMPRODUCT(((Recommendations[ImplStatus]="Implemented")+(Recommendations[ImplStatus]="Compensated"))*ISNUMBER(MATCH(Recommendations[Id],G21:AT21,0)))/COUNTIF(G21:AT21,"&lt;&gt;"))</f>
        <v/>
      </c>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4"/>
      <c r="AI21" s="194"/>
      <c r="AJ21" s="194"/>
      <c r="AK21" s="194"/>
      <c r="AL21" s="194"/>
      <c r="AM21" s="194"/>
      <c r="AN21" s="194"/>
      <c r="AO21" s="194"/>
      <c r="AP21" s="194"/>
      <c r="AQ21" s="194"/>
      <c r="AR21" s="194"/>
      <c r="AS21" s="194"/>
      <c r="AT21" s="204"/>
    </row>
    <row r="22" spans="1:46" ht="60" customHeight="1" x14ac:dyDescent="0.35">
      <c r="A22" s="201" t="s">
        <v>1874</v>
      </c>
      <c r="B22" s="187" t="s">
        <v>4300</v>
      </c>
      <c r="C22" s="188" t="s">
        <v>4308</v>
      </c>
      <c r="D22" s="190" t="s">
        <v>4309</v>
      </c>
      <c r="E22" s="190" t="s">
        <v>4310</v>
      </c>
      <c r="F22" s="192" t="str">
        <f>IF(COUNTIF(G22:AT22,"&lt;&gt;")=0,"",SUMPRODUCT(((Recommendations[ImplStatus]="Implemented")+(Recommendations[ImplStatus]="Compensated"))*ISNUMBER(MATCH(Recommendations[Id],G22:AT22,0)))/COUNTIF(G22:AT22,"&lt;&gt;"))</f>
        <v/>
      </c>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4"/>
      <c r="AR22" s="194"/>
      <c r="AS22" s="194"/>
      <c r="AT22" s="204"/>
    </row>
    <row r="23" spans="1:46" ht="60" customHeight="1" x14ac:dyDescent="0.35">
      <c r="A23" s="201" t="s">
        <v>1874</v>
      </c>
      <c r="B23" s="187" t="s">
        <v>4300</v>
      </c>
      <c r="C23" s="188" t="s">
        <v>4311</v>
      </c>
      <c r="D23" s="190" t="s">
        <v>4312</v>
      </c>
      <c r="E23" s="190" t="s">
        <v>4313</v>
      </c>
      <c r="F23" s="192" t="str">
        <f>IF(COUNTIF(G23:AT23,"&lt;&gt;")=0,"",SUMPRODUCT(((Recommendations[ImplStatus]="Implemented")+(Recommendations[ImplStatus]="Compensated"))*ISNUMBER(MATCH(Recommendations[Id],G23:AT23,0)))/COUNTIF(G23:AT23,"&lt;&gt;"))</f>
        <v/>
      </c>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194"/>
      <c r="AT23" s="204"/>
    </row>
    <row r="24" spans="1:46" ht="60" customHeight="1" x14ac:dyDescent="0.35">
      <c r="A24" s="201" t="s">
        <v>1874</v>
      </c>
      <c r="B24" s="187" t="s">
        <v>4300</v>
      </c>
      <c r="C24" s="188" t="s">
        <v>4314</v>
      </c>
      <c r="D24" s="190" t="s">
        <v>4315</v>
      </c>
      <c r="E24" s="190" t="s">
        <v>4316</v>
      </c>
      <c r="F24" s="192" t="str">
        <f>IF(COUNTIF(G24:AT24,"&lt;&gt;")=0,"",SUMPRODUCT(((Recommendations[ImplStatus]="Implemented")+(Recommendations[ImplStatus]="Compensated"))*ISNUMBER(MATCH(Recommendations[Id],G24:AT24,0)))/COUNTIF(G24:AT24,"&lt;&gt;"))</f>
        <v/>
      </c>
      <c r="G24" s="194"/>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194"/>
      <c r="AH24" s="194"/>
      <c r="AI24" s="194"/>
      <c r="AJ24" s="194"/>
      <c r="AK24" s="194"/>
      <c r="AL24" s="194"/>
      <c r="AM24" s="194"/>
      <c r="AN24" s="194"/>
      <c r="AO24" s="194"/>
      <c r="AP24" s="194"/>
      <c r="AQ24" s="194"/>
      <c r="AR24" s="194"/>
      <c r="AS24" s="194"/>
      <c r="AT24" s="204"/>
    </row>
    <row r="25" spans="1:46" ht="60" customHeight="1" x14ac:dyDescent="0.35">
      <c r="A25" s="201" t="s">
        <v>1874</v>
      </c>
      <c r="B25" s="187" t="s">
        <v>4300</v>
      </c>
      <c r="C25" s="188" t="s">
        <v>4317</v>
      </c>
      <c r="D25" s="190" t="s">
        <v>4318</v>
      </c>
      <c r="E25" s="190" t="s">
        <v>4319</v>
      </c>
      <c r="F25" s="192" t="str">
        <f>IF(COUNTIF(G25:AT25,"&lt;&gt;")=0,"",SUMPRODUCT(((Recommendations[ImplStatus]="Implemented")+(Recommendations[ImplStatus]="Compensated"))*ISNUMBER(MATCH(Recommendations[Id],G25:AT25,0)))/COUNTIF(G25:AT25,"&lt;&gt;"))</f>
        <v/>
      </c>
      <c r="G25" s="194"/>
      <c r="H25" s="194"/>
      <c r="I25" s="194"/>
      <c r="J25" s="194"/>
      <c r="K25" s="194"/>
      <c r="L25" s="194"/>
      <c r="M25" s="194"/>
      <c r="N25" s="194"/>
      <c r="O25" s="194"/>
      <c r="P25" s="194"/>
      <c r="Q25" s="194"/>
      <c r="R25" s="194"/>
      <c r="S25" s="194"/>
      <c r="T25" s="194"/>
      <c r="U25" s="194"/>
      <c r="V25" s="194"/>
      <c r="W25" s="194"/>
      <c r="X25" s="194"/>
      <c r="Y25" s="194"/>
      <c r="Z25" s="194"/>
      <c r="AA25" s="194"/>
      <c r="AB25" s="194"/>
      <c r="AC25" s="194"/>
      <c r="AD25" s="194"/>
      <c r="AE25" s="194"/>
      <c r="AF25" s="194"/>
      <c r="AG25" s="194"/>
      <c r="AH25" s="194"/>
      <c r="AI25" s="194"/>
      <c r="AJ25" s="194"/>
      <c r="AK25" s="194"/>
      <c r="AL25" s="194"/>
      <c r="AM25" s="194"/>
      <c r="AN25" s="194"/>
      <c r="AO25" s="194"/>
      <c r="AP25" s="194"/>
      <c r="AQ25" s="194"/>
      <c r="AR25" s="194"/>
      <c r="AS25" s="194"/>
      <c r="AT25" s="204"/>
    </row>
    <row r="26" spans="1:46" ht="60" customHeight="1" x14ac:dyDescent="0.35">
      <c r="A26" s="201" t="s">
        <v>1874</v>
      </c>
      <c r="B26" s="187" t="s">
        <v>4300</v>
      </c>
      <c r="C26" s="188" t="s">
        <v>4320</v>
      </c>
      <c r="D26" s="190" t="s">
        <v>4321</v>
      </c>
      <c r="E26" s="190" t="s">
        <v>4322</v>
      </c>
      <c r="F26" s="192" t="str">
        <f>IF(COUNTIF(G26:AT26,"&lt;&gt;")=0,"",SUMPRODUCT(((Recommendations[ImplStatus]="Implemented")+(Recommendations[ImplStatus]="Compensated"))*ISNUMBER(MATCH(Recommendations[Id],G26:AT26,0)))/COUNTIF(G26:AT26,"&lt;&gt;"))</f>
        <v/>
      </c>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4"/>
      <c r="AR26" s="194"/>
      <c r="AS26" s="194"/>
      <c r="AT26" s="204"/>
    </row>
    <row r="27" spans="1:46" ht="60" customHeight="1" x14ac:dyDescent="0.35">
      <c r="A27" s="201" t="s">
        <v>1874</v>
      </c>
      <c r="B27" s="187" t="s">
        <v>4300</v>
      </c>
      <c r="C27" s="188" t="s">
        <v>4323</v>
      </c>
      <c r="D27" s="190" t="s">
        <v>4324</v>
      </c>
      <c r="E27" s="190" t="s">
        <v>4325</v>
      </c>
      <c r="F27" s="192" t="str">
        <f>IF(COUNTIF(G27:AT27,"&lt;&gt;")=0,"",SUMPRODUCT(((Recommendations[ImplStatus]="Implemented")+(Recommendations[ImplStatus]="Compensated"))*ISNUMBER(MATCH(Recommendations[Id],G27:AT27,0)))/COUNTIF(G27:AT27,"&lt;&gt;"))</f>
        <v/>
      </c>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194"/>
      <c r="AT27" s="204"/>
    </row>
    <row r="28" spans="1:46" ht="60" customHeight="1" x14ac:dyDescent="0.35">
      <c r="A28" s="201" t="s">
        <v>1874</v>
      </c>
      <c r="B28" s="187" t="s">
        <v>4300</v>
      </c>
      <c r="C28" s="188" t="s">
        <v>4326</v>
      </c>
      <c r="D28" s="190" t="s">
        <v>4327</v>
      </c>
      <c r="E28" s="190" t="s">
        <v>4328</v>
      </c>
      <c r="F28" s="192" t="str">
        <f>IF(COUNTIF(G28:AT28,"&lt;&gt;")=0,"",SUMPRODUCT(((Recommendations[ImplStatus]="Implemented")+(Recommendations[ImplStatus]="Compensated"))*ISNUMBER(MATCH(Recommendations[Id],G28:AT28,0)))/COUNTIF(G28:AT28,"&lt;&gt;"))</f>
        <v/>
      </c>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194"/>
      <c r="AI28" s="194"/>
      <c r="AJ28" s="194"/>
      <c r="AK28" s="194"/>
      <c r="AL28" s="194"/>
      <c r="AM28" s="194"/>
      <c r="AN28" s="194"/>
      <c r="AO28" s="194"/>
      <c r="AP28" s="194"/>
      <c r="AQ28" s="194"/>
      <c r="AR28" s="194"/>
      <c r="AS28" s="194"/>
      <c r="AT28" s="204"/>
    </row>
    <row r="29" spans="1:46" ht="60" customHeight="1" x14ac:dyDescent="0.35">
      <c r="A29" s="201" t="s">
        <v>1874</v>
      </c>
      <c r="B29" s="187" t="s">
        <v>4300</v>
      </c>
      <c r="C29" s="188" t="s">
        <v>4329</v>
      </c>
      <c r="D29" s="190" t="s">
        <v>4330</v>
      </c>
      <c r="E29" s="190" t="s">
        <v>4331</v>
      </c>
      <c r="F29" s="192" t="str">
        <f>IF(COUNTIF(G29:AT29,"&lt;&gt;")=0,"",SUMPRODUCT(((Recommendations[ImplStatus]="Implemented")+(Recommendations[ImplStatus]="Compensated"))*ISNUMBER(MATCH(Recommendations[Id],G29:AT29,0)))/COUNTIF(G29:AT29,"&lt;&gt;"))</f>
        <v/>
      </c>
      <c r="G29" s="194"/>
      <c r="H29" s="194"/>
      <c r="I29" s="194"/>
      <c r="J29" s="194"/>
      <c r="K29" s="194"/>
      <c r="L29" s="194"/>
      <c r="M29" s="194"/>
      <c r="N29" s="194"/>
      <c r="O29" s="194"/>
      <c r="P29" s="194"/>
      <c r="Q29" s="194"/>
      <c r="R29" s="194"/>
      <c r="S29" s="194"/>
      <c r="T29" s="194"/>
      <c r="U29" s="194"/>
      <c r="V29" s="194"/>
      <c r="W29" s="194"/>
      <c r="X29" s="194"/>
      <c r="Y29" s="194"/>
      <c r="Z29" s="194"/>
      <c r="AA29" s="194"/>
      <c r="AB29" s="194"/>
      <c r="AC29" s="194"/>
      <c r="AD29" s="194"/>
      <c r="AE29" s="194"/>
      <c r="AF29" s="194"/>
      <c r="AG29" s="194"/>
      <c r="AH29" s="194"/>
      <c r="AI29" s="194"/>
      <c r="AJ29" s="194"/>
      <c r="AK29" s="194"/>
      <c r="AL29" s="194"/>
      <c r="AM29" s="194"/>
      <c r="AN29" s="194"/>
      <c r="AO29" s="194"/>
      <c r="AP29" s="194"/>
      <c r="AQ29" s="194"/>
      <c r="AR29" s="194"/>
      <c r="AS29" s="194"/>
      <c r="AT29" s="204"/>
    </row>
    <row r="30" spans="1:46" ht="60" customHeight="1" x14ac:dyDescent="0.35">
      <c r="A30" s="201" t="s">
        <v>1874</v>
      </c>
      <c r="B30" s="187" t="s">
        <v>4300</v>
      </c>
      <c r="C30" s="188" t="s">
        <v>4332</v>
      </c>
      <c r="D30" s="190" t="s">
        <v>4333</v>
      </c>
      <c r="E30" s="190" t="s">
        <v>4334</v>
      </c>
      <c r="F30" s="192" t="str">
        <f>IF(COUNTIF(G30:AT30,"&lt;&gt;")=0,"",SUMPRODUCT(((Recommendations[ImplStatus]="Implemented")+(Recommendations[ImplStatus]="Compensated"))*ISNUMBER(MATCH(Recommendations[Id],G30:AT30,0)))/COUNTIF(G30:AT30,"&lt;&gt;"))</f>
        <v/>
      </c>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4"/>
      <c r="AR30" s="194"/>
      <c r="AS30" s="194"/>
      <c r="AT30" s="204"/>
    </row>
    <row r="31" spans="1:46" ht="60" customHeight="1" x14ac:dyDescent="0.35">
      <c r="A31" s="201" t="s">
        <v>1874</v>
      </c>
      <c r="B31" s="187" t="s">
        <v>4300</v>
      </c>
      <c r="C31" s="188" t="s">
        <v>4335</v>
      </c>
      <c r="D31" s="190" t="s">
        <v>4336</v>
      </c>
      <c r="E31" s="190" t="s">
        <v>4337</v>
      </c>
      <c r="F31" s="192" t="str">
        <f>IF(COUNTIF(G31:AT31,"&lt;&gt;")=0,"",SUMPRODUCT(((Recommendations[ImplStatus]="Implemented")+(Recommendations[ImplStatus]="Compensated"))*ISNUMBER(MATCH(Recommendations[Id],G31:AT31,0)))/COUNTIF(G31:AT31,"&lt;&gt;"))</f>
        <v/>
      </c>
      <c r="G31" s="194"/>
      <c r="H31" s="194"/>
      <c r="I31" s="194"/>
      <c r="J31" s="194"/>
      <c r="K31" s="194"/>
      <c r="L31" s="194"/>
      <c r="M31" s="194"/>
      <c r="N31" s="194"/>
      <c r="O31" s="194"/>
      <c r="P31" s="194"/>
      <c r="Q31" s="194"/>
      <c r="R31" s="194"/>
      <c r="S31" s="194"/>
      <c r="T31" s="194"/>
      <c r="U31" s="194"/>
      <c r="V31" s="194"/>
      <c r="W31" s="194"/>
      <c r="X31" s="194"/>
      <c r="Y31" s="194"/>
      <c r="Z31" s="194"/>
      <c r="AA31" s="194"/>
      <c r="AB31" s="194"/>
      <c r="AC31" s="194"/>
      <c r="AD31" s="194"/>
      <c r="AE31" s="194"/>
      <c r="AF31" s="194"/>
      <c r="AG31" s="194"/>
      <c r="AH31" s="194"/>
      <c r="AI31" s="194"/>
      <c r="AJ31" s="194"/>
      <c r="AK31" s="194"/>
      <c r="AL31" s="194"/>
      <c r="AM31" s="194"/>
      <c r="AN31" s="194"/>
      <c r="AO31" s="194"/>
      <c r="AP31" s="194"/>
      <c r="AQ31" s="194"/>
      <c r="AR31" s="194"/>
      <c r="AS31" s="194"/>
      <c r="AT31" s="204"/>
    </row>
    <row r="32" spans="1:46" ht="60" customHeight="1" outlineLevel="1" x14ac:dyDescent="0.35">
      <c r="A32" s="200" t="s">
        <v>4338</v>
      </c>
      <c r="B32" s="186"/>
      <c r="C32" s="186"/>
      <c r="D32" s="189" t="s">
        <v>4339</v>
      </c>
      <c r="E32" s="189"/>
      <c r="F32" s="191" t="str">
        <f>IF(COUNTIF(G32:AT32,"&lt;&gt;")=0,"",SUMPRODUCT(((Recommendations[ImplStatus]="Implemented")+(Recommendations[ImplStatus]="Compensated"))*ISNUMBER(MATCH(Recommendations[Id],G32:AT32,0)))/COUNTIF(G32:AT32,"&lt;&gt;"))</f>
        <v/>
      </c>
      <c r="G32" s="193"/>
      <c r="H32" s="193"/>
      <c r="I32" s="193"/>
      <c r="J32" s="193"/>
      <c r="K32" s="193"/>
      <c r="L32" s="193"/>
      <c r="M32" s="193"/>
      <c r="N32" s="193"/>
      <c r="O32" s="193"/>
      <c r="P32" s="193"/>
      <c r="Q32" s="193"/>
      <c r="R32" s="193"/>
      <c r="S32" s="193"/>
      <c r="T32" s="193"/>
      <c r="U32" s="193"/>
      <c r="V32" s="193"/>
      <c r="W32" s="193"/>
      <c r="X32" s="193"/>
      <c r="Y32" s="193"/>
      <c r="Z32" s="193"/>
      <c r="AA32" s="193"/>
      <c r="AB32" s="193"/>
      <c r="AC32" s="193"/>
      <c r="AD32" s="193"/>
      <c r="AE32" s="193"/>
      <c r="AF32" s="193"/>
      <c r="AG32" s="193"/>
      <c r="AH32" s="193"/>
      <c r="AI32" s="193"/>
      <c r="AJ32" s="193"/>
      <c r="AK32" s="193"/>
      <c r="AL32" s="193"/>
      <c r="AM32" s="193"/>
      <c r="AN32" s="193"/>
      <c r="AO32" s="193"/>
      <c r="AP32" s="193"/>
      <c r="AQ32" s="193"/>
      <c r="AR32" s="193"/>
      <c r="AS32" s="193"/>
      <c r="AT32" s="203"/>
    </row>
    <row r="33" spans="1:46" ht="60" customHeight="1" x14ac:dyDescent="0.35">
      <c r="A33" s="201" t="s">
        <v>4338</v>
      </c>
      <c r="B33" s="187"/>
      <c r="C33" s="188" t="s">
        <v>4340</v>
      </c>
      <c r="D33" s="190" t="s">
        <v>4341</v>
      </c>
      <c r="E33" s="190" t="s">
        <v>4342</v>
      </c>
      <c r="F33" s="192" t="str">
        <f>IF(COUNTIF(G33:AT33,"&lt;&gt;")=0,"",SUMPRODUCT(((Recommendations[ImplStatus]="Implemented")+(Recommendations[ImplStatus]="Compensated"))*ISNUMBER(MATCH(Recommendations[Id],G33:AT33,0)))/COUNTIF(G33:AT33,"&lt;&gt;"))</f>
        <v/>
      </c>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204"/>
    </row>
    <row r="34" spans="1:46" ht="60" customHeight="1" x14ac:dyDescent="0.35">
      <c r="A34" s="201" t="s">
        <v>4338</v>
      </c>
      <c r="B34" s="187"/>
      <c r="C34" s="188" t="s">
        <v>4343</v>
      </c>
      <c r="D34" s="190" t="s">
        <v>4344</v>
      </c>
      <c r="E34" s="190" t="s">
        <v>4345</v>
      </c>
      <c r="F34" s="192" t="str">
        <f>IF(COUNTIF(G34:AT34,"&lt;&gt;")=0,"",SUMPRODUCT(((Recommendations[ImplStatus]="Implemented")+(Recommendations[ImplStatus]="Compensated"))*ISNUMBER(MATCH(Recommendations[Id],G34:AT34,0)))/COUNTIF(G34:AT34,"&lt;&gt;"))</f>
        <v/>
      </c>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204"/>
    </row>
    <row r="35" spans="1:46" ht="60" customHeight="1" x14ac:dyDescent="0.35">
      <c r="A35" s="201" t="s">
        <v>4338</v>
      </c>
      <c r="B35" s="187"/>
      <c r="C35" s="188" t="s">
        <v>4346</v>
      </c>
      <c r="D35" s="190" t="s">
        <v>4347</v>
      </c>
      <c r="E35" s="190" t="s">
        <v>4348</v>
      </c>
      <c r="F35" s="192" t="str">
        <f>IF(COUNTIF(G35:AT35,"&lt;&gt;")=0,"",SUMPRODUCT(((Recommendations[ImplStatus]="Implemented")+(Recommendations[ImplStatus]="Compensated"))*ISNUMBER(MATCH(Recommendations[Id],G35:AT35,0)))/COUNTIF(G35:AT35,"&lt;&gt;"))</f>
        <v/>
      </c>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204"/>
    </row>
    <row r="36" spans="1:46" ht="60" customHeight="1" outlineLevel="1" x14ac:dyDescent="0.35">
      <c r="A36" s="200" t="s">
        <v>4338</v>
      </c>
      <c r="B36" s="186" t="s">
        <v>4349</v>
      </c>
      <c r="C36" s="186"/>
      <c r="D36" s="189" t="s">
        <v>4350</v>
      </c>
      <c r="E36" s="189"/>
      <c r="F36" s="191" t="str">
        <f>IF(COUNTIF(G36:AT36,"&lt;&gt;")=0,"",SUMPRODUCT(((Recommendations[ImplStatus]="Implemented")+(Recommendations[ImplStatus]="Compensated"))*ISNUMBER(MATCH(Recommendations[Id],G36:AT36,0)))/COUNTIF(G36:AT36,"&lt;&gt;"))</f>
        <v/>
      </c>
      <c r="G36" s="193"/>
      <c r="H36" s="193"/>
      <c r="I36" s="193"/>
      <c r="J36" s="193"/>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203"/>
    </row>
    <row r="37" spans="1:46" ht="60" customHeight="1" x14ac:dyDescent="0.35">
      <c r="A37" s="201" t="s">
        <v>4338</v>
      </c>
      <c r="B37" s="187" t="s">
        <v>4349</v>
      </c>
      <c r="C37" s="188" t="s">
        <v>4351</v>
      </c>
      <c r="D37" s="190" t="s">
        <v>4352</v>
      </c>
      <c r="E37" s="190" t="s">
        <v>4353</v>
      </c>
      <c r="F37" s="192">
        <f>IF(COUNTIF(G37:AT37,"&lt;&gt;")=0,"",SUMPRODUCT(((Recommendations[ImplStatus]="Implemented")+(Recommendations[ImplStatus]="Compensated"))*ISNUMBER(MATCH(Recommendations[Id],G37:AT37,0)))/COUNTIF(G37:AT37,"&lt;&gt;"))</f>
        <v>0</v>
      </c>
      <c r="G37" s="194" t="s">
        <v>1337</v>
      </c>
      <c r="H37" s="194" t="s">
        <v>1342</v>
      </c>
      <c r="I37" s="194" t="s">
        <v>1347</v>
      </c>
      <c r="J37" s="194" t="s">
        <v>1449</v>
      </c>
      <c r="K37" s="194"/>
      <c r="L37" s="194"/>
      <c r="M37" s="194"/>
      <c r="N37" s="194"/>
      <c r="O37" s="194"/>
      <c r="P37" s="194"/>
      <c r="Q37" s="194"/>
      <c r="R37" s="194"/>
      <c r="S37" s="194"/>
      <c r="T37" s="194"/>
      <c r="U37" s="194"/>
      <c r="V37" s="194"/>
      <c r="W37" s="194"/>
      <c r="X37" s="194"/>
      <c r="Y37" s="194"/>
      <c r="Z37" s="194"/>
      <c r="AA37" s="194"/>
      <c r="AB37" s="194"/>
      <c r="AC37" s="194"/>
      <c r="AD37" s="194"/>
      <c r="AE37" s="194"/>
      <c r="AF37" s="194"/>
      <c r="AG37" s="194"/>
      <c r="AH37" s="194"/>
      <c r="AI37" s="194"/>
      <c r="AJ37" s="194"/>
      <c r="AK37" s="194"/>
      <c r="AL37" s="194"/>
      <c r="AM37" s="194"/>
      <c r="AN37" s="194"/>
      <c r="AO37" s="194"/>
      <c r="AP37" s="194"/>
      <c r="AQ37" s="194"/>
      <c r="AR37" s="194"/>
      <c r="AS37" s="194"/>
      <c r="AT37" s="204"/>
    </row>
    <row r="38" spans="1:46" ht="60" customHeight="1" x14ac:dyDescent="0.35">
      <c r="A38" s="201" t="s">
        <v>4338</v>
      </c>
      <c r="B38" s="187" t="s">
        <v>4349</v>
      </c>
      <c r="C38" s="188" t="s">
        <v>4354</v>
      </c>
      <c r="D38" s="190" t="s">
        <v>4355</v>
      </c>
      <c r="E38" s="190" t="s">
        <v>4356</v>
      </c>
      <c r="F38" s="192" t="str">
        <f>IF(COUNTIF(G38:AT38,"&lt;&gt;")=0,"",SUMPRODUCT(((Recommendations[ImplStatus]="Implemented")+(Recommendations[ImplStatus]="Compensated"))*ISNUMBER(MATCH(Recommendations[Id],G38:AT38,0)))/COUNTIF(G38:AT38,"&lt;&gt;"))</f>
        <v/>
      </c>
      <c r="G38" s="194"/>
      <c r="H38" s="194"/>
      <c r="I38" s="194"/>
      <c r="J38" s="194"/>
      <c r="K38" s="194"/>
      <c r="L38" s="194"/>
      <c r="M38" s="194"/>
      <c r="N38" s="194"/>
      <c r="O38" s="194"/>
      <c r="P38" s="194"/>
      <c r="Q38" s="194"/>
      <c r="R38" s="194"/>
      <c r="S38" s="194"/>
      <c r="T38" s="194"/>
      <c r="U38" s="194"/>
      <c r="V38" s="194"/>
      <c r="W38" s="194"/>
      <c r="X38" s="194"/>
      <c r="Y38" s="194"/>
      <c r="Z38" s="194"/>
      <c r="AA38" s="194"/>
      <c r="AB38" s="194"/>
      <c r="AC38" s="194"/>
      <c r="AD38" s="194"/>
      <c r="AE38" s="194"/>
      <c r="AF38" s="194"/>
      <c r="AG38" s="194"/>
      <c r="AH38" s="194"/>
      <c r="AI38" s="194"/>
      <c r="AJ38" s="194"/>
      <c r="AK38" s="194"/>
      <c r="AL38" s="194"/>
      <c r="AM38" s="194"/>
      <c r="AN38" s="194"/>
      <c r="AO38" s="194"/>
      <c r="AP38" s="194"/>
      <c r="AQ38" s="194"/>
      <c r="AR38" s="194"/>
      <c r="AS38" s="194"/>
      <c r="AT38" s="204"/>
    </row>
    <row r="39" spans="1:46" ht="60" customHeight="1" x14ac:dyDescent="0.35">
      <c r="A39" s="201" t="s">
        <v>4338</v>
      </c>
      <c r="B39" s="187" t="s">
        <v>4349</v>
      </c>
      <c r="C39" s="188" t="s">
        <v>4357</v>
      </c>
      <c r="D39" s="190" t="s">
        <v>4358</v>
      </c>
      <c r="E39" s="190" t="s">
        <v>4359</v>
      </c>
      <c r="F39" s="192" t="str">
        <f>IF(COUNTIF(G39:AT39,"&lt;&gt;")=0,"",SUMPRODUCT(((Recommendations[ImplStatus]="Implemented")+(Recommendations[ImplStatus]="Compensated"))*ISNUMBER(MATCH(Recommendations[Id],G39:AT39,0)))/COUNTIF(G39:AT39,"&lt;&gt;"))</f>
        <v/>
      </c>
      <c r="G39" s="194"/>
      <c r="H39" s="194"/>
      <c r="I39" s="194"/>
      <c r="J39" s="194"/>
      <c r="K39" s="194"/>
      <c r="L39" s="194"/>
      <c r="M39" s="194"/>
      <c r="N39" s="194"/>
      <c r="O39" s="194"/>
      <c r="P39" s="194"/>
      <c r="Q39" s="194"/>
      <c r="R39" s="194"/>
      <c r="S39" s="194"/>
      <c r="T39" s="194"/>
      <c r="U39" s="194"/>
      <c r="V39" s="194"/>
      <c r="W39" s="194"/>
      <c r="X39" s="194"/>
      <c r="Y39" s="194"/>
      <c r="Z39" s="194"/>
      <c r="AA39" s="194"/>
      <c r="AB39" s="194"/>
      <c r="AC39" s="194"/>
      <c r="AD39" s="194"/>
      <c r="AE39" s="194"/>
      <c r="AF39" s="194"/>
      <c r="AG39" s="194"/>
      <c r="AH39" s="194"/>
      <c r="AI39" s="194"/>
      <c r="AJ39" s="194"/>
      <c r="AK39" s="194"/>
      <c r="AL39" s="194"/>
      <c r="AM39" s="194"/>
      <c r="AN39" s="194"/>
      <c r="AO39" s="194"/>
      <c r="AP39" s="194"/>
      <c r="AQ39" s="194"/>
      <c r="AR39" s="194"/>
      <c r="AS39" s="194"/>
      <c r="AT39" s="204"/>
    </row>
    <row r="40" spans="1:46" ht="60" customHeight="1" x14ac:dyDescent="0.35">
      <c r="A40" s="201" t="s">
        <v>4338</v>
      </c>
      <c r="B40" s="187" t="s">
        <v>4349</v>
      </c>
      <c r="C40" s="188" t="s">
        <v>4360</v>
      </c>
      <c r="D40" s="190" t="s">
        <v>4361</v>
      </c>
      <c r="E40" s="190" t="s">
        <v>4362</v>
      </c>
      <c r="F40" s="192" t="str">
        <f>IF(COUNTIF(G40:AT40,"&lt;&gt;")=0,"",SUMPRODUCT(((Recommendations[ImplStatus]="Implemented")+(Recommendations[ImplStatus]="Compensated"))*ISNUMBER(MATCH(Recommendations[Id],G40:AT40,0)))/COUNTIF(G40:AT40,"&lt;&gt;"))</f>
        <v/>
      </c>
      <c r="G40" s="194"/>
      <c r="H40" s="194"/>
      <c r="I40" s="194"/>
      <c r="J40" s="194"/>
      <c r="K40" s="194"/>
      <c r="L40" s="194"/>
      <c r="M40" s="194"/>
      <c r="N40" s="194"/>
      <c r="O40" s="194"/>
      <c r="P40" s="194"/>
      <c r="Q40" s="194"/>
      <c r="R40" s="194"/>
      <c r="S40" s="194"/>
      <c r="T40" s="194"/>
      <c r="U40" s="194"/>
      <c r="V40" s="194"/>
      <c r="W40" s="194"/>
      <c r="X40" s="194"/>
      <c r="Y40" s="194"/>
      <c r="Z40" s="194"/>
      <c r="AA40" s="194"/>
      <c r="AB40" s="194"/>
      <c r="AC40" s="194"/>
      <c r="AD40" s="194"/>
      <c r="AE40" s="194"/>
      <c r="AF40" s="194"/>
      <c r="AG40" s="194"/>
      <c r="AH40" s="194"/>
      <c r="AI40" s="194"/>
      <c r="AJ40" s="194"/>
      <c r="AK40" s="194"/>
      <c r="AL40" s="194"/>
      <c r="AM40" s="194"/>
      <c r="AN40" s="194"/>
      <c r="AO40" s="194"/>
      <c r="AP40" s="194"/>
      <c r="AQ40" s="194"/>
      <c r="AR40" s="194"/>
      <c r="AS40" s="194"/>
      <c r="AT40" s="204"/>
    </row>
    <row r="41" spans="1:46" ht="60" customHeight="1" x14ac:dyDescent="0.35">
      <c r="A41" s="201" t="s">
        <v>4338</v>
      </c>
      <c r="B41" s="187" t="s">
        <v>4349</v>
      </c>
      <c r="C41" s="188" t="s">
        <v>4363</v>
      </c>
      <c r="D41" s="190" t="s">
        <v>4364</v>
      </c>
      <c r="E41" s="190" t="s">
        <v>4365</v>
      </c>
      <c r="F41" s="192" t="str">
        <f>IF(COUNTIF(G41:AT41,"&lt;&gt;")=0,"",SUMPRODUCT(((Recommendations[ImplStatus]="Implemented")+(Recommendations[ImplStatus]="Compensated"))*ISNUMBER(MATCH(Recommendations[Id],G41:AT41,0)))/COUNTIF(G41:AT41,"&lt;&gt;"))</f>
        <v/>
      </c>
      <c r="G41" s="194"/>
      <c r="H41" s="194"/>
      <c r="I41" s="194"/>
      <c r="J41" s="194"/>
      <c r="K41" s="194"/>
      <c r="L41" s="194"/>
      <c r="M41" s="194"/>
      <c r="N41" s="194"/>
      <c r="O41" s="194"/>
      <c r="P41" s="194"/>
      <c r="Q41" s="194"/>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194"/>
      <c r="AT41" s="204"/>
    </row>
    <row r="42" spans="1:46" ht="60" customHeight="1" x14ac:dyDescent="0.35">
      <c r="A42" s="201" t="s">
        <v>4338</v>
      </c>
      <c r="B42" s="187" t="s">
        <v>4349</v>
      </c>
      <c r="C42" s="188" t="s">
        <v>4366</v>
      </c>
      <c r="D42" s="190" t="s">
        <v>4367</v>
      </c>
      <c r="E42" s="190" t="s">
        <v>4368</v>
      </c>
      <c r="F42" s="192" t="str">
        <f>IF(COUNTIF(G42:AT42,"&lt;&gt;")=0,"",SUMPRODUCT(((Recommendations[ImplStatus]="Implemented")+(Recommendations[ImplStatus]="Compensated"))*ISNUMBER(MATCH(Recommendations[Id],G42:AT42,0)))/COUNTIF(G42:AT42,"&lt;&gt;"))</f>
        <v/>
      </c>
      <c r="G42" s="194"/>
      <c r="H42" s="194"/>
      <c r="I42" s="194"/>
      <c r="J42" s="194"/>
      <c r="K42" s="194"/>
      <c r="L42" s="194"/>
      <c r="M42" s="194"/>
      <c r="N42" s="194"/>
      <c r="O42" s="194"/>
      <c r="P42" s="194"/>
      <c r="Q42" s="194"/>
      <c r="R42" s="194"/>
      <c r="S42" s="194"/>
      <c r="T42" s="194"/>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4"/>
      <c r="AS42" s="194"/>
      <c r="AT42" s="204"/>
    </row>
    <row r="43" spans="1:46" ht="60" customHeight="1" x14ac:dyDescent="0.35">
      <c r="A43" s="201" t="s">
        <v>4338</v>
      </c>
      <c r="B43" s="187" t="s">
        <v>4349</v>
      </c>
      <c r="C43" s="188" t="s">
        <v>4369</v>
      </c>
      <c r="D43" s="190" t="s">
        <v>4370</v>
      </c>
      <c r="E43" s="190" t="s">
        <v>4371</v>
      </c>
      <c r="F43" s="192" t="str">
        <f>IF(COUNTIF(G43:AT43,"&lt;&gt;")=0,"",SUMPRODUCT(((Recommendations[ImplStatus]="Implemented")+(Recommendations[ImplStatus]="Compensated"))*ISNUMBER(MATCH(Recommendations[Id],G43:AT43,0)))/COUNTIF(G43:AT43,"&lt;&gt;"))</f>
        <v/>
      </c>
      <c r="G43" s="194"/>
      <c r="H43" s="194"/>
      <c r="I43" s="194"/>
      <c r="J43" s="194"/>
      <c r="K43" s="194"/>
      <c r="L43" s="194"/>
      <c r="M43" s="194"/>
      <c r="N43" s="194"/>
      <c r="O43" s="194"/>
      <c r="P43" s="194"/>
      <c r="Q43" s="194"/>
      <c r="R43" s="194"/>
      <c r="S43" s="194"/>
      <c r="T43" s="194"/>
      <c r="U43" s="194"/>
      <c r="V43" s="194"/>
      <c r="W43" s="194"/>
      <c r="X43" s="194"/>
      <c r="Y43" s="194"/>
      <c r="Z43" s="194"/>
      <c r="AA43" s="194"/>
      <c r="AB43" s="194"/>
      <c r="AC43" s="194"/>
      <c r="AD43" s="194"/>
      <c r="AE43" s="194"/>
      <c r="AF43" s="194"/>
      <c r="AG43" s="194"/>
      <c r="AH43" s="194"/>
      <c r="AI43" s="194"/>
      <c r="AJ43" s="194"/>
      <c r="AK43" s="194"/>
      <c r="AL43" s="194"/>
      <c r="AM43" s="194"/>
      <c r="AN43" s="194"/>
      <c r="AO43" s="194"/>
      <c r="AP43" s="194"/>
      <c r="AQ43" s="194"/>
      <c r="AR43" s="194"/>
      <c r="AS43" s="194"/>
      <c r="AT43" s="204"/>
    </row>
    <row r="44" spans="1:46" ht="60" customHeight="1" x14ac:dyDescent="0.35">
      <c r="A44" s="201" t="s">
        <v>4338</v>
      </c>
      <c r="B44" s="187" t="s">
        <v>4349</v>
      </c>
      <c r="C44" s="188" t="s">
        <v>4372</v>
      </c>
      <c r="D44" s="190" t="s">
        <v>4373</v>
      </c>
      <c r="E44" s="190" t="s">
        <v>4374</v>
      </c>
      <c r="F44" s="192" t="str">
        <f>IF(COUNTIF(G44:AT44,"&lt;&gt;")=0,"",SUMPRODUCT(((Recommendations[ImplStatus]="Implemented")+(Recommendations[ImplStatus]="Compensated"))*ISNUMBER(MATCH(Recommendations[Id],G44:AT44,0)))/COUNTIF(G44:AT44,"&lt;&gt;"))</f>
        <v/>
      </c>
      <c r="G44" s="194"/>
      <c r="H44" s="194"/>
      <c r="I44" s="194"/>
      <c r="J44" s="194"/>
      <c r="K44" s="194"/>
      <c r="L44" s="194"/>
      <c r="M44" s="194"/>
      <c r="N44" s="194"/>
      <c r="O44" s="194"/>
      <c r="P44" s="194"/>
      <c r="Q44" s="194"/>
      <c r="R44" s="194"/>
      <c r="S44" s="194"/>
      <c r="T44" s="194"/>
      <c r="U44" s="194"/>
      <c r="V44" s="194"/>
      <c r="W44" s="194"/>
      <c r="X44" s="194"/>
      <c r="Y44" s="194"/>
      <c r="Z44" s="194"/>
      <c r="AA44" s="194"/>
      <c r="AB44" s="194"/>
      <c r="AC44" s="194"/>
      <c r="AD44" s="194"/>
      <c r="AE44" s="194"/>
      <c r="AF44" s="194"/>
      <c r="AG44" s="194"/>
      <c r="AH44" s="194"/>
      <c r="AI44" s="194"/>
      <c r="AJ44" s="194"/>
      <c r="AK44" s="194"/>
      <c r="AL44" s="194"/>
      <c r="AM44" s="194"/>
      <c r="AN44" s="194"/>
      <c r="AO44" s="194"/>
      <c r="AP44" s="194"/>
      <c r="AQ44" s="194"/>
      <c r="AR44" s="194"/>
      <c r="AS44" s="194"/>
      <c r="AT44" s="204"/>
    </row>
    <row r="45" spans="1:46" ht="60" customHeight="1" x14ac:dyDescent="0.35">
      <c r="A45" s="201" t="s">
        <v>4338</v>
      </c>
      <c r="B45" s="187" t="s">
        <v>4349</v>
      </c>
      <c r="C45" s="188" t="s">
        <v>4375</v>
      </c>
      <c r="D45" s="190" t="s">
        <v>4376</v>
      </c>
      <c r="E45" s="190" t="s">
        <v>4377</v>
      </c>
      <c r="F45" s="192" t="str">
        <f>IF(COUNTIF(G45:AT45,"&lt;&gt;")=0,"",SUMPRODUCT(((Recommendations[ImplStatus]="Implemented")+(Recommendations[ImplStatus]="Compensated"))*ISNUMBER(MATCH(Recommendations[Id],G45:AT45,0)))/COUNTIF(G45:AT45,"&lt;&gt;"))</f>
        <v/>
      </c>
      <c r="G45" s="194"/>
      <c r="H45" s="194"/>
      <c r="I45" s="194"/>
      <c r="J45" s="194"/>
      <c r="K45" s="194"/>
      <c r="L45" s="194"/>
      <c r="M45" s="194"/>
      <c r="N45" s="194"/>
      <c r="O45" s="194"/>
      <c r="P45" s="194"/>
      <c r="Q45" s="194"/>
      <c r="R45" s="194"/>
      <c r="S45" s="194"/>
      <c r="T45" s="194"/>
      <c r="U45" s="194"/>
      <c r="V45" s="194"/>
      <c r="W45" s="194"/>
      <c r="X45" s="194"/>
      <c r="Y45" s="194"/>
      <c r="Z45" s="194"/>
      <c r="AA45" s="194"/>
      <c r="AB45" s="194"/>
      <c r="AC45" s="194"/>
      <c r="AD45" s="194"/>
      <c r="AE45" s="194"/>
      <c r="AF45" s="194"/>
      <c r="AG45" s="194"/>
      <c r="AH45" s="194"/>
      <c r="AI45" s="194"/>
      <c r="AJ45" s="194"/>
      <c r="AK45" s="194"/>
      <c r="AL45" s="194"/>
      <c r="AM45" s="194"/>
      <c r="AN45" s="194"/>
      <c r="AO45" s="194"/>
      <c r="AP45" s="194"/>
      <c r="AQ45" s="194"/>
      <c r="AR45" s="194"/>
      <c r="AS45" s="194"/>
      <c r="AT45" s="204"/>
    </row>
    <row r="46" spans="1:46" ht="60" customHeight="1" x14ac:dyDescent="0.35">
      <c r="A46" s="201" t="s">
        <v>4338</v>
      </c>
      <c r="B46" s="187" t="s">
        <v>4349</v>
      </c>
      <c r="C46" s="188" t="s">
        <v>4378</v>
      </c>
      <c r="D46" s="190" t="s">
        <v>4379</v>
      </c>
      <c r="E46" s="190" t="s">
        <v>4380</v>
      </c>
      <c r="F46" s="192">
        <f>IF(COUNTIF(G46:AT46,"&lt;&gt;")=0,"",SUMPRODUCT(((Recommendations[ImplStatus]="Implemented")+(Recommendations[ImplStatus]="Compensated"))*ISNUMBER(MATCH(Recommendations[Id],G46:AT46,0)))/COUNTIF(G46:AT46,"&lt;&gt;"))</f>
        <v>0</v>
      </c>
      <c r="G46" s="194" t="s">
        <v>1449</v>
      </c>
      <c r="H46" s="194"/>
      <c r="I46" s="194"/>
      <c r="J46" s="194"/>
      <c r="K46" s="194"/>
      <c r="L46" s="194"/>
      <c r="M46" s="194"/>
      <c r="N46" s="194"/>
      <c r="O46" s="194"/>
      <c r="P46" s="194"/>
      <c r="Q46" s="194"/>
      <c r="R46" s="194"/>
      <c r="S46" s="194"/>
      <c r="T46" s="194"/>
      <c r="U46" s="194"/>
      <c r="V46" s="194"/>
      <c r="W46" s="194"/>
      <c r="X46" s="194"/>
      <c r="Y46" s="194"/>
      <c r="Z46" s="194"/>
      <c r="AA46" s="194"/>
      <c r="AB46" s="194"/>
      <c r="AC46" s="194"/>
      <c r="AD46" s="194"/>
      <c r="AE46" s="194"/>
      <c r="AF46" s="194"/>
      <c r="AG46" s="194"/>
      <c r="AH46" s="194"/>
      <c r="AI46" s="194"/>
      <c r="AJ46" s="194"/>
      <c r="AK46" s="194"/>
      <c r="AL46" s="194"/>
      <c r="AM46" s="194"/>
      <c r="AN46" s="194"/>
      <c r="AO46" s="194"/>
      <c r="AP46" s="194"/>
      <c r="AQ46" s="194"/>
      <c r="AR46" s="194"/>
      <c r="AS46" s="194"/>
      <c r="AT46" s="204"/>
    </row>
    <row r="47" spans="1:46" ht="60" customHeight="1" x14ac:dyDescent="0.35">
      <c r="A47" s="201" t="s">
        <v>4338</v>
      </c>
      <c r="B47" s="187" t="s">
        <v>4349</v>
      </c>
      <c r="C47" s="188" t="s">
        <v>4381</v>
      </c>
      <c r="D47" s="190" t="s">
        <v>4382</v>
      </c>
      <c r="E47" s="190" t="s">
        <v>4383</v>
      </c>
      <c r="F47" s="192" t="str">
        <f>IF(COUNTIF(G47:AT47,"&lt;&gt;")=0,"",SUMPRODUCT(((Recommendations[ImplStatus]="Implemented")+(Recommendations[ImplStatus]="Compensated"))*ISNUMBER(MATCH(Recommendations[Id],G47:AT47,0)))/COUNTIF(G47:AT47,"&lt;&gt;"))</f>
        <v/>
      </c>
      <c r="G47" s="194"/>
      <c r="H47" s="194"/>
      <c r="I47" s="194"/>
      <c r="J47" s="194"/>
      <c r="K47" s="194"/>
      <c r="L47" s="194"/>
      <c r="M47" s="194"/>
      <c r="N47" s="194"/>
      <c r="O47" s="194"/>
      <c r="P47" s="194"/>
      <c r="Q47" s="194"/>
      <c r="R47" s="194"/>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c r="AP47" s="194"/>
      <c r="AQ47" s="194"/>
      <c r="AR47" s="194"/>
      <c r="AS47" s="194"/>
      <c r="AT47" s="204"/>
    </row>
    <row r="48" spans="1:46" ht="60" customHeight="1" x14ac:dyDescent="0.35">
      <c r="A48" s="201" t="s">
        <v>4338</v>
      </c>
      <c r="B48" s="187" t="s">
        <v>4349</v>
      </c>
      <c r="C48" s="188" t="s">
        <v>4384</v>
      </c>
      <c r="D48" s="190" t="s">
        <v>4385</v>
      </c>
      <c r="E48" s="190" t="s">
        <v>4386</v>
      </c>
      <c r="F48" s="192" t="str">
        <f>IF(COUNTIF(G48:AT48,"&lt;&gt;")=0,"",SUMPRODUCT(((Recommendations[ImplStatus]="Implemented")+(Recommendations[ImplStatus]="Compensated"))*ISNUMBER(MATCH(Recommendations[Id],G48:AT48,0)))/COUNTIF(G48:AT48,"&lt;&gt;"))</f>
        <v/>
      </c>
      <c r="G48" s="194"/>
      <c r="H48" s="194"/>
      <c r="I48" s="194"/>
      <c r="J48" s="194"/>
      <c r="K48" s="194"/>
      <c r="L48" s="194"/>
      <c r="M48" s="194"/>
      <c r="N48" s="194"/>
      <c r="O48" s="194"/>
      <c r="P48" s="194"/>
      <c r="Q48" s="194"/>
      <c r="R48" s="194"/>
      <c r="S48" s="194"/>
      <c r="T48" s="194"/>
      <c r="U48" s="194"/>
      <c r="V48" s="194"/>
      <c r="W48" s="194"/>
      <c r="X48" s="194"/>
      <c r="Y48" s="194"/>
      <c r="Z48" s="194"/>
      <c r="AA48" s="194"/>
      <c r="AB48" s="194"/>
      <c r="AC48" s="194"/>
      <c r="AD48" s="194"/>
      <c r="AE48" s="194"/>
      <c r="AF48" s="194"/>
      <c r="AG48" s="194"/>
      <c r="AH48" s="194"/>
      <c r="AI48" s="194"/>
      <c r="AJ48" s="194"/>
      <c r="AK48" s="194"/>
      <c r="AL48" s="194"/>
      <c r="AM48" s="194"/>
      <c r="AN48" s="194"/>
      <c r="AO48" s="194"/>
      <c r="AP48" s="194"/>
      <c r="AQ48" s="194"/>
      <c r="AR48" s="194"/>
      <c r="AS48" s="194"/>
      <c r="AT48" s="204"/>
    </row>
    <row r="49" spans="1:46" ht="60" customHeight="1" x14ac:dyDescent="0.35">
      <c r="A49" s="201" t="s">
        <v>4338</v>
      </c>
      <c r="B49" s="187" t="s">
        <v>4349</v>
      </c>
      <c r="C49" s="188" t="s">
        <v>4387</v>
      </c>
      <c r="D49" s="190" t="s">
        <v>4388</v>
      </c>
      <c r="E49" s="190" t="s">
        <v>4389</v>
      </c>
      <c r="F49" s="192" t="str">
        <f>IF(COUNTIF(G49:AT49,"&lt;&gt;")=0,"",SUMPRODUCT(((Recommendations[ImplStatus]="Implemented")+(Recommendations[ImplStatus]="Compensated"))*ISNUMBER(MATCH(Recommendations[Id],G49:AT49,0)))/COUNTIF(G49:AT49,"&lt;&gt;"))</f>
        <v/>
      </c>
      <c r="G49" s="194"/>
      <c r="H49" s="194"/>
      <c r="I49" s="194"/>
      <c r="J49" s="194"/>
      <c r="K49" s="194"/>
      <c r="L49" s="194"/>
      <c r="M49" s="194"/>
      <c r="N49" s="194"/>
      <c r="O49" s="194"/>
      <c r="P49" s="194"/>
      <c r="Q49" s="194"/>
      <c r="R49" s="194"/>
      <c r="S49" s="194"/>
      <c r="T49" s="194"/>
      <c r="U49" s="194"/>
      <c r="V49" s="194"/>
      <c r="W49" s="194"/>
      <c r="X49" s="194"/>
      <c r="Y49" s="194"/>
      <c r="Z49" s="194"/>
      <c r="AA49" s="194"/>
      <c r="AB49" s="194"/>
      <c r="AC49" s="194"/>
      <c r="AD49" s="194"/>
      <c r="AE49" s="194"/>
      <c r="AF49" s="194"/>
      <c r="AG49" s="194"/>
      <c r="AH49" s="194"/>
      <c r="AI49" s="194"/>
      <c r="AJ49" s="194"/>
      <c r="AK49" s="194"/>
      <c r="AL49" s="194"/>
      <c r="AM49" s="194"/>
      <c r="AN49" s="194"/>
      <c r="AO49" s="194"/>
      <c r="AP49" s="194"/>
      <c r="AQ49" s="194"/>
      <c r="AR49" s="194"/>
      <c r="AS49" s="194"/>
      <c r="AT49" s="204"/>
    </row>
    <row r="50" spans="1:46" ht="60" customHeight="1" x14ac:dyDescent="0.35">
      <c r="A50" s="201" t="s">
        <v>4338</v>
      </c>
      <c r="B50" s="187" t="s">
        <v>4349</v>
      </c>
      <c r="C50" s="188" t="s">
        <v>4390</v>
      </c>
      <c r="D50" s="190" t="s">
        <v>4391</v>
      </c>
      <c r="E50" s="190" t="s">
        <v>4392</v>
      </c>
      <c r="F50" s="192" t="str">
        <f>IF(COUNTIF(G50:AT50,"&lt;&gt;")=0,"",SUMPRODUCT(((Recommendations[ImplStatus]="Implemented")+(Recommendations[ImplStatus]="Compensated"))*ISNUMBER(MATCH(Recommendations[Id],G50:AT50,0)))/COUNTIF(G50:AT50,"&lt;&gt;"))</f>
        <v/>
      </c>
      <c r="G50" s="194"/>
      <c r="H50" s="194"/>
      <c r="I50" s="194"/>
      <c r="J50" s="194"/>
      <c r="K50" s="194"/>
      <c r="L50" s="194"/>
      <c r="M50" s="194"/>
      <c r="N50" s="194"/>
      <c r="O50" s="194"/>
      <c r="P50" s="194"/>
      <c r="Q50" s="194"/>
      <c r="R50" s="194"/>
      <c r="S50" s="194"/>
      <c r="T50" s="194"/>
      <c r="U50" s="194"/>
      <c r="V50" s="194"/>
      <c r="W50" s="194"/>
      <c r="X50" s="194"/>
      <c r="Y50" s="194"/>
      <c r="Z50" s="194"/>
      <c r="AA50" s="194"/>
      <c r="AB50" s="194"/>
      <c r="AC50" s="194"/>
      <c r="AD50" s="194"/>
      <c r="AE50" s="194"/>
      <c r="AF50" s="194"/>
      <c r="AG50" s="194"/>
      <c r="AH50" s="194"/>
      <c r="AI50" s="194"/>
      <c r="AJ50" s="194"/>
      <c r="AK50" s="194"/>
      <c r="AL50" s="194"/>
      <c r="AM50" s="194"/>
      <c r="AN50" s="194"/>
      <c r="AO50" s="194"/>
      <c r="AP50" s="194"/>
      <c r="AQ50" s="194"/>
      <c r="AR50" s="194"/>
      <c r="AS50" s="194"/>
      <c r="AT50" s="204"/>
    </row>
    <row r="51" spans="1:46" ht="60" customHeight="1" outlineLevel="1" x14ac:dyDescent="0.35">
      <c r="A51" s="200" t="s">
        <v>4338</v>
      </c>
      <c r="B51" s="186" t="s">
        <v>4393</v>
      </c>
      <c r="C51" s="186"/>
      <c r="D51" s="189" t="s">
        <v>4394</v>
      </c>
      <c r="E51" s="189"/>
      <c r="F51" s="191" t="str">
        <f>IF(COUNTIF(G51:AT51,"&lt;&gt;")=0,"",SUMPRODUCT(((Recommendations[ImplStatus]="Implemented")+(Recommendations[ImplStatus]="Compensated"))*ISNUMBER(MATCH(Recommendations[Id],G51:AT51,0)))/COUNTIF(G51:AT51,"&lt;&gt;"))</f>
        <v/>
      </c>
      <c r="G51" s="193"/>
      <c r="H51" s="193"/>
      <c r="I51" s="193"/>
      <c r="J51" s="193"/>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203"/>
    </row>
    <row r="52" spans="1:46" ht="60" customHeight="1" x14ac:dyDescent="0.35">
      <c r="A52" s="201" t="s">
        <v>4338</v>
      </c>
      <c r="B52" s="187" t="s">
        <v>4393</v>
      </c>
      <c r="C52" s="188" t="s">
        <v>4395</v>
      </c>
      <c r="D52" s="190" t="s">
        <v>4396</v>
      </c>
      <c r="E52" s="190" t="s">
        <v>4397</v>
      </c>
      <c r="F52" s="192">
        <f>IF(COUNTIF(G52:AT52,"&lt;&gt;")=0,"",SUMPRODUCT(((Recommendations[ImplStatus]="Implemented")+(Recommendations[ImplStatus]="Compensated"))*ISNUMBER(MATCH(Recommendations[Id],G52:AT52,0)))/COUNTIF(G52:AT52,"&lt;&gt;"))</f>
        <v>0</v>
      </c>
      <c r="G52" s="194" t="s">
        <v>134</v>
      </c>
      <c r="H52" s="194" t="s">
        <v>148</v>
      </c>
      <c r="I52" s="194" t="s">
        <v>235</v>
      </c>
      <c r="J52" s="194" t="s">
        <v>333</v>
      </c>
      <c r="K52" s="194" t="s">
        <v>338</v>
      </c>
      <c r="L52" s="194" t="s">
        <v>343</v>
      </c>
      <c r="M52" s="194" t="s">
        <v>432</v>
      </c>
      <c r="N52" s="194" t="s">
        <v>436</v>
      </c>
      <c r="O52" s="194" t="s">
        <v>460</v>
      </c>
      <c r="P52" s="194" t="s">
        <v>474</v>
      </c>
      <c r="Q52" s="194" t="s">
        <v>578</v>
      </c>
      <c r="R52" s="194" t="s">
        <v>1263</v>
      </c>
      <c r="S52" s="194" t="s">
        <v>1282</v>
      </c>
      <c r="T52" s="194" t="s">
        <v>1292</v>
      </c>
      <c r="U52" s="194" t="s">
        <v>1297</v>
      </c>
      <c r="V52" s="194" t="s">
        <v>1302</v>
      </c>
      <c r="W52" s="194" t="s">
        <v>1307</v>
      </c>
      <c r="X52" s="194" t="s">
        <v>1312</v>
      </c>
      <c r="Y52" s="194" t="s">
        <v>1317</v>
      </c>
      <c r="Z52" s="194" t="s">
        <v>1327</v>
      </c>
      <c r="AA52" s="194" t="s">
        <v>1332</v>
      </c>
      <c r="AB52" s="194" t="s">
        <v>1351</v>
      </c>
      <c r="AC52" s="194" t="s">
        <v>1356</v>
      </c>
      <c r="AD52" s="194" t="s">
        <v>1361</v>
      </c>
      <c r="AE52" s="194" t="s">
        <v>1366</v>
      </c>
      <c r="AF52" s="194" t="s">
        <v>1370</v>
      </c>
      <c r="AG52" s="194" t="s">
        <v>1374</v>
      </c>
      <c r="AH52" s="194" t="s">
        <v>1378</v>
      </c>
      <c r="AI52" s="194" t="s">
        <v>1382</v>
      </c>
      <c r="AJ52" s="194" t="s">
        <v>1386</v>
      </c>
      <c r="AK52" s="194" t="s">
        <v>1390</v>
      </c>
      <c r="AL52" s="194" t="s">
        <v>1394</v>
      </c>
      <c r="AM52" s="194" t="s">
        <v>1410</v>
      </c>
      <c r="AN52" s="194" t="s">
        <v>1414</v>
      </c>
      <c r="AO52" s="194" t="s">
        <v>1418</v>
      </c>
      <c r="AP52" s="194" t="s">
        <v>1422</v>
      </c>
      <c r="AQ52" s="194" t="s">
        <v>1427</v>
      </c>
      <c r="AR52" s="194" t="s">
        <v>1431</v>
      </c>
      <c r="AS52" s="194" t="s">
        <v>1435</v>
      </c>
      <c r="AT52" s="204" t="s">
        <v>1440</v>
      </c>
    </row>
    <row r="53" spans="1:46" ht="60" customHeight="1" x14ac:dyDescent="0.35">
      <c r="A53" s="201" t="s">
        <v>4338</v>
      </c>
      <c r="B53" s="187" t="s">
        <v>4393</v>
      </c>
      <c r="C53" s="188" t="s">
        <v>4398</v>
      </c>
      <c r="D53" s="190" t="s">
        <v>4399</v>
      </c>
      <c r="E53" s="190" t="s">
        <v>4400</v>
      </c>
      <c r="F53" s="192" t="str">
        <f>IF(COUNTIF(G53:AT53,"&lt;&gt;")=0,"",SUMPRODUCT(((Recommendations[ImplStatus]="Implemented")+(Recommendations[ImplStatus]="Compensated"))*ISNUMBER(MATCH(Recommendations[Id],G53:AT53,0)))/COUNTIF(G53:AT53,"&lt;&gt;"))</f>
        <v/>
      </c>
      <c r="G53" s="194"/>
      <c r="H53" s="194"/>
      <c r="I53" s="194"/>
      <c r="J53" s="194"/>
      <c r="K53" s="194"/>
      <c r="L53" s="194"/>
      <c r="M53" s="194"/>
      <c r="N53" s="194"/>
      <c r="O53" s="194"/>
      <c r="P53" s="194"/>
      <c r="Q53" s="194"/>
      <c r="R53" s="194"/>
      <c r="S53" s="194"/>
      <c r="T53" s="194"/>
      <c r="U53" s="194"/>
      <c r="V53" s="194"/>
      <c r="W53" s="194"/>
      <c r="X53" s="194"/>
      <c r="Y53" s="194"/>
      <c r="Z53" s="194"/>
      <c r="AA53" s="194"/>
      <c r="AB53" s="194"/>
      <c r="AC53" s="194"/>
      <c r="AD53" s="194"/>
      <c r="AE53" s="194"/>
      <c r="AF53" s="194"/>
      <c r="AG53" s="194"/>
      <c r="AH53" s="194"/>
      <c r="AI53" s="194"/>
      <c r="AJ53" s="194"/>
      <c r="AK53" s="194"/>
      <c r="AL53" s="194"/>
      <c r="AM53" s="194"/>
      <c r="AN53" s="194"/>
      <c r="AO53" s="194"/>
      <c r="AP53" s="194"/>
      <c r="AQ53" s="194"/>
      <c r="AR53" s="194"/>
      <c r="AS53" s="194"/>
      <c r="AT53" s="204"/>
    </row>
    <row r="54" spans="1:46" ht="60" customHeight="1" x14ac:dyDescent="0.35">
      <c r="A54" s="201" t="s">
        <v>4338</v>
      </c>
      <c r="B54" s="187" t="s">
        <v>4393</v>
      </c>
      <c r="C54" s="188" t="s">
        <v>4401</v>
      </c>
      <c r="D54" s="190" t="s">
        <v>4402</v>
      </c>
      <c r="E54" s="190" t="s">
        <v>4403</v>
      </c>
      <c r="F54" s="192" t="str">
        <f>IF(COUNTIF(G54:AT54,"&lt;&gt;")=0,"",SUMPRODUCT(((Recommendations[ImplStatus]="Implemented")+(Recommendations[ImplStatus]="Compensated"))*ISNUMBER(MATCH(Recommendations[Id],G54:AT54,0)))/COUNTIF(G54:AT54,"&lt;&gt;"))</f>
        <v/>
      </c>
      <c r="G54" s="194"/>
      <c r="H54" s="194"/>
      <c r="I54" s="194"/>
      <c r="J54" s="194"/>
      <c r="K54" s="194"/>
      <c r="L54" s="194"/>
      <c r="M54" s="194"/>
      <c r="N54" s="194"/>
      <c r="O54" s="194"/>
      <c r="P54" s="194"/>
      <c r="Q54" s="194"/>
      <c r="R54" s="194"/>
      <c r="S54" s="194"/>
      <c r="T54" s="194"/>
      <c r="U54" s="194"/>
      <c r="V54" s="194"/>
      <c r="W54" s="194"/>
      <c r="X54" s="194"/>
      <c r="Y54" s="194"/>
      <c r="Z54" s="194"/>
      <c r="AA54" s="194"/>
      <c r="AB54" s="194"/>
      <c r="AC54" s="194"/>
      <c r="AD54" s="194"/>
      <c r="AE54" s="194"/>
      <c r="AF54" s="194"/>
      <c r="AG54" s="194"/>
      <c r="AH54" s="194"/>
      <c r="AI54" s="194"/>
      <c r="AJ54" s="194"/>
      <c r="AK54" s="194"/>
      <c r="AL54" s="194"/>
      <c r="AM54" s="194"/>
      <c r="AN54" s="194"/>
      <c r="AO54" s="194"/>
      <c r="AP54" s="194"/>
      <c r="AQ54" s="194"/>
      <c r="AR54" s="194"/>
      <c r="AS54" s="194"/>
      <c r="AT54" s="204"/>
    </row>
    <row r="55" spans="1:46" ht="60" customHeight="1" x14ac:dyDescent="0.35">
      <c r="A55" s="201" t="s">
        <v>4338</v>
      </c>
      <c r="B55" s="187" t="s">
        <v>4393</v>
      </c>
      <c r="C55" s="188" t="s">
        <v>4404</v>
      </c>
      <c r="D55" s="190" t="s">
        <v>4405</v>
      </c>
      <c r="E55" s="190" t="s">
        <v>4406</v>
      </c>
      <c r="F55" s="192" t="str">
        <f>IF(COUNTIF(G55:AT55,"&lt;&gt;")=0,"",SUMPRODUCT(((Recommendations[ImplStatus]="Implemented")+(Recommendations[ImplStatus]="Compensated"))*ISNUMBER(MATCH(Recommendations[Id],G55:AT55,0)))/COUNTIF(G55:AT55,"&lt;&gt;"))</f>
        <v/>
      </c>
      <c r="G55" s="194"/>
      <c r="H55" s="194"/>
      <c r="I55" s="194"/>
      <c r="J55" s="194"/>
      <c r="K55" s="194"/>
      <c r="L55" s="194"/>
      <c r="M55" s="194"/>
      <c r="N55" s="194"/>
      <c r="O55" s="194"/>
      <c r="P55" s="194"/>
      <c r="Q55" s="194"/>
      <c r="R55" s="194"/>
      <c r="S55" s="194"/>
      <c r="T55" s="194"/>
      <c r="U55" s="194"/>
      <c r="V55" s="194"/>
      <c r="W55" s="194"/>
      <c r="X55" s="194"/>
      <c r="Y55" s="194"/>
      <c r="Z55" s="194"/>
      <c r="AA55" s="194"/>
      <c r="AB55" s="194"/>
      <c r="AC55" s="194"/>
      <c r="AD55" s="194"/>
      <c r="AE55" s="194"/>
      <c r="AF55" s="194"/>
      <c r="AG55" s="194"/>
      <c r="AH55" s="194"/>
      <c r="AI55" s="194"/>
      <c r="AJ55" s="194"/>
      <c r="AK55" s="194"/>
      <c r="AL55" s="194"/>
      <c r="AM55" s="194"/>
      <c r="AN55" s="194"/>
      <c r="AO55" s="194"/>
      <c r="AP55" s="194"/>
      <c r="AQ55" s="194"/>
      <c r="AR55" s="194"/>
      <c r="AS55" s="194"/>
      <c r="AT55" s="204"/>
    </row>
    <row r="56" spans="1:46" ht="60" customHeight="1" x14ac:dyDescent="0.35">
      <c r="A56" s="201" t="s">
        <v>4338</v>
      </c>
      <c r="B56" s="187" t="s">
        <v>4393</v>
      </c>
      <c r="C56" s="188" t="s">
        <v>4407</v>
      </c>
      <c r="D56" s="190" t="s">
        <v>4408</v>
      </c>
      <c r="E56" s="190" t="s">
        <v>4409</v>
      </c>
      <c r="F56" s="192" t="str">
        <f>IF(COUNTIF(G56:AT56,"&lt;&gt;")=0,"",SUMPRODUCT(((Recommendations[ImplStatus]="Implemented")+(Recommendations[ImplStatus]="Compensated"))*ISNUMBER(MATCH(Recommendations[Id],G56:AT56,0)))/COUNTIF(G56:AT56,"&lt;&gt;"))</f>
        <v/>
      </c>
      <c r="G56" s="194"/>
      <c r="H56" s="194"/>
      <c r="I56" s="194"/>
      <c r="J56" s="194"/>
      <c r="K56" s="194"/>
      <c r="L56" s="194"/>
      <c r="M56" s="194"/>
      <c r="N56" s="194"/>
      <c r="O56" s="194"/>
      <c r="P56" s="194"/>
      <c r="Q56" s="194"/>
      <c r="R56" s="194"/>
      <c r="S56" s="194"/>
      <c r="T56" s="194"/>
      <c r="U56" s="194"/>
      <c r="V56" s="194"/>
      <c r="W56" s="194"/>
      <c r="X56" s="194"/>
      <c r="Y56" s="194"/>
      <c r="Z56" s="194"/>
      <c r="AA56" s="194"/>
      <c r="AB56" s="194"/>
      <c r="AC56" s="194"/>
      <c r="AD56" s="194"/>
      <c r="AE56" s="194"/>
      <c r="AF56" s="194"/>
      <c r="AG56" s="194"/>
      <c r="AH56" s="194"/>
      <c r="AI56" s="194"/>
      <c r="AJ56" s="194"/>
      <c r="AK56" s="194"/>
      <c r="AL56" s="194"/>
      <c r="AM56" s="194"/>
      <c r="AN56" s="194"/>
      <c r="AO56" s="194"/>
      <c r="AP56" s="194"/>
      <c r="AQ56" s="194"/>
      <c r="AR56" s="194"/>
      <c r="AS56" s="194"/>
      <c r="AT56" s="204"/>
    </row>
    <row r="57" spans="1:46" ht="60" customHeight="1" x14ac:dyDescent="0.35">
      <c r="A57" s="201" t="s">
        <v>4338</v>
      </c>
      <c r="B57" s="187" t="s">
        <v>4393</v>
      </c>
      <c r="C57" s="188" t="s">
        <v>4410</v>
      </c>
      <c r="D57" s="190" t="s">
        <v>4411</v>
      </c>
      <c r="E57" s="190" t="s">
        <v>4412</v>
      </c>
      <c r="F57" s="192" t="str">
        <f>IF(COUNTIF(G57:AT57,"&lt;&gt;")=0,"",SUMPRODUCT(((Recommendations[ImplStatus]="Implemented")+(Recommendations[ImplStatus]="Compensated"))*ISNUMBER(MATCH(Recommendations[Id],G57:AT57,0)))/COUNTIF(G57:AT57,"&lt;&gt;"))</f>
        <v/>
      </c>
      <c r="G57" s="194"/>
      <c r="H57" s="194"/>
      <c r="I57" s="194"/>
      <c r="J57" s="194"/>
      <c r="K57" s="194"/>
      <c r="L57" s="194"/>
      <c r="M57" s="194"/>
      <c r="N57" s="194"/>
      <c r="O57" s="194"/>
      <c r="P57" s="194"/>
      <c r="Q57" s="194"/>
      <c r="R57" s="194"/>
      <c r="S57" s="194"/>
      <c r="T57" s="194"/>
      <c r="U57" s="194"/>
      <c r="V57" s="194"/>
      <c r="W57" s="194"/>
      <c r="X57" s="194"/>
      <c r="Y57" s="194"/>
      <c r="Z57" s="194"/>
      <c r="AA57" s="194"/>
      <c r="AB57" s="194"/>
      <c r="AC57" s="194"/>
      <c r="AD57" s="194"/>
      <c r="AE57" s="194"/>
      <c r="AF57" s="194"/>
      <c r="AG57" s="194"/>
      <c r="AH57" s="194"/>
      <c r="AI57" s="194"/>
      <c r="AJ57" s="194"/>
      <c r="AK57" s="194"/>
      <c r="AL57" s="194"/>
      <c r="AM57" s="194"/>
      <c r="AN57" s="194"/>
      <c r="AO57" s="194"/>
      <c r="AP57" s="194"/>
      <c r="AQ57" s="194"/>
      <c r="AR57" s="194"/>
      <c r="AS57" s="194"/>
      <c r="AT57" s="204"/>
    </row>
    <row r="58" spans="1:46" ht="60" customHeight="1" x14ac:dyDescent="0.35">
      <c r="A58" s="201" t="s">
        <v>4338</v>
      </c>
      <c r="B58" s="187" t="s">
        <v>4393</v>
      </c>
      <c r="C58" s="188" t="s">
        <v>4413</v>
      </c>
      <c r="D58" s="190" t="s">
        <v>4414</v>
      </c>
      <c r="E58" s="190" t="s">
        <v>4415</v>
      </c>
      <c r="F58" s="192" t="str">
        <f>IF(COUNTIF(G58:AT58,"&lt;&gt;")=0,"",SUMPRODUCT(((Recommendations[ImplStatus]="Implemented")+(Recommendations[ImplStatus]="Compensated"))*ISNUMBER(MATCH(Recommendations[Id],G58:AT58,0)))/COUNTIF(G58:AT58,"&lt;&gt;"))</f>
        <v/>
      </c>
      <c r="G58" s="194"/>
      <c r="H58" s="194"/>
      <c r="I58" s="194"/>
      <c r="J58" s="194"/>
      <c r="K58" s="194"/>
      <c r="L58" s="194"/>
      <c r="M58" s="194"/>
      <c r="N58" s="194"/>
      <c r="O58" s="194"/>
      <c r="P58" s="194"/>
      <c r="Q58" s="194"/>
      <c r="R58" s="194"/>
      <c r="S58" s="194"/>
      <c r="T58" s="194"/>
      <c r="U58" s="194"/>
      <c r="V58" s="194"/>
      <c r="W58" s="194"/>
      <c r="X58" s="194"/>
      <c r="Y58" s="194"/>
      <c r="Z58" s="194"/>
      <c r="AA58" s="194"/>
      <c r="AB58" s="194"/>
      <c r="AC58" s="194"/>
      <c r="AD58" s="194"/>
      <c r="AE58" s="194"/>
      <c r="AF58" s="194"/>
      <c r="AG58" s="194"/>
      <c r="AH58" s="194"/>
      <c r="AI58" s="194"/>
      <c r="AJ58" s="194"/>
      <c r="AK58" s="194"/>
      <c r="AL58" s="194"/>
      <c r="AM58" s="194"/>
      <c r="AN58" s="194"/>
      <c r="AO58" s="194"/>
      <c r="AP58" s="194"/>
      <c r="AQ58" s="194"/>
      <c r="AR58" s="194"/>
      <c r="AS58" s="194"/>
      <c r="AT58" s="204"/>
    </row>
    <row r="59" spans="1:46" ht="60" customHeight="1" x14ac:dyDescent="0.35">
      <c r="A59" s="201" t="s">
        <v>4338</v>
      </c>
      <c r="B59" s="187" t="s">
        <v>4393</v>
      </c>
      <c r="C59" s="188" t="s">
        <v>4416</v>
      </c>
      <c r="D59" s="190" t="s">
        <v>4417</v>
      </c>
      <c r="E59" s="190" t="s">
        <v>4418</v>
      </c>
      <c r="F59" s="192" t="str">
        <f>IF(COUNTIF(G59:AT59,"&lt;&gt;")=0,"",SUMPRODUCT(((Recommendations[ImplStatus]="Implemented")+(Recommendations[ImplStatus]="Compensated"))*ISNUMBER(MATCH(Recommendations[Id],G59:AT59,0)))/COUNTIF(G59:AT59,"&lt;&gt;"))</f>
        <v/>
      </c>
      <c r="G59" s="194"/>
      <c r="H59" s="194"/>
      <c r="I59" s="194"/>
      <c r="J59" s="194"/>
      <c r="K59" s="194"/>
      <c r="L59" s="194"/>
      <c r="M59" s="194"/>
      <c r="N59" s="194"/>
      <c r="O59" s="194"/>
      <c r="P59" s="194"/>
      <c r="Q59" s="194"/>
      <c r="R59" s="194"/>
      <c r="S59" s="194"/>
      <c r="T59" s="194"/>
      <c r="U59" s="194"/>
      <c r="V59" s="194"/>
      <c r="W59" s="194"/>
      <c r="X59" s="194"/>
      <c r="Y59" s="194"/>
      <c r="Z59" s="194"/>
      <c r="AA59" s="194"/>
      <c r="AB59" s="194"/>
      <c r="AC59" s="194"/>
      <c r="AD59" s="194"/>
      <c r="AE59" s="194"/>
      <c r="AF59" s="194"/>
      <c r="AG59" s="194"/>
      <c r="AH59" s="194"/>
      <c r="AI59" s="194"/>
      <c r="AJ59" s="194"/>
      <c r="AK59" s="194"/>
      <c r="AL59" s="194"/>
      <c r="AM59" s="194"/>
      <c r="AN59" s="194"/>
      <c r="AO59" s="194"/>
      <c r="AP59" s="194"/>
      <c r="AQ59" s="194"/>
      <c r="AR59" s="194"/>
      <c r="AS59" s="194"/>
      <c r="AT59" s="204"/>
    </row>
    <row r="60" spans="1:46" ht="60" customHeight="1" x14ac:dyDescent="0.35">
      <c r="A60" s="201" t="s">
        <v>4338</v>
      </c>
      <c r="B60" s="187" t="s">
        <v>4419</v>
      </c>
      <c r="C60" s="188" t="s">
        <v>4420</v>
      </c>
      <c r="D60" s="190" t="s">
        <v>4421</v>
      </c>
      <c r="E60" s="190" t="s">
        <v>4422</v>
      </c>
      <c r="F60" s="192">
        <f>IF(COUNTIF(G60:AT60,"&lt;&gt;")=0,"",SUMPRODUCT(((Recommendations[ImplStatus]="Implemented")+(Recommendations[ImplStatus]="Compensated"))*ISNUMBER(MATCH(Recommendations[Id],G60:AT60,0)))/COUNTIF(G60:AT60,"&lt;&gt;"))</f>
        <v>0</v>
      </c>
      <c r="G60" s="194" t="s">
        <v>677</v>
      </c>
      <c r="H60" s="194" t="s">
        <v>682</v>
      </c>
      <c r="I60" s="194" t="s">
        <v>692</v>
      </c>
      <c r="J60" s="194" t="s">
        <v>697</v>
      </c>
      <c r="K60" s="194" t="s">
        <v>702</v>
      </c>
      <c r="L60" s="194" t="s">
        <v>707</v>
      </c>
      <c r="M60" s="194" t="s">
        <v>712</v>
      </c>
      <c r="N60" s="194" t="s">
        <v>716</v>
      </c>
      <c r="O60" s="194" t="s">
        <v>1723</v>
      </c>
      <c r="P60" s="194" t="s">
        <v>1733</v>
      </c>
      <c r="Q60" s="194"/>
      <c r="R60" s="194"/>
      <c r="S60" s="194"/>
      <c r="T60" s="194"/>
      <c r="U60" s="194"/>
      <c r="V60" s="194"/>
      <c r="W60" s="194"/>
      <c r="X60" s="194"/>
      <c r="Y60" s="194"/>
      <c r="Z60" s="194"/>
      <c r="AA60" s="194"/>
      <c r="AB60" s="194"/>
      <c r="AC60" s="194"/>
      <c r="AD60" s="194"/>
      <c r="AE60" s="194"/>
      <c r="AF60" s="194"/>
      <c r="AG60" s="194"/>
      <c r="AH60" s="194"/>
      <c r="AI60" s="194"/>
      <c r="AJ60" s="194"/>
      <c r="AK60" s="194"/>
      <c r="AL60" s="194"/>
      <c r="AM60" s="194"/>
      <c r="AN60" s="194"/>
      <c r="AO60" s="194"/>
      <c r="AP60" s="194"/>
      <c r="AQ60" s="194"/>
      <c r="AR60" s="194"/>
      <c r="AS60" s="194"/>
      <c r="AT60" s="204"/>
    </row>
    <row r="61" spans="1:46" ht="60" customHeight="1" x14ac:dyDescent="0.35">
      <c r="A61" s="201" t="s">
        <v>4338</v>
      </c>
      <c r="B61" s="187" t="s">
        <v>4419</v>
      </c>
      <c r="C61" s="188" t="s">
        <v>4423</v>
      </c>
      <c r="D61" s="190" t="s">
        <v>4424</v>
      </c>
      <c r="E61" s="190" t="s">
        <v>4425</v>
      </c>
      <c r="F61" s="192" t="str">
        <f>IF(COUNTIF(G61:AT61,"&lt;&gt;")=0,"",SUMPRODUCT(((Recommendations[ImplStatus]="Implemented")+(Recommendations[ImplStatus]="Compensated"))*ISNUMBER(MATCH(Recommendations[Id],G61:AT61,0)))/COUNTIF(G61:AT61,"&lt;&gt;"))</f>
        <v/>
      </c>
      <c r="G61" s="194"/>
      <c r="H61" s="194"/>
      <c r="I61" s="194"/>
      <c r="J61" s="194"/>
      <c r="K61" s="194"/>
      <c r="L61" s="194"/>
      <c r="M61" s="194"/>
      <c r="N61" s="194"/>
      <c r="O61" s="194"/>
      <c r="P61" s="194"/>
      <c r="Q61" s="194"/>
      <c r="R61" s="194"/>
      <c r="S61" s="194"/>
      <c r="T61" s="194"/>
      <c r="U61" s="194"/>
      <c r="V61" s="194"/>
      <c r="W61" s="194"/>
      <c r="X61" s="194"/>
      <c r="Y61" s="194"/>
      <c r="Z61" s="194"/>
      <c r="AA61" s="194"/>
      <c r="AB61" s="194"/>
      <c r="AC61" s="194"/>
      <c r="AD61" s="194"/>
      <c r="AE61" s="194"/>
      <c r="AF61" s="194"/>
      <c r="AG61" s="194"/>
      <c r="AH61" s="194"/>
      <c r="AI61" s="194"/>
      <c r="AJ61" s="194"/>
      <c r="AK61" s="194"/>
      <c r="AL61" s="194"/>
      <c r="AM61" s="194"/>
      <c r="AN61" s="194"/>
      <c r="AO61" s="194"/>
      <c r="AP61" s="194"/>
      <c r="AQ61" s="194"/>
      <c r="AR61" s="194"/>
      <c r="AS61" s="194"/>
      <c r="AT61" s="204"/>
    </row>
    <row r="62" spans="1:46" ht="60" customHeight="1" outlineLevel="1" x14ac:dyDescent="0.35">
      <c r="A62" s="200" t="s">
        <v>4338</v>
      </c>
      <c r="B62" s="186" t="s">
        <v>4426</v>
      </c>
      <c r="C62" s="186"/>
      <c r="D62" s="189" t="s">
        <v>4427</v>
      </c>
      <c r="E62" s="189"/>
      <c r="F62" s="191" t="str">
        <f>IF(COUNTIF(G62:AT62,"&lt;&gt;")=0,"",SUMPRODUCT(((Recommendations[ImplStatus]="Implemented")+(Recommendations[ImplStatus]="Compensated"))*ISNUMBER(MATCH(Recommendations[Id],G62:AT62,0)))/COUNTIF(G62:AT62,"&lt;&gt;"))</f>
        <v/>
      </c>
      <c r="G62" s="193"/>
      <c r="H62" s="193"/>
      <c r="I62" s="193"/>
      <c r="J62" s="193"/>
      <c r="K62" s="193"/>
      <c r="L62" s="193"/>
      <c r="M62" s="193"/>
      <c r="N62" s="193"/>
      <c r="O62" s="193"/>
      <c r="P62" s="193"/>
      <c r="Q62" s="193"/>
      <c r="R62" s="193"/>
      <c r="S62" s="193"/>
      <c r="T62" s="193"/>
      <c r="U62" s="193"/>
      <c r="V62" s="193"/>
      <c r="W62" s="193"/>
      <c r="X62" s="193"/>
      <c r="Y62" s="193"/>
      <c r="Z62" s="193"/>
      <c r="AA62" s="193"/>
      <c r="AB62" s="193"/>
      <c r="AC62" s="193"/>
      <c r="AD62" s="193"/>
      <c r="AE62" s="193"/>
      <c r="AF62" s="193"/>
      <c r="AG62" s="193"/>
      <c r="AH62" s="193"/>
      <c r="AI62" s="193"/>
      <c r="AJ62" s="193"/>
      <c r="AK62" s="193"/>
      <c r="AL62" s="193"/>
      <c r="AM62" s="193"/>
      <c r="AN62" s="193"/>
      <c r="AO62" s="193"/>
      <c r="AP62" s="193"/>
      <c r="AQ62" s="193"/>
      <c r="AR62" s="193"/>
      <c r="AS62" s="193"/>
      <c r="AT62" s="203"/>
    </row>
    <row r="63" spans="1:46" ht="60" customHeight="1" x14ac:dyDescent="0.35">
      <c r="A63" s="201" t="s">
        <v>4338</v>
      </c>
      <c r="B63" s="187" t="s">
        <v>4426</v>
      </c>
      <c r="C63" s="188" t="s">
        <v>4428</v>
      </c>
      <c r="D63" s="190" t="s">
        <v>4429</v>
      </c>
      <c r="E63" s="190" t="s">
        <v>4430</v>
      </c>
      <c r="F63" s="192" t="str">
        <f>IF(COUNTIF(G63:AT63,"&lt;&gt;")=0,"",SUMPRODUCT(((Recommendations[ImplStatus]="Implemented")+(Recommendations[ImplStatus]="Compensated"))*ISNUMBER(MATCH(Recommendations[Id],G63:AT63,0)))/COUNTIF(G63:AT63,"&lt;&gt;"))</f>
        <v/>
      </c>
      <c r="G63" s="194"/>
      <c r="H63" s="194"/>
      <c r="I63" s="194"/>
      <c r="J63" s="194"/>
      <c r="K63" s="194"/>
      <c r="L63" s="194"/>
      <c r="M63" s="194"/>
      <c r="N63" s="194"/>
      <c r="O63" s="194"/>
      <c r="P63" s="194"/>
      <c r="Q63" s="194"/>
      <c r="R63" s="194"/>
      <c r="S63" s="194"/>
      <c r="T63" s="194"/>
      <c r="U63" s="194"/>
      <c r="V63" s="194"/>
      <c r="W63" s="194"/>
      <c r="X63" s="194"/>
      <c r="Y63" s="194"/>
      <c r="Z63" s="194"/>
      <c r="AA63" s="194"/>
      <c r="AB63" s="194"/>
      <c r="AC63" s="194"/>
      <c r="AD63" s="194"/>
      <c r="AE63" s="194"/>
      <c r="AF63" s="194"/>
      <c r="AG63" s="194"/>
      <c r="AH63" s="194"/>
      <c r="AI63" s="194"/>
      <c r="AJ63" s="194"/>
      <c r="AK63" s="194"/>
      <c r="AL63" s="194"/>
      <c r="AM63" s="194"/>
      <c r="AN63" s="194"/>
      <c r="AO63" s="194"/>
      <c r="AP63" s="194"/>
      <c r="AQ63" s="194"/>
      <c r="AR63" s="194"/>
      <c r="AS63" s="194"/>
      <c r="AT63" s="204"/>
    </row>
    <row r="64" spans="1:46" ht="60" customHeight="1" x14ac:dyDescent="0.35">
      <c r="A64" s="201" t="s">
        <v>4338</v>
      </c>
      <c r="B64" s="187" t="s">
        <v>4426</v>
      </c>
      <c r="C64" s="188" t="s">
        <v>4431</v>
      </c>
      <c r="D64" s="190" t="s">
        <v>4432</v>
      </c>
      <c r="E64" s="190" t="s">
        <v>4433</v>
      </c>
      <c r="F64" s="192" t="str">
        <f>IF(COUNTIF(G64:AT64,"&lt;&gt;")=0,"",SUMPRODUCT(((Recommendations[ImplStatus]="Implemented")+(Recommendations[ImplStatus]="Compensated"))*ISNUMBER(MATCH(Recommendations[Id],G64:AT64,0)))/COUNTIF(G64:AT64,"&lt;&gt;"))</f>
        <v/>
      </c>
      <c r="G64" s="194"/>
      <c r="H64" s="194"/>
      <c r="I64" s="194"/>
      <c r="J64" s="194"/>
      <c r="K64" s="194"/>
      <c r="L64" s="194"/>
      <c r="M64" s="194"/>
      <c r="N64" s="194"/>
      <c r="O64" s="194"/>
      <c r="P64" s="194"/>
      <c r="Q64" s="194"/>
      <c r="R64" s="194"/>
      <c r="S64" s="194"/>
      <c r="T64" s="194"/>
      <c r="U64" s="194"/>
      <c r="V64" s="194"/>
      <c r="W64" s="194"/>
      <c r="X64" s="194"/>
      <c r="Y64" s="194"/>
      <c r="Z64" s="194"/>
      <c r="AA64" s="194"/>
      <c r="AB64" s="194"/>
      <c r="AC64" s="194"/>
      <c r="AD64" s="194"/>
      <c r="AE64" s="194"/>
      <c r="AF64" s="194"/>
      <c r="AG64" s="194"/>
      <c r="AH64" s="194"/>
      <c r="AI64" s="194"/>
      <c r="AJ64" s="194"/>
      <c r="AK64" s="194"/>
      <c r="AL64" s="194"/>
      <c r="AM64" s="194"/>
      <c r="AN64" s="194"/>
      <c r="AO64" s="194"/>
      <c r="AP64" s="194"/>
      <c r="AQ64" s="194"/>
      <c r="AR64" s="194"/>
      <c r="AS64" s="194"/>
      <c r="AT64" s="204"/>
    </row>
    <row r="65" spans="1:46" ht="60" customHeight="1" x14ac:dyDescent="0.35">
      <c r="A65" s="201" t="s">
        <v>4338</v>
      </c>
      <c r="B65" s="187" t="s">
        <v>4426</v>
      </c>
      <c r="C65" s="188" t="s">
        <v>4434</v>
      </c>
      <c r="D65" s="190" t="s">
        <v>4435</v>
      </c>
      <c r="E65" s="190" t="s">
        <v>4436</v>
      </c>
      <c r="F65" s="192" t="str">
        <f>IF(COUNTIF(G65:AT65,"&lt;&gt;")=0,"",SUMPRODUCT(((Recommendations[ImplStatus]="Implemented")+(Recommendations[ImplStatus]="Compensated"))*ISNUMBER(MATCH(Recommendations[Id],G65:AT65,0)))/COUNTIF(G65:AT65,"&lt;&gt;"))</f>
        <v/>
      </c>
      <c r="G65" s="194"/>
      <c r="H65" s="194"/>
      <c r="I65" s="194"/>
      <c r="J65" s="194"/>
      <c r="K65" s="194"/>
      <c r="L65" s="194"/>
      <c r="M65" s="194"/>
      <c r="N65" s="194"/>
      <c r="O65" s="194"/>
      <c r="P65" s="194"/>
      <c r="Q65" s="194"/>
      <c r="R65" s="194"/>
      <c r="S65" s="194"/>
      <c r="T65" s="194"/>
      <c r="U65" s="194"/>
      <c r="V65" s="194"/>
      <c r="W65" s="194"/>
      <c r="X65" s="194"/>
      <c r="Y65" s="194"/>
      <c r="Z65" s="194"/>
      <c r="AA65" s="194"/>
      <c r="AB65" s="194"/>
      <c r="AC65" s="194"/>
      <c r="AD65" s="194"/>
      <c r="AE65" s="194"/>
      <c r="AF65" s="194"/>
      <c r="AG65" s="194"/>
      <c r="AH65" s="194"/>
      <c r="AI65" s="194"/>
      <c r="AJ65" s="194"/>
      <c r="AK65" s="194"/>
      <c r="AL65" s="194"/>
      <c r="AM65" s="194"/>
      <c r="AN65" s="194"/>
      <c r="AO65" s="194"/>
      <c r="AP65" s="194"/>
      <c r="AQ65" s="194"/>
      <c r="AR65" s="194"/>
      <c r="AS65" s="194"/>
      <c r="AT65" s="204"/>
    </row>
    <row r="66" spans="1:46" ht="60" customHeight="1" x14ac:dyDescent="0.35">
      <c r="A66" s="201" t="s">
        <v>4338</v>
      </c>
      <c r="B66" s="187" t="s">
        <v>4426</v>
      </c>
      <c r="C66" s="188" t="s">
        <v>4437</v>
      </c>
      <c r="D66" s="190" t="s">
        <v>4438</v>
      </c>
      <c r="E66" s="190" t="s">
        <v>4439</v>
      </c>
      <c r="F66" s="192" t="str">
        <f>IF(COUNTIF(G66:AT66,"&lt;&gt;")=0,"",SUMPRODUCT(((Recommendations[ImplStatus]="Implemented")+(Recommendations[ImplStatus]="Compensated"))*ISNUMBER(MATCH(Recommendations[Id],G66:AT66,0)))/COUNTIF(G66:AT66,"&lt;&gt;"))</f>
        <v/>
      </c>
      <c r="G66" s="194"/>
      <c r="H66" s="194"/>
      <c r="I66" s="194"/>
      <c r="J66" s="194"/>
      <c r="K66" s="194"/>
      <c r="L66" s="194"/>
      <c r="M66" s="194"/>
      <c r="N66" s="194"/>
      <c r="O66" s="194"/>
      <c r="P66" s="194"/>
      <c r="Q66" s="194"/>
      <c r="R66" s="194"/>
      <c r="S66" s="194"/>
      <c r="T66" s="194"/>
      <c r="U66" s="194"/>
      <c r="V66" s="194"/>
      <c r="W66" s="194"/>
      <c r="X66" s="194"/>
      <c r="Y66" s="194"/>
      <c r="Z66" s="194"/>
      <c r="AA66" s="194"/>
      <c r="AB66" s="194"/>
      <c r="AC66" s="194"/>
      <c r="AD66" s="194"/>
      <c r="AE66" s="194"/>
      <c r="AF66" s="194"/>
      <c r="AG66" s="194"/>
      <c r="AH66" s="194"/>
      <c r="AI66" s="194"/>
      <c r="AJ66" s="194"/>
      <c r="AK66" s="194"/>
      <c r="AL66" s="194"/>
      <c r="AM66" s="194"/>
      <c r="AN66" s="194"/>
      <c r="AO66" s="194"/>
      <c r="AP66" s="194"/>
      <c r="AQ66" s="194"/>
      <c r="AR66" s="194"/>
      <c r="AS66" s="194"/>
      <c r="AT66" s="204"/>
    </row>
    <row r="67" spans="1:46" ht="60" customHeight="1" x14ac:dyDescent="0.35">
      <c r="A67" s="201" t="s">
        <v>4338</v>
      </c>
      <c r="B67" s="187" t="s">
        <v>4426</v>
      </c>
      <c r="C67" s="188" t="s">
        <v>4440</v>
      </c>
      <c r="D67" s="190" t="s">
        <v>4441</v>
      </c>
      <c r="E67" s="190" t="s">
        <v>4442</v>
      </c>
      <c r="F67" s="192" t="str">
        <f>IF(COUNTIF(G67:AT67,"&lt;&gt;")=0,"",SUMPRODUCT(((Recommendations[ImplStatus]="Implemented")+(Recommendations[ImplStatus]="Compensated"))*ISNUMBER(MATCH(Recommendations[Id],G67:AT67,0)))/COUNTIF(G67:AT67,"&lt;&gt;"))</f>
        <v/>
      </c>
      <c r="G67" s="194"/>
      <c r="H67" s="194"/>
      <c r="I67" s="194"/>
      <c r="J67" s="194"/>
      <c r="K67" s="194"/>
      <c r="L67" s="194"/>
      <c r="M67" s="194"/>
      <c r="N67" s="194"/>
      <c r="O67" s="194"/>
      <c r="P67" s="194"/>
      <c r="Q67" s="194"/>
      <c r="R67" s="194"/>
      <c r="S67" s="194"/>
      <c r="T67" s="194"/>
      <c r="U67" s="194"/>
      <c r="V67" s="194"/>
      <c r="W67" s="194"/>
      <c r="X67" s="194"/>
      <c r="Y67" s="194"/>
      <c r="Z67" s="194"/>
      <c r="AA67" s="194"/>
      <c r="AB67" s="194"/>
      <c r="AC67" s="194"/>
      <c r="AD67" s="194"/>
      <c r="AE67" s="194"/>
      <c r="AF67" s="194"/>
      <c r="AG67" s="194"/>
      <c r="AH67" s="194"/>
      <c r="AI67" s="194"/>
      <c r="AJ67" s="194"/>
      <c r="AK67" s="194"/>
      <c r="AL67" s="194"/>
      <c r="AM67" s="194"/>
      <c r="AN67" s="194"/>
      <c r="AO67" s="194"/>
      <c r="AP67" s="194"/>
      <c r="AQ67" s="194"/>
      <c r="AR67" s="194"/>
      <c r="AS67" s="194"/>
      <c r="AT67" s="204"/>
    </row>
    <row r="68" spans="1:46" ht="60" customHeight="1" x14ac:dyDescent="0.35">
      <c r="A68" s="201" t="s">
        <v>4338</v>
      </c>
      <c r="B68" s="187" t="s">
        <v>4426</v>
      </c>
      <c r="C68" s="188" t="s">
        <v>4443</v>
      </c>
      <c r="D68" s="190" t="s">
        <v>4444</v>
      </c>
      <c r="E68" s="190" t="s">
        <v>4445</v>
      </c>
      <c r="F68" s="192" t="str">
        <f>IF(COUNTIF(G68:AT68,"&lt;&gt;")=0,"",SUMPRODUCT(((Recommendations[ImplStatus]="Implemented")+(Recommendations[ImplStatus]="Compensated"))*ISNUMBER(MATCH(Recommendations[Id],G68:AT68,0)))/COUNTIF(G68:AT68,"&lt;&gt;"))</f>
        <v/>
      </c>
      <c r="G68" s="194"/>
      <c r="H68" s="194"/>
      <c r="I68" s="194"/>
      <c r="J68" s="194"/>
      <c r="K68" s="194"/>
      <c r="L68" s="194"/>
      <c r="M68" s="194"/>
      <c r="N68" s="194"/>
      <c r="O68" s="194"/>
      <c r="P68" s="194"/>
      <c r="Q68" s="194"/>
      <c r="R68" s="194"/>
      <c r="S68" s="194"/>
      <c r="T68" s="194"/>
      <c r="U68" s="194"/>
      <c r="V68" s="194"/>
      <c r="W68" s="194"/>
      <c r="X68" s="194"/>
      <c r="Y68" s="194"/>
      <c r="Z68" s="194"/>
      <c r="AA68" s="194"/>
      <c r="AB68" s="194"/>
      <c r="AC68" s="194"/>
      <c r="AD68" s="194"/>
      <c r="AE68" s="194"/>
      <c r="AF68" s="194"/>
      <c r="AG68" s="194"/>
      <c r="AH68" s="194"/>
      <c r="AI68" s="194"/>
      <c r="AJ68" s="194"/>
      <c r="AK68" s="194"/>
      <c r="AL68" s="194"/>
      <c r="AM68" s="194"/>
      <c r="AN68" s="194"/>
      <c r="AO68" s="194"/>
      <c r="AP68" s="194"/>
      <c r="AQ68" s="194"/>
      <c r="AR68" s="194"/>
      <c r="AS68" s="194"/>
      <c r="AT68" s="204"/>
    </row>
    <row r="69" spans="1:46" ht="60" customHeight="1" x14ac:dyDescent="0.35">
      <c r="A69" s="201" t="s">
        <v>4338</v>
      </c>
      <c r="B69" s="187" t="s">
        <v>4426</v>
      </c>
      <c r="C69" s="188" t="s">
        <v>4446</v>
      </c>
      <c r="D69" s="190" t="s">
        <v>4447</v>
      </c>
      <c r="E69" s="190" t="s">
        <v>4448</v>
      </c>
      <c r="F69" s="192" t="str">
        <f>IF(COUNTIF(G69:AT69,"&lt;&gt;")=0,"",SUMPRODUCT(((Recommendations[ImplStatus]="Implemented")+(Recommendations[ImplStatus]="Compensated"))*ISNUMBER(MATCH(Recommendations[Id],G69:AT69,0)))/COUNTIF(G69:AT69,"&lt;&gt;"))</f>
        <v/>
      </c>
      <c r="G69" s="194"/>
      <c r="H69" s="194"/>
      <c r="I69" s="194"/>
      <c r="J69" s="194"/>
      <c r="K69" s="194"/>
      <c r="L69" s="194"/>
      <c r="M69" s="194"/>
      <c r="N69" s="194"/>
      <c r="O69" s="194"/>
      <c r="P69" s="194"/>
      <c r="Q69" s="194"/>
      <c r="R69" s="194"/>
      <c r="S69" s="194"/>
      <c r="T69" s="194"/>
      <c r="U69" s="194"/>
      <c r="V69" s="194"/>
      <c r="W69" s="194"/>
      <c r="X69" s="194"/>
      <c r="Y69" s="194"/>
      <c r="Z69" s="194"/>
      <c r="AA69" s="194"/>
      <c r="AB69" s="194"/>
      <c r="AC69" s="194"/>
      <c r="AD69" s="194"/>
      <c r="AE69" s="194"/>
      <c r="AF69" s="194"/>
      <c r="AG69" s="194"/>
      <c r="AH69" s="194"/>
      <c r="AI69" s="194"/>
      <c r="AJ69" s="194"/>
      <c r="AK69" s="194"/>
      <c r="AL69" s="194"/>
      <c r="AM69" s="194"/>
      <c r="AN69" s="194"/>
      <c r="AO69" s="194"/>
      <c r="AP69" s="194"/>
      <c r="AQ69" s="194"/>
      <c r="AR69" s="194"/>
      <c r="AS69" s="194"/>
      <c r="AT69" s="204"/>
    </row>
    <row r="70" spans="1:46" ht="60" customHeight="1" x14ac:dyDescent="0.35">
      <c r="A70" s="201" t="s">
        <v>4338</v>
      </c>
      <c r="B70" s="187" t="s">
        <v>4426</v>
      </c>
      <c r="C70" s="188" t="s">
        <v>4449</v>
      </c>
      <c r="D70" s="190" t="s">
        <v>4450</v>
      </c>
      <c r="E70" s="190"/>
      <c r="F70" s="192" t="str">
        <f>IF(COUNTIF(G70:AT70,"&lt;&gt;")=0,"",SUMPRODUCT(((Recommendations[ImplStatus]="Implemented")+(Recommendations[ImplStatus]="Compensated"))*ISNUMBER(MATCH(Recommendations[Id],G70:AT70,0)))/COUNTIF(G70:AT70,"&lt;&gt;"))</f>
        <v/>
      </c>
      <c r="G70" s="194"/>
      <c r="H70" s="194"/>
      <c r="I70" s="194"/>
      <c r="J70" s="194"/>
      <c r="K70" s="194"/>
      <c r="L70" s="194"/>
      <c r="M70" s="194"/>
      <c r="N70" s="194"/>
      <c r="O70" s="194"/>
      <c r="P70" s="194"/>
      <c r="Q70" s="194"/>
      <c r="R70" s="194"/>
      <c r="S70" s="194"/>
      <c r="T70" s="194"/>
      <c r="U70" s="194"/>
      <c r="V70" s="194"/>
      <c r="W70" s="194"/>
      <c r="X70" s="194"/>
      <c r="Y70" s="194"/>
      <c r="Z70" s="194"/>
      <c r="AA70" s="194"/>
      <c r="AB70" s="194"/>
      <c r="AC70" s="194"/>
      <c r="AD70" s="194"/>
      <c r="AE70" s="194"/>
      <c r="AF70" s="194"/>
      <c r="AG70" s="194"/>
      <c r="AH70" s="194"/>
      <c r="AI70" s="194"/>
      <c r="AJ70" s="194"/>
      <c r="AK70" s="194"/>
      <c r="AL70" s="194"/>
      <c r="AM70" s="194"/>
      <c r="AN70" s="194"/>
      <c r="AO70" s="194"/>
      <c r="AP70" s="194"/>
      <c r="AQ70" s="194"/>
      <c r="AR70" s="194"/>
      <c r="AS70" s="194"/>
      <c r="AT70" s="204"/>
    </row>
    <row r="71" spans="1:46" ht="60" customHeight="1" x14ac:dyDescent="0.35">
      <c r="A71" s="201" t="s">
        <v>4338</v>
      </c>
      <c r="B71" s="187" t="s">
        <v>4426</v>
      </c>
      <c r="C71" s="188" t="s">
        <v>4451</v>
      </c>
      <c r="D71" s="190" t="s">
        <v>4452</v>
      </c>
      <c r="E71" s="190" t="s">
        <v>4453</v>
      </c>
      <c r="F71" s="192">
        <f>IF(COUNTIF(G71:AT71,"&lt;&gt;")=0,"",SUMPRODUCT(((Recommendations[ImplStatus]="Implemented")+(Recommendations[ImplStatus]="Compensated"))*ISNUMBER(MATCH(Recommendations[Id],G71:AT71,0)))/COUNTIF(G71:AT71,"&lt;&gt;"))</f>
        <v>0</v>
      </c>
      <c r="G71" s="194" t="s">
        <v>27</v>
      </c>
      <c r="H71" s="194" t="s">
        <v>33</v>
      </c>
      <c r="I71" s="194" t="s">
        <v>153</v>
      </c>
      <c r="J71" s="194"/>
      <c r="K71" s="194"/>
      <c r="L71" s="194"/>
      <c r="M71" s="194"/>
      <c r="N71" s="194"/>
      <c r="O71" s="194"/>
      <c r="P71" s="194"/>
      <c r="Q71" s="194"/>
      <c r="R71" s="194"/>
      <c r="S71" s="194"/>
      <c r="T71" s="194"/>
      <c r="U71" s="194"/>
      <c r="V71" s="194"/>
      <c r="W71" s="194"/>
      <c r="X71" s="194"/>
      <c r="Y71" s="194"/>
      <c r="Z71" s="194"/>
      <c r="AA71" s="194"/>
      <c r="AB71" s="194"/>
      <c r="AC71" s="194"/>
      <c r="AD71" s="194"/>
      <c r="AE71" s="194"/>
      <c r="AF71" s="194"/>
      <c r="AG71" s="194"/>
      <c r="AH71" s="194"/>
      <c r="AI71" s="194"/>
      <c r="AJ71" s="194"/>
      <c r="AK71" s="194"/>
      <c r="AL71" s="194"/>
      <c r="AM71" s="194"/>
      <c r="AN71" s="194"/>
      <c r="AO71" s="194"/>
      <c r="AP71" s="194"/>
      <c r="AQ71" s="194"/>
      <c r="AR71" s="194"/>
      <c r="AS71" s="194"/>
      <c r="AT71" s="204"/>
    </row>
    <row r="72" spans="1:46" ht="60" customHeight="1" x14ac:dyDescent="0.35">
      <c r="A72" s="201" t="s">
        <v>4338</v>
      </c>
      <c r="B72" s="187" t="s">
        <v>4426</v>
      </c>
      <c r="C72" s="188" t="s">
        <v>4454</v>
      </c>
      <c r="D72" s="190" t="s">
        <v>4455</v>
      </c>
      <c r="E72" s="190" t="s">
        <v>4456</v>
      </c>
      <c r="F72" s="192" t="str">
        <f>IF(COUNTIF(G72:AT72,"&lt;&gt;")=0,"",SUMPRODUCT(((Recommendations[ImplStatus]="Implemented")+(Recommendations[ImplStatus]="Compensated"))*ISNUMBER(MATCH(Recommendations[Id],G72:AT72,0)))/COUNTIF(G72:AT72,"&lt;&gt;"))</f>
        <v/>
      </c>
      <c r="G72" s="194"/>
      <c r="H72" s="194"/>
      <c r="I72" s="194"/>
      <c r="J72" s="194"/>
      <c r="K72" s="194"/>
      <c r="L72" s="194"/>
      <c r="M72" s="194"/>
      <c r="N72" s="194"/>
      <c r="O72" s="194"/>
      <c r="P72" s="194"/>
      <c r="Q72" s="194"/>
      <c r="R72" s="194"/>
      <c r="S72" s="194"/>
      <c r="T72" s="194"/>
      <c r="U72" s="194"/>
      <c r="V72" s="194"/>
      <c r="W72" s="194"/>
      <c r="X72" s="194"/>
      <c r="Y72" s="194"/>
      <c r="Z72" s="194"/>
      <c r="AA72" s="194"/>
      <c r="AB72" s="194"/>
      <c r="AC72" s="194"/>
      <c r="AD72" s="194"/>
      <c r="AE72" s="194"/>
      <c r="AF72" s="194"/>
      <c r="AG72" s="194"/>
      <c r="AH72" s="194"/>
      <c r="AI72" s="194"/>
      <c r="AJ72" s="194"/>
      <c r="AK72" s="194"/>
      <c r="AL72" s="194"/>
      <c r="AM72" s="194"/>
      <c r="AN72" s="194"/>
      <c r="AO72" s="194"/>
      <c r="AP72" s="194"/>
      <c r="AQ72" s="194"/>
      <c r="AR72" s="194"/>
      <c r="AS72" s="194"/>
      <c r="AT72" s="204"/>
    </row>
    <row r="73" spans="1:46" ht="60" customHeight="1" x14ac:dyDescent="0.35">
      <c r="A73" s="201" t="s">
        <v>4338</v>
      </c>
      <c r="B73" s="187" t="s">
        <v>4426</v>
      </c>
      <c r="C73" s="188" t="s">
        <v>4457</v>
      </c>
      <c r="D73" s="190" t="s">
        <v>4458</v>
      </c>
      <c r="E73" s="190" t="s">
        <v>4459</v>
      </c>
      <c r="F73" s="192" t="str">
        <f>IF(COUNTIF(G73:AT73,"&lt;&gt;")=0,"",SUMPRODUCT(((Recommendations[ImplStatus]="Implemented")+(Recommendations[ImplStatus]="Compensated"))*ISNUMBER(MATCH(Recommendations[Id],G73:AT73,0)))/COUNTIF(G73:AT73,"&lt;&gt;"))</f>
        <v/>
      </c>
      <c r="G73" s="194"/>
      <c r="H73" s="194"/>
      <c r="I73" s="194"/>
      <c r="J73" s="194"/>
      <c r="K73" s="194"/>
      <c r="L73" s="194"/>
      <c r="M73" s="194"/>
      <c r="N73" s="194"/>
      <c r="O73" s="194"/>
      <c r="P73" s="194"/>
      <c r="Q73" s="194"/>
      <c r="R73" s="194"/>
      <c r="S73" s="194"/>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194"/>
      <c r="AT73" s="204"/>
    </row>
    <row r="74" spans="1:46" ht="60" customHeight="1" x14ac:dyDescent="0.35">
      <c r="A74" s="201" t="s">
        <v>4338</v>
      </c>
      <c r="B74" s="187" t="s">
        <v>4426</v>
      </c>
      <c r="C74" s="188" t="s">
        <v>4460</v>
      </c>
      <c r="D74" s="190" t="s">
        <v>4461</v>
      </c>
      <c r="E74" s="190" t="s">
        <v>4462</v>
      </c>
      <c r="F74" s="192" t="str">
        <f>IF(COUNTIF(G74:AT74,"&lt;&gt;")=0,"",SUMPRODUCT(((Recommendations[ImplStatus]="Implemented")+(Recommendations[ImplStatus]="Compensated"))*ISNUMBER(MATCH(Recommendations[Id],G74:AT74,0)))/COUNTIF(G74:AT74,"&lt;&gt;"))</f>
        <v/>
      </c>
      <c r="G74" s="194"/>
      <c r="H74" s="194"/>
      <c r="I74" s="194"/>
      <c r="J74" s="194"/>
      <c r="K74" s="194"/>
      <c r="L74" s="194"/>
      <c r="M74" s="194"/>
      <c r="N74" s="194"/>
      <c r="O74" s="194"/>
      <c r="P74" s="194"/>
      <c r="Q74" s="194"/>
      <c r="R74" s="194"/>
      <c r="S74" s="194"/>
      <c r="T74" s="194"/>
      <c r="U74" s="194"/>
      <c r="V74" s="194"/>
      <c r="W74" s="194"/>
      <c r="X74" s="194"/>
      <c r="Y74" s="194"/>
      <c r="Z74" s="194"/>
      <c r="AA74" s="194"/>
      <c r="AB74" s="194"/>
      <c r="AC74" s="194"/>
      <c r="AD74" s="194"/>
      <c r="AE74" s="194"/>
      <c r="AF74" s="194"/>
      <c r="AG74" s="194"/>
      <c r="AH74" s="194"/>
      <c r="AI74" s="194"/>
      <c r="AJ74" s="194"/>
      <c r="AK74" s="194"/>
      <c r="AL74" s="194"/>
      <c r="AM74" s="194"/>
      <c r="AN74" s="194"/>
      <c r="AO74" s="194"/>
      <c r="AP74" s="194"/>
      <c r="AQ74" s="194"/>
      <c r="AR74" s="194"/>
      <c r="AS74" s="194"/>
      <c r="AT74" s="204"/>
    </row>
    <row r="75" spans="1:46" ht="60" customHeight="1" x14ac:dyDescent="0.35">
      <c r="A75" s="201" t="s">
        <v>4338</v>
      </c>
      <c r="B75" s="187" t="s">
        <v>4426</v>
      </c>
      <c r="C75" s="188" t="s">
        <v>4463</v>
      </c>
      <c r="D75" s="190" t="s">
        <v>4464</v>
      </c>
      <c r="E75" s="190" t="s">
        <v>4465</v>
      </c>
      <c r="F75" s="192" t="str">
        <f>IF(COUNTIF(G75:AT75,"&lt;&gt;")=0,"",SUMPRODUCT(((Recommendations[ImplStatus]="Implemented")+(Recommendations[ImplStatus]="Compensated"))*ISNUMBER(MATCH(Recommendations[Id],G75:AT75,0)))/COUNTIF(G75:AT75,"&lt;&gt;"))</f>
        <v/>
      </c>
      <c r="G75" s="194"/>
      <c r="H75" s="194"/>
      <c r="I75" s="194"/>
      <c r="J75" s="194"/>
      <c r="K75" s="194"/>
      <c r="L75" s="194"/>
      <c r="M75" s="194"/>
      <c r="N75" s="194"/>
      <c r="O75" s="194"/>
      <c r="P75" s="194"/>
      <c r="Q75" s="194"/>
      <c r="R75" s="194"/>
      <c r="S75" s="194"/>
      <c r="T75" s="194"/>
      <c r="U75" s="194"/>
      <c r="V75" s="194"/>
      <c r="W75" s="194"/>
      <c r="X75" s="194"/>
      <c r="Y75" s="194"/>
      <c r="Z75" s="194"/>
      <c r="AA75" s="194"/>
      <c r="AB75" s="194"/>
      <c r="AC75" s="194"/>
      <c r="AD75" s="194"/>
      <c r="AE75" s="194"/>
      <c r="AF75" s="194"/>
      <c r="AG75" s="194"/>
      <c r="AH75" s="194"/>
      <c r="AI75" s="194"/>
      <c r="AJ75" s="194"/>
      <c r="AK75" s="194"/>
      <c r="AL75" s="194"/>
      <c r="AM75" s="194"/>
      <c r="AN75" s="194"/>
      <c r="AO75" s="194"/>
      <c r="AP75" s="194"/>
      <c r="AQ75" s="194"/>
      <c r="AR75" s="194"/>
      <c r="AS75" s="194"/>
      <c r="AT75" s="204"/>
    </row>
    <row r="76" spans="1:46" ht="60" customHeight="1" x14ac:dyDescent="0.35">
      <c r="A76" s="201" t="s">
        <v>4338</v>
      </c>
      <c r="B76" s="187" t="s">
        <v>4426</v>
      </c>
      <c r="C76" s="188" t="s">
        <v>4466</v>
      </c>
      <c r="D76" s="190" t="s">
        <v>4467</v>
      </c>
      <c r="E76" s="190" t="s">
        <v>4468</v>
      </c>
      <c r="F76" s="192" t="str">
        <f>IF(COUNTIF(G76:AT76,"&lt;&gt;")=0,"",SUMPRODUCT(((Recommendations[ImplStatus]="Implemented")+(Recommendations[ImplStatus]="Compensated"))*ISNUMBER(MATCH(Recommendations[Id],G76:AT76,0)))/COUNTIF(G76:AT76,"&lt;&gt;"))</f>
        <v/>
      </c>
      <c r="G76" s="194"/>
      <c r="H76" s="194"/>
      <c r="I76" s="194"/>
      <c r="J76" s="194"/>
      <c r="K76" s="194"/>
      <c r="L76" s="194"/>
      <c r="M76" s="194"/>
      <c r="N76" s="194"/>
      <c r="O76" s="194"/>
      <c r="P76" s="194"/>
      <c r="Q76" s="194"/>
      <c r="R76" s="194"/>
      <c r="S76" s="194"/>
      <c r="T76" s="194"/>
      <c r="U76" s="194"/>
      <c r="V76" s="194"/>
      <c r="W76" s="194"/>
      <c r="X76" s="194"/>
      <c r="Y76" s="194"/>
      <c r="Z76" s="194"/>
      <c r="AA76" s="194"/>
      <c r="AB76" s="194"/>
      <c r="AC76" s="194"/>
      <c r="AD76" s="194"/>
      <c r="AE76" s="194"/>
      <c r="AF76" s="194"/>
      <c r="AG76" s="194"/>
      <c r="AH76" s="194"/>
      <c r="AI76" s="194"/>
      <c r="AJ76" s="194"/>
      <c r="AK76" s="194"/>
      <c r="AL76" s="194"/>
      <c r="AM76" s="194"/>
      <c r="AN76" s="194"/>
      <c r="AO76" s="194"/>
      <c r="AP76" s="194"/>
      <c r="AQ76" s="194"/>
      <c r="AR76" s="194"/>
      <c r="AS76" s="194"/>
      <c r="AT76" s="204"/>
    </row>
    <row r="77" spans="1:46" ht="60" customHeight="1" x14ac:dyDescent="0.35">
      <c r="A77" s="201" t="s">
        <v>4338</v>
      </c>
      <c r="B77" s="187" t="s">
        <v>4426</v>
      </c>
      <c r="C77" s="188" t="s">
        <v>4469</v>
      </c>
      <c r="D77" s="190" t="s">
        <v>4470</v>
      </c>
      <c r="E77" s="190" t="s">
        <v>4471</v>
      </c>
      <c r="F77" s="192" t="str">
        <f>IF(COUNTIF(G77:AT77,"&lt;&gt;")=0,"",SUMPRODUCT(((Recommendations[ImplStatus]="Implemented")+(Recommendations[ImplStatus]="Compensated"))*ISNUMBER(MATCH(Recommendations[Id],G77:AT77,0)))/COUNTIF(G77:AT77,"&lt;&gt;"))</f>
        <v/>
      </c>
      <c r="G77" s="194"/>
      <c r="H77" s="194"/>
      <c r="I77" s="194"/>
      <c r="J77" s="194"/>
      <c r="K77" s="194"/>
      <c r="L77" s="194"/>
      <c r="M77" s="194"/>
      <c r="N77" s="194"/>
      <c r="O77" s="194"/>
      <c r="P77" s="194"/>
      <c r="Q77" s="194"/>
      <c r="R77" s="194"/>
      <c r="S77" s="194"/>
      <c r="T77" s="194"/>
      <c r="U77" s="194"/>
      <c r="V77" s="194"/>
      <c r="W77" s="194"/>
      <c r="X77" s="194"/>
      <c r="Y77" s="194"/>
      <c r="Z77" s="194"/>
      <c r="AA77" s="194"/>
      <c r="AB77" s="194"/>
      <c r="AC77" s="194"/>
      <c r="AD77" s="194"/>
      <c r="AE77" s="194"/>
      <c r="AF77" s="194"/>
      <c r="AG77" s="194"/>
      <c r="AH77" s="194"/>
      <c r="AI77" s="194"/>
      <c r="AJ77" s="194"/>
      <c r="AK77" s="194"/>
      <c r="AL77" s="194"/>
      <c r="AM77" s="194"/>
      <c r="AN77" s="194"/>
      <c r="AO77" s="194"/>
      <c r="AP77" s="194"/>
      <c r="AQ77" s="194"/>
      <c r="AR77" s="194"/>
      <c r="AS77" s="194"/>
      <c r="AT77" s="204"/>
    </row>
    <row r="78" spans="1:46" ht="60" customHeight="1" x14ac:dyDescent="0.35">
      <c r="A78" s="201" t="s">
        <v>4338</v>
      </c>
      <c r="B78" s="187" t="s">
        <v>4426</v>
      </c>
      <c r="C78" s="188" t="s">
        <v>4472</v>
      </c>
      <c r="D78" s="190" t="s">
        <v>4473</v>
      </c>
      <c r="E78" s="190" t="s">
        <v>4474</v>
      </c>
      <c r="F78" s="192" t="str">
        <f>IF(COUNTIF(G78:AT78,"&lt;&gt;")=0,"",SUMPRODUCT(((Recommendations[ImplStatus]="Implemented")+(Recommendations[ImplStatus]="Compensated"))*ISNUMBER(MATCH(Recommendations[Id],G78:AT78,0)))/COUNTIF(G78:AT78,"&lt;&gt;"))</f>
        <v/>
      </c>
      <c r="G78" s="194"/>
      <c r="H78" s="194"/>
      <c r="I78" s="194"/>
      <c r="J78" s="194"/>
      <c r="K78" s="194"/>
      <c r="L78" s="194"/>
      <c r="M78" s="194"/>
      <c r="N78" s="194"/>
      <c r="O78" s="194"/>
      <c r="P78" s="194"/>
      <c r="Q78" s="194"/>
      <c r="R78" s="194"/>
      <c r="S78" s="194"/>
      <c r="T78" s="194"/>
      <c r="U78" s="194"/>
      <c r="V78" s="194"/>
      <c r="W78" s="194"/>
      <c r="X78" s="194"/>
      <c r="Y78" s="194"/>
      <c r="Z78" s="194"/>
      <c r="AA78" s="194"/>
      <c r="AB78" s="194"/>
      <c r="AC78" s="194"/>
      <c r="AD78" s="194"/>
      <c r="AE78" s="194"/>
      <c r="AF78" s="194"/>
      <c r="AG78" s="194"/>
      <c r="AH78" s="194"/>
      <c r="AI78" s="194"/>
      <c r="AJ78" s="194"/>
      <c r="AK78" s="194"/>
      <c r="AL78" s="194"/>
      <c r="AM78" s="194"/>
      <c r="AN78" s="194"/>
      <c r="AO78" s="194"/>
      <c r="AP78" s="194"/>
      <c r="AQ78" s="194"/>
      <c r="AR78" s="194"/>
      <c r="AS78" s="194"/>
      <c r="AT78" s="204"/>
    </row>
    <row r="79" spans="1:46" ht="60" customHeight="1" outlineLevel="1" x14ac:dyDescent="0.35">
      <c r="A79" s="200" t="s">
        <v>4338</v>
      </c>
      <c r="B79" s="186" t="s">
        <v>4426</v>
      </c>
      <c r="C79" s="186"/>
      <c r="D79" s="189" t="s">
        <v>4475</v>
      </c>
      <c r="E79" s="189"/>
      <c r="F79" s="191" t="str">
        <f>IF(COUNTIF(G79:AT79,"&lt;&gt;")=0,"",SUMPRODUCT(((Recommendations[ImplStatus]="Implemented")+(Recommendations[ImplStatus]="Compensated"))*ISNUMBER(MATCH(Recommendations[Id],G79:AT79,0)))/COUNTIF(G79:AT79,"&lt;&gt;"))</f>
        <v/>
      </c>
      <c r="G79" s="193"/>
      <c r="H79" s="193"/>
      <c r="I79" s="193"/>
      <c r="J79" s="193"/>
      <c r="K79" s="193"/>
      <c r="L79" s="193"/>
      <c r="M79" s="193"/>
      <c r="N79" s="193"/>
      <c r="O79" s="193"/>
      <c r="P79" s="193"/>
      <c r="Q79" s="193"/>
      <c r="R79" s="193"/>
      <c r="S79" s="193"/>
      <c r="T79" s="193"/>
      <c r="U79" s="193"/>
      <c r="V79" s="193"/>
      <c r="W79" s="193"/>
      <c r="X79" s="193"/>
      <c r="Y79" s="193"/>
      <c r="Z79" s="193"/>
      <c r="AA79" s="193"/>
      <c r="AB79" s="193"/>
      <c r="AC79" s="193"/>
      <c r="AD79" s="193"/>
      <c r="AE79" s="193"/>
      <c r="AF79" s="193"/>
      <c r="AG79" s="193"/>
      <c r="AH79" s="193"/>
      <c r="AI79" s="193"/>
      <c r="AJ79" s="193"/>
      <c r="AK79" s="193"/>
      <c r="AL79" s="193"/>
      <c r="AM79" s="193"/>
      <c r="AN79" s="193"/>
      <c r="AO79" s="193"/>
      <c r="AP79" s="193"/>
      <c r="AQ79" s="193"/>
      <c r="AR79" s="193"/>
      <c r="AS79" s="193"/>
      <c r="AT79" s="203"/>
    </row>
    <row r="80" spans="1:46" ht="60" customHeight="1" x14ac:dyDescent="0.35">
      <c r="A80" s="201" t="s">
        <v>4476</v>
      </c>
      <c r="B80" s="187"/>
      <c r="C80" s="188" t="s">
        <v>4477</v>
      </c>
      <c r="D80" s="190" t="s">
        <v>4478</v>
      </c>
      <c r="E80" s="190" t="s">
        <v>4479</v>
      </c>
      <c r="F80" s="192">
        <f>IF(COUNTIF(G80:AT80,"&lt;&gt;")=0,"",SUMPRODUCT(((Recommendations[ImplStatus]="Implemented")+(Recommendations[ImplStatus]="Compensated"))*ISNUMBER(MATCH(Recommendations[Id],G80:AT80,0)))/COUNTIF(G80:AT80,"&lt;&gt;"))</f>
        <v>0</v>
      </c>
      <c r="G80" s="194" t="s">
        <v>417</v>
      </c>
      <c r="H80" s="194" t="s">
        <v>788</v>
      </c>
      <c r="I80" s="194" t="s">
        <v>841</v>
      </c>
      <c r="J80" s="194" t="s">
        <v>1493</v>
      </c>
      <c r="K80" s="194"/>
      <c r="L80" s="194"/>
      <c r="M80" s="194"/>
      <c r="N80" s="194"/>
      <c r="O80" s="194"/>
      <c r="P80" s="194"/>
      <c r="Q80" s="194"/>
      <c r="R80" s="194"/>
      <c r="S80" s="194"/>
      <c r="T80" s="194"/>
      <c r="U80" s="194"/>
      <c r="V80" s="194"/>
      <c r="W80" s="194"/>
      <c r="X80" s="194"/>
      <c r="Y80" s="194"/>
      <c r="Z80" s="194"/>
      <c r="AA80" s="194"/>
      <c r="AB80" s="194"/>
      <c r="AC80" s="194"/>
      <c r="AD80" s="194"/>
      <c r="AE80" s="194"/>
      <c r="AF80" s="194"/>
      <c r="AG80" s="194"/>
      <c r="AH80" s="194"/>
      <c r="AI80" s="194"/>
      <c r="AJ80" s="194"/>
      <c r="AK80" s="194"/>
      <c r="AL80" s="194"/>
      <c r="AM80" s="194"/>
      <c r="AN80" s="194"/>
      <c r="AO80" s="194"/>
      <c r="AP80" s="194"/>
      <c r="AQ80" s="194"/>
      <c r="AR80" s="194"/>
      <c r="AS80" s="194"/>
      <c r="AT80" s="204"/>
    </row>
    <row r="81" spans="1:46" ht="60" customHeight="1" x14ac:dyDescent="0.35">
      <c r="A81" s="201" t="s">
        <v>4476</v>
      </c>
      <c r="B81" s="187"/>
      <c r="C81" s="188" t="s">
        <v>4480</v>
      </c>
      <c r="D81" s="190" t="s">
        <v>4481</v>
      </c>
      <c r="E81" s="190" t="s">
        <v>4482</v>
      </c>
      <c r="F81" s="192">
        <f>IF(COUNTIF(G81:AT81,"&lt;&gt;")=0,"",SUMPRODUCT(((Recommendations[ImplStatus]="Implemented")+(Recommendations[ImplStatus]="Compensated"))*ISNUMBER(MATCH(Recommendations[Id],G81:AT81,0)))/COUNTIF(G81:AT81,"&lt;&gt;"))</f>
        <v>0</v>
      </c>
      <c r="G81" s="194" t="s">
        <v>293</v>
      </c>
      <c r="H81" s="194" t="s">
        <v>298</v>
      </c>
      <c r="I81" s="194" t="s">
        <v>303</v>
      </c>
      <c r="J81" s="194" t="s">
        <v>720</v>
      </c>
      <c r="K81" s="194" t="s">
        <v>793</v>
      </c>
      <c r="L81" s="194" t="s">
        <v>846</v>
      </c>
      <c r="M81" s="194" t="s">
        <v>851</v>
      </c>
      <c r="N81" s="194" t="s">
        <v>855</v>
      </c>
      <c r="O81" s="194" t="s">
        <v>1653</v>
      </c>
      <c r="P81" s="194"/>
      <c r="Q81" s="194"/>
      <c r="R81" s="194"/>
      <c r="S81" s="194"/>
      <c r="T81" s="194"/>
      <c r="U81" s="194"/>
      <c r="V81" s="194"/>
      <c r="W81" s="194"/>
      <c r="X81" s="194"/>
      <c r="Y81" s="194"/>
      <c r="Z81" s="194"/>
      <c r="AA81" s="194"/>
      <c r="AB81" s="194"/>
      <c r="AC81" s="194"/>
      <c r="AD81" s="194"/>
      <c r="AE81" s="194"/>
      <c r="AF81" s="194"/>
      <c r="AG81" s="194"/>
      <c r="AH81" s="194"/>
      <c r="AI81" s="194"/>
      <c r="AJ81" s="194"/>
      <c r="AK81" s="194"/>
      <c r="AL81" s="194"/>
      <c r="AM81" s="194"/>
      <c r="AN81" s="194"/>
      <c r="AO81" s="194"/>
      <c r="AP81" s="194"/>
      <c r="AQ81" s="194"/>
      <c r="AR81" s="194"/>
      <c r="AS81" s="194"/>
      <c r="AT81" s="204"/>
    </row>
    <row r="82" spans="1:46" ht="60" customHeight="1" x14ac:dyDescent="0.35">
      <c r="A82" s="201" t="s">
        <v>4476</v>
      </c>
      <c r="B82" s="187"/>
      <c r="C82" s="188" t="s">
        <v>4483</v>
      </c>
      <c r="D82" s="190" t="s">
        <v>4484</v>
      </c>
      <c r="E82" s="190" t="s">
        <v>4485</v>
      </c>
      <c r="F82" s="192">
        <f>IF(COUNTIF(G82:AT82,"&lt;&gt;")=0,"",SUMPRODUCT(((Recommendations[ImplStatus]="Implemented")+(Recommendations[ImplStatus]="Compensated"))*ISNUMBER(MATCH(Recommendations[Id],G82:AT82,0)))/COUNTIF(G82:AT82,"&lt;&gt;"))</f>
        <v>0</v>
      </c>
      <c r="G82" s="194" t="s">
        <v>588</v>
      </c>
      <c r="H82" s="194" t="s">
        <v>798</v>
      </c>
      <c r="I82" s="194" t="s">
        <v>803</v>
      </c>
      <c r="J82" s="194" t="s">
        <v>816</v>
      </c>
      <c r="K82" s="194"/>
      <c r="L82" s="194"/>
      <c r="M82" s="194"/>
      <c r="N82" s="194"/>
      <c r="O82" s="194"/>
      <c r="P82" s="194"/>
      <c r="Q82" s="194"/>
      <c r="R82" s="194"/>
      <c r="S82" s="194"/>
      <c r="T82" s="194"/>
      <c r="U82" s="194"/>
      <c r="V82" s="194"/>
      <c r="W82" s="194"/>
      <c r="X82" s="194"/>
      <c r="Y82" s="194"/>
      <c r="Z82" s="194"/>
      <c r="AA82" s="194"/>
      <c r="AB82" s="194"/>
      <c r="AC82" s="194"/>
      <c r="AD82" s="194"/>
      <c r="AE82" s="194"/>
      <c r="AF82" s="194"/>
      <c r="AG82" s="194"/>
      <c r="AH82" s="194"/>
      <c r="AI82" s="194"/>
      <c r="AJ82" s="194"/>
      <c r="AK82" s="194"/>
      <c r="AL82" s="194"/>
      <c r="AM82" s="194"/>
      <c r="AN82" s="194"/>
      <c r="AO82" s="194"/>
      <c r="AP82" s="194"/>
      <c r="AQ82" s="194"/>
      <c r="AR82" s="194"/>
      <c r="AS82" s="194"/>
      <c r="AT82" s="204"/>
    </row>
    <row r="83" spans="1:46" ht="60" customHeight="1" x14ac:dyDescent="0.35">
      <c r="A83" s="201" t="s">
        <v>4476</v>
      </c>
      <c r="B83" s="187"/>
      <c r="C83" s="188" t="s">
        <v>4486</v>
      </c>
      <c r="D83" s="190" t="s">
        <v>4487</v>
      </c>
      <c r="E83" s="190" t="s">
        <v>4488</v>
      </c>
      <c r="F83" s="192" t="str">
        <f>IF(COUNTIF(G83:AT83,"&lt;&gt;")=0,"",SUMPRODUCT(((Recommendations[ImplStatus]="Implemented")+(Recommendations[ImplStatus]="Compensated"))*ISNUMBER(MATCH(Recommendations[Id],G83:AT83,0)))/COUNTIF(G83:AT83,"&lt;&gt;"))</f>
        <v/>
      </c>
      <c r="G83" s="194"/>
      <c r="H83" s="194"/>
      <c r="I83" s="194"/>
      <c r="J83" s="194"/>
      <c r="K83" s="194"/>
      <c r="L83" s="194"/>
      <c r="M83" s="194"/>
      <c r="N83" s="194"/>
      <c r="O83" s="194"/>
      <c r="P83" s="194"/>
      <c r="Q83" s="194"/>
      <c r="R83" s="194"/>
      <c r="S83" s="194"/>
      <c r="T83" s="194"/>
      <c r="U83" s="194"/>
      <c r="V83" s="194"/>
      <c r="W83" s="194"/>
      <c r="X83" s="194"/>
      <c r="Y83" s="194"/>
      <c r="Z83" s="194"/>
      <c r="AA83" s="194"/>
      <c r="AB83" s="194"/>
      <c r="AC83" s="194"/>
      <c r="AD83" s="194"/>
      <c r="AE83" s="194"/>
      <c r="AF83" s="194"/>
      <c r="AG83" s="194"/>
      <c r="AH83" s="194"/>
      <c r="AI83" s="194"/>
      <c r="AJ83" s="194"/>
      <c r="AK83" s="194"/>
      <c r="AL83" s="194"/>
      <c r="AM83" s="194"/>
      <c r="AN83" s="194"/>
      <c r="AO83" s="194"/>
      <c r="AP83" s="194"/>
      <c r="AQ83" s="194"/>
      <c r="AR83" s="194"/>
      <c r="AS83" s="194"/>
      <c r="AT83" s="204"/>
    </row>
    <row r="84" spans="1:46" ht="60" customHeight="1" outlineLevel="1" x14ac:dyDescent="0.35">
      <c r="A84" s="200" t="s">
        <v>4476</v>
      </c>
      <c r="B84" s="186"/>
      <c r="C84" s="186"/>
      <c r="D84" s="189" t="s">
        <v>4489</v>
      </c>
      <c r="E84" s="189"/>
      <c r="F84" s="191" t="str">
        <f>IF(COUNTIF(G84:AT84,"&lt;&gt;")=0,"",SUMPRODUCT(((Recommendations[ImplStatus]="Implemented")+(Recommendations[ImplStatus]="Compensated"))*ISNUMBER(MATCH(Recommendations[Id],G84:AT84,0)))/COUNTIF(G84:AT84,"&lt;&gt;"))</f>
        <v/>
      </c>
      <c r="G84" s="193"/>
      <c r="H84" s="193"/>
      <c r="I84" s="193"/>
      <c r="J84" s="193"/>
      <c r="K84" s="193"/>
      <c r="L84" s="193"/>
      <c r="M84" s="193"/>
      <c r="N84" s="193"/>
      <c r="O84" s="193"/>
      <c r="P84" s="193"/>
      <c r="Q84" s="193"/>
      <c r="R84" s="193"/>
      <c r="S84" s="193"/>
      <c r="T84" s="193"/>
      <c r="U84" s="193"/>
      <c r="V84" s="193"/>
      <c r="W84" s="193"/>
      <c r="X84" s="193"/>
      <c r="Y84" s="193"/>
      <c r="Z84" s="193"/>
      <c r="AA84" s="193"/>
      <c r="AB84" s="193"/>
      <c r="AC84" s="193"/>
      <c r="AD84" s="193"/>
      <c r="AE84" s="193"/>
      <c r="AF84" s="193"/>
      <c r="AG84" s="193"/>
      <c r="AH84" s="193"/>
      <c r="AI84" s="193"/>
      <c r="AJ84" s="193"/>
      <c r="AK84" s="193"/>
      <c r="AL84" s="193"/>
      <c r="AM84" s="193"/>
      <c r="AN84" s="193"/>
      <c r="AO84" s="193"/>
      <c r="AP84" s="193"/>
      <c r="AQ84" s="193"/>
      <c r="AR84" s="193"/>
      <c r="AS84" s="193"/>
      <c r="AT84" s="203"/>
    </row>
    <row r="85" spans="1:46" ht="60" customHeight="1" x14ac:dyDescent="0.35">
      <c r="A85" s="201" t="s">
        <v>4490</v>
      </c>
      <c r="B85" s="187"/>
      <c r="C85" s="188" t="s">
        <v>4491</v>
      </c>
      <c r="D85" s="190" t="s">
        <v>4492</v>
      </c>
      <c r="E85" s="190" t="s">
        <v>4493</v>
      </c>
      <c r="F85" s="192">
        <f>IF(COUNTIF(G85:AT85,"&lt;&gt;")=0,"",SUMPRODUCT(((Recommendations[ImplStatus]="Implemented")+(Recommendations[ImplStatus]="Compensated"))*ISNUMBER(MATCH(Recommendations[Id],G85:AT85,0)))/COUNTIF(G85:AT85,"&lt;&gt;"))</f>
        <v>0</v>
      </c>
      <c r="G85" s="194" t="s">
        <v>269</v>
      </c>
      <c r="H85" s="194" t="s">
        <v>274</v>
      </c>
      <c r="I85" s="194" t="s">
        <v>278</v>
      </c>
      <c r="J85" s="194" t="s">
        <v>283</v>
      </c>
      <c r="K85" s="194" t="s">
        <v>1648</v>
      </c>
      <c r="L85" s="194" t="s">
        <v>1680</v>
      </c>
      <c r="M85" s="194"/>
      <c r="N85" s="194"/>
      <c r="O85" s="194"/>
      <c r="P85" s="194"/>
      <c r="Q85" s="194"/>
      <c r="R85" s="194"/>
      <c r="S85" s="194"/>
      <c r="T85" s="194"/>
      <c r="U85" s="194"/>
      <c r="V85" s="194"/>
      <c r="W85" s="194"/>
      <c r="X85" s="194"/>
      <c r="Y85" s="194"/>
      <c r="Z85" s="194"/>
      <c r="AA85" s="194"/>
      <c r="AB85" s="194"/>
      <c r="AC85" s="194"/>
      <c r="AD85" s="194"/>
      <c r="AE85" s="194"/>
      <c r="AF85" s="194"/>
      <c r="AG85" s="194"/>
      <c r="AH85" s="194"/>
      <c r="AI85" s="194"/>
      <c r="AJ85" s="194"/>
      <c r="AK85" s="194"/>
      <c r="AL85" s="194"/>
      <c r="AM85" s="194"/>
      <c r="AN85" s="194"/>
      <c r="AO85" s="194"/>
      <c r="AP85" s="194"/>
      <c r="AQ85" s="194"/>
      <c r="AR85" s="194"/>
      <c r="AS85" s="194"/>
      <c r="AT85" s="204"/>
    </row>
    <row r="86" spans="1:46" ht="60" customHeight="1" x14ac:dyDescent="0.35">
      <c r="A86" s="201" t="s">
        <v>4490</v>
      </c>
      <c r="B86" s="187"/>
      <c r="C86" s="188" t="s">
        <v>4494</v>
      </c>
      <c r="D86" s="190" t="s">
        <v>4495</v>
      </c>
      <c r="E86" s="190" t="s">
        <v>4496</v>
      </c>
      <c r="F86" s="192">
        <f>IF(COUNTIF(G86:AT86,"&lt;&gt;")=0,"",SUMPRODUCT(((Recommendations[ImplStatus]="Implemented")+(Recommendations[ImplStatus]="Compensated"))*ISNUMBER(MATCH(Recommendations[Id],G86:AT86,0)))/COUNTIF(G86:AT86,"&lt;&gt;"))</f>
        <v>0</v>
      </c>
      <c r="G86" s="194" t="s">
        <v>269</v>
      </c>
      <c r="H86" s="194" t="s">
        <v>274</v>
      </c>
      <c r="I86" s="194" t="s">
        <v>1680</v>
      </c>
      <c r="J86" s="194"/>
      <c r="K86" s="194"/>
      <c r="L86" s="194"/>
      <c r="M86" s="194"/>
      <c r="N86" s="194"/>
      <c r="O86" s="194"/>
      <c r="P86" s="194"/>
      <c r="Q86" s="194"/>
      <c r="R86" s="194"/>
      <c r="S86" s="194"/>
      <c r="T86" s="194"/>
      <c r="U86" s="194"/>
      <c r="V86" s="194"/>
      <c r="W86" s="194"/>
      <c r="X86" s="194"/>
      <c r="Y86" s="194"/>
      <c r="Z86" s="194"/>
      <c r="AA86" s="194"/>
      <c r="AB86" s="194"/>
      <c r="AC86" s="194"/>
      <c r="AD86" s="194"/>
      <c r="AE86" s="194"/>
      <c r="AF86" s="194"/>
      <c r="AG86" s="194"/>
      <c r="AH86" s="194"/>
      <c r="AI86" s="194"/>
      <c r="AJ86" s="194"/>
      <c r="AK86" s="194"/>
      <c r="AL86" s="194"/>
      <c r="AM86" s="194"/>
      <c r="AN86" s="194"/>
      <c r="AO86" s="194"/>
      <c r="AP86" s="194"/>
      <c r="AQ86" s="194"/>
      <c r="AR86" s="194"/>
      <c r="AS86" s="194"/>
      <c r="AT86" s="204"/>
    </row>
    <row r="87" spans="1:46" ht="60" customHeight="1" x14ac:dyDescent="0.35">
      <c r="A87" s="201" t="s">
        <v>4490</v>
      </c>
      <c r="B87" s="187"/>
      <c r="C87" s="188" t="s">
        <v>4497</v>
      </c>
      <c r="D87" s="190" t="s">
        <v>4498</v>
      </c>
      <c r="E87" s="190" t="s">
        <v>4499</v>
      </c>
      <c r="F87" s="192" t="str">
        <f>IF(COUNTIF(G87:AT87,"&lt;&gt;")=0,"",SUMPRODUCT(((Recommendations[ImplStatus]="Implemented")+(Recommendations[ImplStatus]="Compensated"))*ISNUMBER(MATCH(Recommendations[Id],G87:AT87,0)))/COUNTIF(G87:AT87,"&lt;&gt;"))</f>
        <v/>
      </c>
      <c r="G87" s="194"/>
      <c r="H87" s="194"/>
      <c r="I87" s="194"/>
      <c r="J87" s="194"/>
      <c r="K87" s="194"/>
      <c r="L87" s="194"/>
      <c r="M87" s="194"/>
      <c r="N87" s="194"/>
      <c r="O87" s="194"/>
      <c r="P87" s="194"/>
      <c r="Q87" s="194"/>
      <c r="R87" s="194"/>
      <c r="S87" s="194"/>
      <c r="T87" s="194"/>
      <c r="U87" s="194"/>
      <c r="V87" s="194"/>
      <c r="W87" s="194"/>
      <c r="X87" s="194"/>
      <c r="Y87" s="194"/>
      <c r="Z87" s="194"/>
      <c r="AA87" s="194"/>
      <c r="AB87" s="194"/>
      <c r="AC87" s="194"/>
      <c r="AD87" s="194"/>
      <c r="AE87" s="194"/>
      <c r="AF87" s="194"/>
      <c r="AG87" s="194"/>
      <c r="AH87" s="194"/>
      <c r="AI87" s="194"/>
      <c r="AJ87" s="194"/>
      <c r="AK87" s="194"/>
      <c r="AL87" s="194"/>
      <c r="AM87" s="194"/>
      <c r="AN87" s="194"/>
      <c r="AO87" s="194"/>
      <c r="AP87" s="194"/>
      <c r="AQ87" s="194"/>
      <c r="AR87" s="194"/>
      <c r="AS87" s="194"/>
      <c r="AT87" s="204"/>
    </row>
    <row r="88" spans="1:46" ht="60" customHeight="1" x14ac:dyDescent="0.35">
      <c r="A88" s="201" t="s">
        <v>4490</v>
      </c>
      <c r="B88" s="187"/>
      <c r="C88" s="188" t="s">
        <v>4500</v>
      </c>
      <c r="D88" s="190" t="s">
        <v>4501</v>
      </c>
      <c r="E88" s="190" t="s">
        <v>4502</v>
      </c>
      <c r="F88" s="192" t="str">
        <f>IF(COUNTIF(G88:AT88,"&lt;&gt;")=0,"",SUMPRODUCT(((Recommendations[ImplStatus]="Implemented")+(Recommendations[ImplStatus]="Compensated"))*ISNUMBER(MATCH(Recommendations[Id],G88:AT88,0)))/COUNTIF(G88:AT88,"&lt;&gt;"))</f>
        <v/>
      </c>
      <c r="G88" s="194"/>
      <c r="H88" s="194"/>
      <c r="I88" s="194"/>
      <c r="J88" s="194"/>
      <c r="K88" s="194"/>
      <c r="L88" s="194"/>
      <c r="M88" s="194"/>
      <c r="N88" s="194"/>
      <c r="O88" s="194"/>
      <c r="P88" s="194"/>
      <c r="Q88" s="194"/>
      <c r="R88" s="194"/>
      <c r="S88" s="194"/>
      <c r="T88" s="194"/>
      <c r="U88" s="194"/>
      <c r="V88" s="194"/>
      <c r="W88" s="194"/>
      <c r="X88" s="194"/>
      <c r="Y88" s="194"/>
      <c r="Z88" s="194"/>
      <c r="AA88" s="194"/>
      <c r="AB88" s="194"/>
      <c r="AC88" s="194"/>
      <c r="AD88" s="194"/>
      <c r="AE88" s="194"/>
      <c r="AF88" s="194"/>
      <c r="AG88" s="194"/>
      <c r="AH88" s="194"/>
      <c r="AI88" s="194"/>
      <c r="AJ88" s="194"/>
      <c r="AK88" s="194"/>
      <c r="AL88" s="194"/>
      <c r="AM88" s="194"/>
      <c r="AN88" s="194"/>
      <c r="AO88" s="194"/>
      <c r="AP88" s="194"/>
      <c r="AQ88" s="194"/>
      <c r="AR88" s="194"/>
      <c r="AS88" s="194"/>
      <c r="AT88" s="204"/>
    </row>
    <row r="89" spans="1:46" ht="60" customHeight="1" x14ac:dyDescent="0.35">
      <c r="A89" s="201" t="s">
        <v>4490</v>
      </c>
      <c r="B89" s="187"/>
      <c r="C89" s="188" t="s">
        <v>4503</v>
      </c>
      <c r="D89" s="190" t="s">
        <v>4504</v>
      </c>
      <c r="E89" s="190" t="s">
        <v>4505</v>
      </c>
      <c r="F89" s="192" t="str">
        <f>IF(COUNTIF(G89:AT89,"&lt;&gt;")=0,"",SUMPRODUCT(((Recommendations[ImplStatus]="Implemented")+(Recommendations[ImplStatus]="Compensated"))*ISNUMBER(MATCH(Recommendations[Id],G89:AT89,0)))/COUNTIF(G89:AT89,"&lt;&gt;"))</f>
        <v/>
      </c>
      <c r="G89" s="194"/>
      <c r="H89" s="194"/>
      <c r="I89" s="194"/>
      <c r="J89" s="194"/>
      <c r="K89" s="194"/>
      <c r="L89" s="194"/>
      <c r="M89" s="194"/>
      <c r="N89" s="194"/>
      <c r="O89" s="194"/>
      <c r="P89" s="194"/>
      <c r="Q89" s="194"/>
      <c r="R89" s="194"/>
      <c r="S89" s="194"/>
      <c r="T89" s="194"/>
      <c r="U89" s="194"/>
      <c r="V89" s="194"/>
      <c r="W89" s="194"/>
      <c r="X89" s="194"/>
      <c r="Y89" s="194"/>
      <c r="Z89" s="194"/>
      <c r="AA89" s="194"/>
      <c r="AB89" s="194"/>
      <c r="AC89" s="194"/>
      <c r="AD89" s="194"/>
      <c r="AE89" s="194"/>
      <c r="AF89" s="194"/>
      <c r="AG89" s="194"/>
      <c r="AH89" s="194"/>
      <c r="AI89" s="194"/>
      <c r="AJ89" s="194"/>
      <c r="AK89" s="194"/>
      <c r="AL89" s="194"/>
      <c r="AM89" s="194"/>
      <c r="AN89" s="194"/>
      <c r="AO89" s="194"/>
      <c r="AP89" s="194"/>
      <c r="AQ89" s="194"/>
      <c r="AR89" s="194"/>
      <c r="AS89" s="194"/>
      <c r="AT89" s="204"/>
    </row>
    <row r="90" spans="1:46" ht="60" customHeight="1" outlineLevel="1" x14ac:dyDescent="0.35">
      <c r="A90" s="200" t="s">
        <v>4490</v>
      </c>
      <c r="B90" s="186" t="s">
        <v>4506</v>
      </c>
      <c r="C90" s="186"/>
      <c r="D90" s="189" t="s">
        <v>4507</v>
      </c>
      <c r="E90" s="189"/>
      <c r="F90" s="191" t="str">
        <f>IF(COUNTIF(G90:AT90,"&lt;&gt;")=0,"",SUMPRODUCT(((Recommendations[ImplStatus]="Implemented")+(Recommendations[ImplStatus]="Compensated"))*ISNUMBER(MATCH(Recommendations[Id],G90:AT90,0)))/COUNTIF(G90:AT90,"&lt;&gt;"))</f>
        <v/>
      </c>
      <c r="G90" s="193"/>
      <c r="H90" s="193"/>
      <c r="I90" s="193"/>
      <c r="J90" s="193"/>
      <c r="K90" s="193"/>
      <c r="L90" s="193"/>
      <c r="M90" s="193"/>
      <c r="N90" s="193"/>
      <c r="O90" s="193"/>
      <c r="P90" s="193"/>
      <c r="Q90" s="193"/>
      <c r="R90" s="193"/>
      <c r="S90" s="193"/>
      <c r="T90" s="193"/>
      <c r="U90" s="193"/>
      <c r="V90" s="193"/>
      <c r="W90" s="193"/>
      <c r="X90" s="193"/>
      <c r="Y90" s="193"/>
      <c r="Z90" s="193"/>
      <c r="AA90" s="193"/>
      <c r="AB90" s="193"/>
      <c r="AC90" s="193"/>
      <c r="AD90" s="193"/>
      <c r="AE90" s="193"/>
      <c r="AF90" s="193"/>
      <c r="AG90" s="193"/>
      <c r="AH90" s="193"/>
      <c r="AI90" s="193"/>
      <c r="AJ90" s="193"/>
      <c r="AK90" s="193"/>
      <c r="AL90" s="193"/>
      <c r="AM90" s="193"/>
      <c r="AN90" s="193"/>
      <c r="AO90" s="193"/>
      <c r="AP90" s="193"/>
      <c r="AQ90" s="193"/>
      <c r="AR90" s="193"/>
      <c r="AS90" s="193"/>
      <c r="AT90" s="203"/>
    </row>
    <row r="91" spans="1:46" ht="60" customHeight="1" x14ac:dyDescent="0.35">
      <c r="A91" s="201" t="s">
        <v>4490</v>
      </c>
      <c r="B91" s="187" t="s">
        <v>4506</v>
      </c>
      <c r="C91" s="188" t="s">
        <v>4508</v>
      </c>
      <c r="D91" s="190" t="s">
        <v>4509</v>
      </c>
      <c r="E91" s="190" t="s">
        <v>4510</v>
      </c>
      <c r="F91" s="192">
        <f>IF(COUNTIF(G91:AT91,"&lt;&gt;")=0,"",SUMPRODUCT(((Recommendations[ImplStatus]="Implemented")+(Recommendations[ImplStatus]="Compensated"))*ISNUMBER(MATCH(Recommendations[Id],G91:AT91,0)))/COUNTIF(G91:AT91,"&lt;&gt;"))</f>
        <v>0</v>
      </c>
      <c r="G91" s="194" t="s">
        <v>92</v>
      </c>
      <c r="H91" s="194" t="s">
        <v>725</v>
      </c>
      <c r="I91" s="194" t="s">
        <v>730</v>
      </c>
      <c r="J91" s="194" t="s">
        <v>735</v>
      </c>
      <c r="K91" s="194" t="s">
        <v>740</v>
      </c>
      <c r="L91" s="194" t="s">
        <v>745</v>
      </c>
      <c r="M91" s="194" t="s">
        <v>750</v>
      </c>
      <c r="N91" s="194" t="s">
        <v>821</v>
      </c>
      <c r="O91" s="194" t="s">
        <v>1685</v>
      </c>
      <c r="P91" s="194" t="s">
        <v>1690</v>
      </c>
      <c r="Q91" s="194" t="s">
        <v>1695</v>
      </c>
      <c r="R91" s="194" t="s">
        <v>1699</v>
      </c>
      <c r="S91" s="194"/>
      <c r="T91" s="194"/>
      <c r="U91" s="194"/>
      <c r="V91" s="194"/>
      <c r="W91" s="194"/>
      <c r="X91" s="194"/>
      <c r="Y91" s="194"/>
      <c r="Z91" s="194"/>
      <c r="AA91" s="194"/>
      <c r="AB91" s="194"/>
      <c r="AC91" s="194"/>
      <c r="AD91" s="194"/>
      <c r="AE91" s="194"/>
      <c r="AF91" s="194"/>
      <c r="AG91" s="194"/>
      <c r="AH91" s="194"/>
      <c r="AI91" s="194"/>
      <c r="AJ91" s="194"/>
      <c r="AK91" s="194"/>
      <c r="AL91" s="194"/>
      <c r="AM91" s="194"/>
      <c r="AN91" s="194"/>
      <c r="AO91" s="194"/>
      <c r="AP91" s="194"/>
      <c r="AQ91" s="194"/>
      <c r="AR91" s="194"/>
      <c r="AS91" s="194"/>
      <c r="AT91" s="204"/>
    </row>
    <row r="92" spans="1:46" ht="60" customHeight="1" x14ac:dyDescent="0.35">
      <c r="A92" s="201" t="s">
        <v>4490</v>
      </c>
      <c r="B92" s="187" t="s">
        <v>4506</v>
      </c>
      <c r="C92" s="188" t="s">
        <v>4511</v>
      </c>
      <c r="D92" s="190" t="s">
        <v>4512</v>
      </c>
      <c r="E92" s="190" t="s">
        <v>4513</v>
      </c>
      <c r="F92" s="192">
        <f>IF(COUNTIF(G92:AT92,"&lt;&gt;")=0,"",SUMPRODUCT(((Recommendations[ImplStatus]="Implemented")+(Recommendations[ImplStatus]="Compensated"))*ISNUMBER(MATCH(Recommendations[Id],G92:AT92,0)))/COUNTIF(G92:AT92,"&lt;&gt;"))</f>
        <v>0</v>
      </c>
      <c r="G92" s="194" t="s">
        <v>593</v>
      </c>
      <c r="H92" s="194" t="s">
        <v>598</v>
      </c>
      <c r="I92" s="194" t="s">
        <v>603</v>
      </c>
      <c r="J92" s="194" t="s">
        <v>607</v>
      </c>
      <c r="K92" s="194" t="s">
        <v>611</v>
      </c>
      <c r="L92" s="194" t="s">
        <v>615</v>
      </c>
      <c r="M92" s="194" t="s">
        <v>619</v>
      </c>
      <c r="N92" s="194" t="s">
        <v>623</v>
      </c>
      <c r="O92" s="194" t="s">
        <v>644</v>
      </c>
      <c r="P92" s="194" t="s">
        <v>648</v>
      </c>
      <c r="Q92" s="194" t="s">
        <v>725</v>
      </c>
      <c r="R92" s="194" t="s">
        <v>730</v>
      </c>
      <c r="S92" s="194" t="s">
        <v>735</v>
      </c>
      <c r="T92" s="194" t="s">
        <v>740</v>
      </c>
      <c r="U92" s="194" t="s">
        <v>745</v>
      </c>
      <c r="V92" s="194" t="s">
        <v>750</v>
      </c>
      <c r="W92" s="194" t="s">
        <v>755</v>
      </c>
      <c r="X92" s="194" t="s">
        <v>760</v>
      </c>
      <c r="Y92" s="194" t="s">
        <v>774</v>
      </c>
      <c r="Z92" s="194" t="s">
        <v>779</v>
      </c>
      <c r="AA92" s="194" t="s">
        <v>783</v>
      </c>
      <c r="AB92" s="194" t="s">
        <v>821</v>
      </c>
      <c r="AC92" s="194" t="s">
        <v>831</v>
      </c>
      <c r="AD92" s="194" t="s">
        <v>1685</v>
      </c>
      <c r="AE92" s="194" t="s">
        <v>1690</v>
      </c>
      <c r="AF92" s="194" t="s">
        <v>1695</v>
      </c>
      <c r="AG92" s="194" t="s">
        <v>1699</v>
      </c>
      <c r="AH92" s="194"/>
      <c r="AI92" s="194"/>
      <c r="AJ92" s="194"/>
      <c r="AK92" s="194"/>
      <c r="AL92" s="194"/>
      <c r="AM92" s="194"/>
      <c r="AN92" s="194"/>
      <c r="AO92" s="194"/>
      <c r="AP92" s="194"/>
      <c r="AQ92" s="194"/>
      <c r="AR92" s="194"/>
      <c r="AS92" s="194"/>
      <c r="AT92" s="204"/>
    </row>
    <row r="93" spans="1:46" ht="60" customHeight="1" x14ac:dyDescent="0.35">
      <c r="A93" s="201"/>
      <c r="B93" s="187" t="s">
        <v>4506</v>
      </c>
      <c r="C93" s="188" t="s">
        <v>4514</v>
      </c>
      <c r="D93" s="190" t="s">
        <v>4515</v>
      </c>
      <c r="E93" s="190" t="s">
        <v>4516</v>
      </c>
      <c r="F93" s="192" t="str">
        <f>IF(COUNTIF(G93:AT93,"&lt;&gt;")=0,"",SUMPRODUCT(((Recommendations[ImplStatus]="Implemented")+(Recommendations[ImplStatus]="Compensated"))*ISNUMBER(MATCH(Recommendations[Id],G93:AT93,0)))/COUNTIF(G93:AT93,"&lt;&gt;"))</f>
        <v/>
      </c>
      <c r="G93" s="194"/>
      <c r="H93" s="194"/>
      <c r="I93" s="194"/>
      <c r="J93" s="194"/>
      <c r="K93" s="194"/>
      <c r="L93" s="194"/>
      <c r="M93" s="194"/>
      <c r="N93" s="194"/>
      <c r="O93" s="194"/>
      <c r="P93" s="194"/>
      <c r="Q93" s="194"/>
      <c r="R93" s="194"/>
      <c r="S93" s="194"/>
      <c r="T93" s="194"/>
      <c r="U93" s="194"/>
      <c r="V93" s="194"/>
      <c r="W93" s="194"/>
      <c r="X93" s="194"/>
      <c r="Y93" s="194"/>
      <c r="Z93" s="194"/>
      <c r="AA93" s="194"/>
      <c r="AB93" s="194"/>
      <c r="AC93" s="194"/>
      <c r="AD93" s="194"/>
      <c r="AE93" s="194"/>
      <c r="AF93" s="194"/>
      <c r="AG93" s="194"/>
      <c r="AH93" s="194"/>
      <c r="AI93" s="194"/>
      <c r="AJ93" s="194"/>
      <c r="AK93" s="194"/>
      <c r="AL93" s="194"/>
      <c r="AM93" s="194"/>
      <c r="AN93" s="194"/>
      <c r="AO93" s="194"/>
      <c r="AP93" s="194"/>
      <c r="AQ93" s="194"/>
      <c r="AR93" s="194"/>
      <c r="AS93" s="194"/>
      <c r="AT93" s="204"/>
    </row>
    <row r="94" spans="1:46" ht="60" customHeight="1" x14ac:dyDescent="0.35">
      <c r="A94" s="201"/>
      <c r="B94" s="187" t="s">
        <v>4506</v>
      </c>
      <c r="C94" s="188" t="s">
        <v>4517</v>
      </c>
      <c r="D94" s="190" t="s">
        <v>4518</v>
      </c>
      <c r="E94" s="190" t="s">
        <v>4519</v>
      </c>
      <c r="F94" s="192" t="str">
        <f>IF(COUNTIF(G94:AT94,"&lt;&gt;")=0,"",SUMPRODUCT(((Recommendations[ImplStatus]="Implemented")+(Recommendations[ImplStatus]="Compensated"))*ISNUMBER(MATCH(Recommendations[Id],G94:AT94,0)))/COUNTIF(G94:AT94,"&lt;&gt;"))</f>
        <v/>
      </c>
      <c r="G94" s="194"/>
      <c r="H94" s="194"/>
      <c r="I94" s="194"/>
      <c r="J94" s="194"/>
      <c r="K94" s="194"/>
      <c r="L94" s="194"/>
      <c r="M94" s="194"/>
      <c r="N94" s="194"/>
      <c r="O94" s="194"/>
      <c r="P94" s="194"/>
      <c r="Q94" s="194"/>
      <c r="R94" s="194"/>
      <c r="S94" s="194"/>
      <c r="T94" s="194"/>
      <c r="U94" s="194"/>
      <c r="V94" s="194"/>
      <c r="W94" s="194"/>
      <c r="X94" s="194"/>
      <c r="Y94" s="194"/>
      <c r="Z94" s="194"/>
      <c r="AA94" s="194"/>
      <c r="AB94" s="194"/>
      <c r="AC94" s="194"/>
      <c r="AD94" s="194"/>
      <c r="AE94" s="194"/>
      <c r="AF94" s="194"/>
      <c r="AG94" s="194"/>
      <c r="AH94" s="194"/>
      <c r="AI94" s="194"/>
      <c r="AJ94" s="194"/>
      <c r="AK94" s="194"/>
      <c r="AL94" s="194"/>
      <c r="AM94" s="194"/>
      <c r="AN94" s="194"/>
      <c r="AO94" s="194"/>
      <c r="AP94" s="194"/>
      <c r="AQ94" s="194"/>
      <c r="AR94" s="194"/>
      <c r="AS94" s="194"/>
      <c r="AT94" s="204"/>
    </row>
    <row r="95" spans="1:46" ht="60" customHeight="1" x14ac:dyDescent="0.35">
      <c r="A95" s="201"/>
      <c r="B95" s="187" t="s">
        <v>4506</v>
      </c>
      <c r="C95" s="188" t="s">
        <v>4520</v>
      </c>
      <c r="D95" s="190" t="s">
        <v>4521</v>
      </c>
      <c r="E95" s="190" t="s">
        <v>4522</v>
      </c>
      <c r="F95" s="192" t="str">
        <f>IF(COUNTIF(G95:AT95,"&lt;&gt;")=0,"",SUMPRODUCT(((Recommendations[ImplStatus]="Implemented")+(Recommendations[ImplStatus]="Compensated"))*ISNUMBER(MATCH(Recommendations[Id],G95:AT95,0)))/COUNTIF(G95:AT95,"&lt;&gt;"))</f>
        <v/>
      </c>
      <c r="G95" s="194"/>
      <c r="H95" s="194"/>
      <c r="I95" s="194"/>
      <c r="J95" s="194"/>
      <c r="K95" s="194"/>
      <c r="L95" s="194"/>
      <c r="M95" s="194"/>
      <c r="N95" s="194"/>
      <c r="O95" s="194"/>
      <c r="P95" s="194"/>
      <c r="Q95" s="194"/>
      <c r="R95" s="194"/>
      <c r="S95" s="194"/>
      <c r="T95" s="194"/>
      <c r="U95" s="194"/>
      <c r="V95" s="194"/>
      <c r="W95" s="194"/>
      <c r="X95" s="194"/>
      <c r="Y95" s="194"/>
      <c r="Z95" s="194"/>
      <c r="AA95" s="194"/>
      <c r="AB95" s="194"/>
      <c r="AC95" s="194"/>
      <c r="AD95" s="194"/>
      <c r="AE95" s="194"/>
      <c r="AF95" s="194"/>
      <c r="AG95" s="194"/>
      <c r="AH95" s="194"/>
      <c r="AI95" s="194"/>
      <c r="AJ95" s="194"/>
      <c r="AK95" s="194"/>
      <c r="AL95" s="194"/>
      <c r="AM95" s="194"/>
      <c r="AN95" s="194"/>
      <c r="AO95" s="194"/>
      <c r="AP95" s="194"/>
      <c r="AQ95" s="194"/>
      <c r="AR95" s="194"/>
      <c r="AS95" s="194"/>
      <c r="AT95" s="204"/>
    </row>
    <row r="96" spans="1:46" ht="60" customHeight="1" x14ac:dyDescent="0.35">
      <c r="A96" s="201"/>
      <c r="B96" s="187" t="s">
        <v>4506</v>
      </c>
      <c r="C96" s="188" t="s">
        <v>4523</v>
      </c>
      <c r="D96" s="190" t="s">
        <v>4524</v>
      </c>
      <c r="E96" s="190" t="s">
        <v>4525</v>
      </c>
      <c r="F96" s="192" t="str">
        <f>IF(COUNTIF(G96:AT96,"&lt;&gt;")=0,"",SUMPRODUCT(((Recommendations[ImplStatus]="Implemented")+(Recommendations[ImplStatus]="Compensated"))*ISNUMBER(MATCH(Recommendations[Id],G96:AT96,0)))/COUNTIF(G96:AT96,"&lt;&gt;"))</f>
        <v/>
      </c>
      <c r="G96" s="194"/>
      <c r="H96" s="194"/>
      <c r="I96" s="194"/>
      <c r="J96" s="194"/>
      <c r="K96" s="194"/>
      <c r="L96" s="194"/>
      <c r="M96" s="194"/>
      <c r="N96" s="194"/>
      <c r="O96" s="194"/>
      <c r="P96" s="194"/>
      <c r="Q96" s="194"/>
      <c r="R96" s="194"/>
      <c r="S96" s="194"/>
      <c r="T96" s="194"/>
      <c r="U96" s="194"/>
      <c r="V96" s="194"/>
      <c r="W96" s="194"/>
      <c r="X96" s="194"/>
      <c r="Y96" s="194"/>
      <c r="Z96" s="194"/>
      <c r="AA96" s="194"/>
      <c r="AB96" s="194"/>
      <c r="AC96" s="194"/>
      <c r="AD96" s="194"/>
      <c r="AE96" s="194"/>
      <c r="AF96" s="194"/>
      <c r="AG96" s="194"/>
      <c r="AH96" s="194"/>
      <c r="AI96" s="194"/>
      <c r="AJ96" s="194"/>
      <c r="AK96" s="194"/>
      <c r="AL96" s="194"/>
      <c r="AM96" s="194"/>
      <c r="AN96" s="194"/>
      <c r="AO96" s="194"/>
      <c r="AP96" s="194"/>
      <c r="AQ96" s="194"/>
      <c r="AR96" s="194"/>
      <c r="AS96" s="194"/>
      <c r="AT96" s="204"/>
    </row>
    <row r="97" spans="1:46" ht="60" customHeight="1" x14ac:dyDescent="0.35">
      <c r="A97" s="201"/>
      <c r="B97" s="187" t="s">
        <v>4506</v>
      </c>
      <c r="C97" s="188" t="s">
        <v>4526</v>
      </c>
      <c r="D97" s="190" t="s">
        <v>4527</v>
      </c>
      <c r="E97" s="190" t="s">
        <v>4528</v>
      </c>
      <c r="F97" s="192" t="str">
        <f>IF(COUNTIF(G97:AT97,"&lt;&gt;")=0,"",SUMPRODUCT(((Recommendations[ImplStatus]="Implemented")+(Recommendations[ImplStatus]="Compensated"))*ISNUMBER(MATCH(Recommendations[Id],G97:AT97,0)))/COUNTIF(G97:AT97,"&lt;&gt;"))</f>
        <v/>
      </c>
      <c r="G97" s="194"/>
      <c r="H97" s="194"/>
      <c r="I97" s="194"/>
      <c r="J97" s="194"/>
      <c r="K97" s="194"/>
      <c r="L97" s="194"/>
      <c r="M97" s="194"/>
      <c r="N97" s="194"/>
      <c r="O97" s="194"/>
      <c r="P97" s="194"/>
      <c r="Q97" s="194"/>
      <c r="R97" s="194"/>
      <c r="S97" s="194"/>
      <c r="T97" s="194"/>
      <c r="U97" s="194"/>
      <c r="V97" s="194"/>
      <c r="W97" s="194"/>
      <c r="X97" s="194"/>
      <c r="Y97" s="194"/>
      <c r="Z97" s="194"/>
      <c r="AA97" s="194"/>
      <c r="AB97" s="194"/>
      <c r="AC97" s="194"/>
      <c r="AD97" s="194"/>
      <c r="AE97" s="194"/>
      <c r="AF97" s="194"/>
      <c r="AG97" s="194"/>
      <c r="AH97" s="194"/>
      <c r="AI97" s="194"/>
      <c r="AJ97" s="194"/>
      <c r="AK97" s="194"/>
      <c r="AL97" s="194"/>
      <c r="AM97" s="194"/>
      <c r="AN97" s="194"/>
      <c r="AO97" s="194"/>
      <c r="AP97" s="194"/>
      <c r="AQ97" s="194"/>
      <c r="AR97" s="194"/>
      <c r="AS97" s="194"/>
      <c r="AT97" s="204"/>
    </row>
    <row r="98" spans="1:46" ht="60" customHeight="1" x14ac:dyDescent="0.35">
      <c r="A98" s="201"/>
      <c r="B98" s="187" t="s">
        <v>4506</v>
      </c>
      <c r="C98" s="188" t="s">
        <v>4529</v>
      </c>
      <c r="D98" s="190" t="s">
        <v>4530</v>
      </c>
      <c r="E98" s="190" t="s">
        <v>4531</v>
      </c>
      <c r="F98" s="192" t="str">
        <f>IF(COUNTIF(G98:AT98,"&lt;&gt;")=0,"",SUMPRODUCT(((Recommendations[ImplStatus]="Implemented")+(Recommendations[ImplStatus]="Compensated"))*ISNUMBER(MATCH(Recommendations[Id],G98:AT98,0)))/COUNTIF(G98:AT98,"&lt;&gt;"))</f>
        <v/>
      </c>
      <c r="G98" s="194"/>
      <c r="H98" s="194"/>
      <c r="I98" s="194"/>
      <c r="J98" s="194"/>
      <c r="K98" s="194"/>
      <c r="L98" s="194"/>
      <c r="M98" s="194"/>
      <c r="N98" s="194"/>
      <c r="O98" s="194"/>
      <c r="P98" s="194"/>
      <c r="Q98" s="194"/>
      <c r="R98" s="194"/>
      <c r="S98" s="194"/>
      <c r="T98" s="194"/>
      <c r="U98" s="194"/>
      <c r="V98" s="194"/>
      <c r="W98" s="194"/>
      <c r="X98" s="194"/>
      <c r="Y98" s="194"/>
      <c r="Z98" s="194"/>
      <c r="AA98" s="194"/>
      <c r="AB98" s="194"/>
      <c r="AC98" s="194"/>
      <c r="AD98" s="194"/>
      <c r="AE98" s="194"/>
      <c r="AF98" s="194"/>
      <c r="AG98" s="194"/>
      <c r="AH98" s="194"/>
      <c r="AI98" s="194"/>
      <c r="AJ98" s="194"/>
      <c r="AK98" s="194"/>
      <c r="AL98" s="194"/>
      <c r="AM98" s="194"/>
      <c r="AN98" s="194"/>
      <c r="AO98" s="194"/>
      <c r="AP98" s="194"/>
      <c r="AQ98" s="194"/>
      <c r="AR98" s="194"/>
      <c r="AS98" s="194"/>
      <c r="AT98" s="204"/>
    </row>
    <row r="99" spans="1:46" ht="60" customHeight="1" outlineLevel="1" x14ac:dyDescent="0.35">
      <c r="A99" s="200"/>
      <c r="B99" s="186" t="s">
        <v>4532</v>
      </c>
      <c r="C99" s="186"/>
      <c r="D99" s="189" t="s">
        <v>4533</v>
      </c>
      <c r="E99" s="189"/>
      <c r="F99" s="191" t="str">
        <f>IF(COUNTIF(G99:AT99,"&lt;&gt;")=0,"",SUMPRODUCT(((Recommendations[ImplStatus]="Implemented")+(Recommendations[ImplStatus]="Compensated"))*ISNUMBER(MATCH(Recommendations[Id],G99:AT99,0)))/COUNTIF(G99:AT99,"&lt;&gt;"))</f>
        <v/>
      </c>
      <c r="G99" s="193"/>
      <c r="H99" s="193"/>
      <c r="I99" s="193"/>
      <c r="J99" s="193"/>
      <c r="K99" s="193"/>
      <c r="L99" s="193"/>
      <c r="M99" s="193"/>
      <c r="N99" s="193"/>
      <c r="O99" s="193"/>
      <c r="P99" s="193"/>
      <c r="Q99" s="193"/>
      <c r="R99" s="193"/>
      <c r="S99" s="193"/>
      <c r="T99" s="193"/>
      <c r="U99" s="193"/>
      <c r="V99" s="193"/>
      <c r="W99" s="193"/>
      <c r="X99" s="193"/>
      <c r="Y99" s="193"/>
      <c r="Z99" s="193"/>
      <c r="AA99" s="193"/>
      <c r="AB99" s="193"/>
      <c r="AC99" s="193"/>
      <c r="AD99" s="193"/>
      <c r="AE99" s="193"/>
      <c r="AF99" s="193"/>
      <c r="AG99" s="193"/>
      <c r="AH99" s="193"/>
      <c r="AI99" s="193"/>
      <c r="AJ99" s="193"/>
      <c r="AK99" s="193"/>
      <c r="AL99" s="193"/>
      <c r="AM99" s="193"/>
      <c r="AN99" s="193"/>
      <c r="AO99" s="193"/>
      <c r="AP99" s="193"/>
      <c r="AQ99" s="193"/>
      <c r="AR99" s="193"/>
      <c r="AS99" s="193"/>
      <c r="AT99" s="203"/>
    </row>
    <row r="100" spans="1:46" ht="60" customHeight="1" x14ac:dyDescent="0.35">
      <c r="A100" s="201"/>
      <c r="B100" s="187" t="s">
        <v>4532</v>
      </c>
      <c r="C100" s="188" t="s">
        <v>4534</v>
      </c>
      <c r="D100" s="190" t="s">
        <v>4535</v>
      </c>
      <c r="E100" s="190" t="s">
        <v>4536</v>
      </c>
      <c r="F100" s="192" t="str">
        <f>IF(COUNTIF(G100:AT100,"&lt;&gt;")=0,"",SUMPRODUCT(((Recommendations[ImplStatus]="Implemented")+(Recommendations[ImplStatus]="Compensated"))*ISNUMBER(MATCH(Recommendations[Id],G100:AT100,0)))/COUNTIF(G100:AT100,"&lt;&gt;"))</f>
        <v/>
      </c>
      <c r="G100" s="194"/>
      <c r="H100" s="194"/>
      <c r="I100" s="194"/>
      <c r="J100" s="194"/>
      <c r="K100" s="194"/>
      <c r="L100" s="194"/>
      <c r="M100" s="194"/>
      <c r="N100" s="194"/>
      <c r="O100" s="194"/>
      <c r="P100" s="194"/>
      <c r="Q100" s="194"/>
      <c r="R100" s="194"/>
      <c r="S100" s="194"/>
      <c r="T100" s="194"/>
      <c r="U100" s="194"/>
      <c r="V100" s="194"/>
      <c r="W100" s="194"/>
      <c r="X100" s="194"/>
      <c r="Y100" s="194"/>
      <c r="Z100" s="194"/>
      <c r="AA100" s="194"/>
      <c r="AB100" s="194"/>
      <c r="AC100" s="194"/>
      <c r="AD100" s="194"/>
      <c r="AE100" s="194"/>
      <c r="AF100" s="194"/>
      <c r="AG100" s="194"/>
      <c r="AH100" s="194"/>
      <c r="AI100" s="194"/>
      <c r="AJ100" s="194"/>
      <c r="AK100" s="194"/>
      <c r="AL100" s="194"/>
      <c r="AM100" s="194"/>
      <c r="AN100" s="194"/>
      <c r="AO100" s="194"/>
      <c r="AP100" s="194"/>
      <c r="AQ100" s="194"/>
      <c r="AR100" s="194"/>
      <c r="AS100" s="194"/>
      <c r="AT100" s="204"/>
    </row>
    <row r="101" spans="1:46" ht="60" customHeight="1" x14ac:dyDescent="0.35">
      <c r="A101" s="201"/>
      <c r="B101" s="187" t="s">
        <v>4532</v>
      </c>
      <c r="C101" s="188" t="s">
        <v>4537</v>
      </c>
      <c r="D101" s="190" t="s">
        <v>4538</v>
      </c>
      <c r="E101" s="190" t="s">
        <v>4539</v>
      </c>
      <c r="F101" s="192" t="str">
        <f>IF(COUNTIF(G101:AT101,"&lt;&gt;")=0,"",SUMPRODUCT(((Recommendations[ImplStatus]="Implemented")+(Recommendations[ImplStatus]="Compensated"))*ISNUMBER(MATCH(Recommendations[Id],G101:AT101,0)))/COUNTIF(G101:AT101,"&lt;&gt;"))</f>
        <v/>
      </c>
      <c r="G101" s="194"/>
      <c r="H101" s="194"/>
      <c r="I101" s="194"/>
      <c r="J101" s="194"/>
      <c r="K101" s="194"/>
      <c r="L101" s="194"/>
      <c r="M101" s="194"/>
      <c r="N101" s="194"/>
      <c r="O101" s="194"/>
      <c r="P101" s="194"/>
      <c r="Q101" s="194"/>
      <c r="R101" s="194"/>
      <c r="S101" s="194"/>
      <c r="T101" s="194"/>
      <c r="U101" s="194"/>
      <c r="V101" s="194"/>
      <c r="W101" s="194"/>
      <c r="X101" s="194"/>
      <c r="Y101" s="194"/>
      <c r="Z101" s="194"/>
      <c r="AA101" s="194"/>
      <c r="AB101" s="194"/>
      <c r="AC101" s="194"/>
      <c r="AD101" s="194"/>
      <c r="AE101" s="194"/>
      <c r="AF101" s="194"/>
      <c r="AG101" s="194"/>
      <c r="AH101" s="194"/>
      <c r="AI101" s="194"/>
      <c r="AJ101" s="194"/>
      <c r="AK101" s="194"/>
      <c r="AL101" s="194"/>
      <c r="AM101" s="194"/>
      <c r="AN101" s="194"/>
      <c r="AO101" s="194"/>
      <c r="AP101" s="194"/>
      <c r="AQ101" s="194"/>
      <c r="AR101" s="194"/>
      <c r="AS101" s="194"/>
      <c r="AT101" s="204"/>
    </row>
    <row r="102" spans="1:46" ht="60" customHeight="1" x14ac:dyDescent="0.35">
      <c r="A102" s="201"/>
      <c r="B102" s="187" t="s">
        <v>4532</v>
      </c>
      <c r="C102" s="188" t="s">
        <v>4540</v>
      </c>
      <c r="D102" s="190" t="s">
        <v>4541</v>
      </c>
      <c r="E102" s="190" t="s">
        <v>4542</v>
      </c>
      <c r="F102" s="192" t="str">
        <f>IF(COUNTIF(G102:AT102,"&lt;&gt;")=0,"",SUMPRODUCT(((Recommendations[ImplStatus]="Implemented")+(Recommendations[ImplStatus]="Compensated"))*ISNUMBER(MATCH(Recommendations[Id],G102:AT102,0)))/COUNTIF(G102:AT102,"&lt;&gt;"))</f>
        <v/>
      </c>
      <c r="G102" s="194"/>
      <c r="H102" s="194"/>
      <c r="I102" s="194"/>
      <c r="J102" s="194"/>
      <c r="K102" s="194"/>
      <c r="L102" s="194"/>
      <c r="M102" s="194"/>
      <c r="N102" s="194"/>
      <c r="O102" s="194"/>
      <c r="P102" s="194"/>
      <c r="Q102" s="194"/>
      <c r="R102" s="194"/>
      <c r="S102" s="194"/>
      <c r="T102" s="194"/>
      <c r="U102" s="194"/>
      <c r="V102" s="194"/>
      <c r="W102" s="194"/>
      <c r="X102" s="194"/>
      <c r="Y102" s="194"/>
      <c r="Z102" s="194"/>
      <c r="AA102" s="194"/>
      <c r="AB102" s="194"/>
      <c r="AC102" s="194"/>
      <c r="AD102" s="194"/>
      <c r="AE102" s="194"/>
      <c r="AF102" s="194"/>
      <c r="AG102" s="194"/>
      <c r="AH102" s="194"/>
      <c r="AI102" s="194"/>
      <c r="AJ102" s="194"/>
      <c r="AK102" s="194"/>
      <c r="AL102" s="194"/>
      <c r="AM102" s="194"/>
      <c r="AN102" s="194"/>
      <c r="AO102" s="194"/>
      <c r="AP102" s="194"/>
      <c r="AQ102" s="194"/>
      <c r="AR102" s="194"/>
      <c r="AS102" s="194"/>
      <c r="AT102" s="204"/>
    </row>
    <row r="103" spans="1:46" ht="60" customHeight="1" x14ac:dyDescent="0.35">
      <c r="A103" s="201"/>
      <c r="B103" s="187" t="s">
        <v>4532</v>
      </c>
      <c r="C103" s="188" t="s">
        <v>4543</v>
      </c>
      <c r="D103" s="190" t="s">
        <v>4544</v>
      </c>
      <c r="E103" s="190" t="s">
        <v>4545</v>
      </c>
      <c r="F103" s="192" t="str">
        <f>IF(COUNTIF(G103:AT103,"&lt;&gt;")=0,"",SUMPRODUCT(((Recommendations[ImplStatus]="Implemented")+(Recommendations[ImplStatus]="Compensated"))*ISNUMBER(MATCH(Recommendations[Id],G103:AT103,0)))/COUNTIF(G103:AT103,"&lt;&gt;"))</f>
        <v/>
      </c>
      <c r="G103" s="194"/>
      <c r="H103" s="194"/>
      <c r="I103" s="194"/>
      <c r="J103" s="194"/>
      <c r="K103" s="194"/>
      <c r="L103" s="194"/>
      <c r="M103" s="194"/>
      <c r="N103" s="194"/>
      <c r="O103" s="194"/>
      <c r="P103" s="194"/>
      <c r="Q103" s="194"/>
      <c r="R103" s="194"/>
      <c r="S103" s="194"/>
      <c r="T103" s="194"/>
      <c r="U103" s="194"/>
      <c r="V103" s="194"/>
      <c r="W103" s="194"/>
      <c r="X103" s="194"/>
      <c r="Y103" s="194"/>
      <c r="Z103" s="194"/>
      <c r="AA103" s="194"/>
      <c r="AB103" s="194"/>
      <c r="AC103" s="194"/>
      <c r="AD103" s="194"/>
      <c r="AE103" s="194"/>
      <c r="AF103" s="194"/>
      <c r="AG103" s="194"/>
      <c r="AH103" s="194"/>
      <c r="AI103" s="194"/>
      <c r="AJ103" s="194"/>
      <c r="AK103" s="194"/>
      <c r="AL103" s="194"/>
      <c r="AM103" s="194"/>
      <c r="AN103" s="194"/>
      <c r="AO103" s="194"/>
      <c r="AP103" s="194"/>
      <c r="AQ103" s="194"/>
      <c r="AR103" s="194"/>
      <c r="AS103" s="194"/>
      <c r="AT103" s="204"/>
    </row>
    <row r="104" spans="1:46" ht="60" customHeight="1" x14ac:dyDescent="0.35">
      <c r="A104" s="202"/>
      <c r="B104" s="195" t="s">
        <v>4532</v>
      </c>
      <c r="C104" s="196" t="s">
        <v>4546</v>
      </c>
      <c r="D104" s="197" t="s">
        <v>4547</v>
      </c>
      <c r="E104" s="197" t="s">
        <v>4548</v>
      </c>
      <c r="F104" s="198" t="str">
        <f>IF(COUNTIF(G104:AT104,"&lt;&gt;")=0,"",SUMPRODUCT(((Recommendations[ImplStatus]="Implemented")+(Recommendations[ImplStatus]="Compensated"))*ISNUMBER(MATCH(Recommendations[Id],G104:AT104,0)))/COUNTIF(G104:AT104,"&lt;&gt;"))</f>
        <v/>
      </c>
      <c r="G104" s="199"/>
      <c r="H104" s="199"/>
      <c r="I104" s="199"/>
      <c r="J104" s="199"/>
      <c r="K104" s="199"/>
      <c r="L104" s="199"/>
      <c r="M104" s="199"/>
      <c r="N104" s="199"/>
      <c r="O104" s="199"/>
      <c r="P104" s="199"/>
      <c r="Q104" s="199"/>
      <c r="R104" s="199"/>
      <c r="S104" s="199"/>
      <c r="T104" s="199"/>
      <c r="U104" s="199"/>
      <c r="V104" s="199"/>
      <c r="W104" s="199"/>
      <c r="X104" s="199"/>
      <c r="Y104" s="199"/>
      <c r="Z104" s="199"/>
      <c r="AA104" s="199"/>
      <c r="AB104" s="199"/>
      <c r="AC104" s="199"/>
      <c r="AD104" s="199"/>
      <c r="AE104" s="199"/>
      <c r="AF104" s="199"/>
      <c r="AG104" s="199"/>
      <c r="AH104" s="199"/>
      <c r="AI104" s="199"/>
      <c r="AJ104" s="199"/>
      <c r="AK104" s="199"/>
      <c r="AL104" s="199"/>
      <c r="AM104" s="199"/>
      <c r="AN104" s="199"/>
      <c r="AO104" s="199"/>
      <c r="AP104" s="199"/>
      <c r="AQ104" s="199"/>
      <c r="AR104" s="199"/>
      <c r="AS104" s="199"/>
      <c r="AT104" s="205"/>
    </row>
    <row r="108" spans="1:46" ht="32" customHeight="1" x14ac:dyDescent="0.35">
      <c r="A108" s="288" t="s">
        <v>1787</v>
      </c>
      <c r="B108" s="288"/>
      <c r="C108" s="288"/>
      <c r="D108" s="288"/>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IFERROR(INDEX('Recommendations'!$G$2:$G$376, MATCH(G2,'Recommendations'!$A$2:$A$376,0))="Implemented", FALSE))</xm:f>
            <x14:dxf>
              <font>
                <color rgb="FF000000"/>
              </font>
              <fill>
                <patternFill>
                  <bgColor rgb="FF3C7D22"/>
                </patternFill>
              </fill>
            </x14:dxf>
          </x14:cfRule>
          <x14:cfRule type="expression" priority="2" id="{00000000-000E-0000-0800-000002000000}">
            <xm:f>AND(G2&lt;&gt;"", IFERROR(INDEX('Recommendations'!$G$2:$G$376, MATCH(G2,'Recommendations'!$A$2:$A$376,0))="Compensated", FALSE))</xm:f>
            <x14:dxf>
              <font>
                <color rgb="FF000000"/>
              </font>
              <fill>
                <patternFill>
                  <bgColor rgb="FFC6E0B4"/>
                </patternFill>
              </fill>
            </x14:dxf>
          </x14:cfRule>
          <x14:cfRule type="expression" priority="3" id="{00000000-000E-0000-0800-000003000000}">
            <xm:f>AND(G2&lt;&gt;"", IFERROR(INDEX('Recommendations'!$G$2:$G$376, MATCH(G2,'Recommendations'!$A$2:$A$376,0))="Testing", FALSE))</xm:f>
            <x14:dxf>
              <font>
                <color rgb="FF000000"/>
              </font>
              <fill>
                <patternFill>
                  <bgColor rgb="FFFFC000"/>
                </patternFill>
              </fill>
            </x14:dxf>
          </x14:cfRule>
          <x14:cfRule type="expression" priority="4" id="{00000000-000E-0000-0800-000004000000}">
            <xm:f>AND(G2&lt;&gt;"", IFERROR(INDEX('Recommendations'!$G$2:$G$376, MATCH(G2,'Recommendations'!$A$2:$A$376,0))="Failed", FALSE))</xm:f>
            <x14:dxf>
              <font>
                <color rgb="FF000000"/>
              </font>
              <fill>
                <patternFill>
                  <bgColor rgb="FFD82891"/>
                </patternFill>
              </fill>
            </x14:dxf>
          </x14:cfRule>
          <x14:cfRule type="expression" priority="5" id="{00000000-000E-0000-0800-000005000000}">
            <xm:f>AND(G2&lt;&gt;"", IFERROR(INDEX('Recommendations'!$G$2:$G$376, MATCH(G2,'Recommendations'!$A$2:$A$376,0))="Risk Accepted", FALSE))</xm:f>
            <x14:dxf>
              <font>
                <color rgb="FF000000"/>
              </font>
              <fill>
                <patternFill>
                  <bgColor rgb="FFD9D9D9"/>
                </patternFill>
              </fill>
            </x14:dxf>
          </x14:cfRule>
          <x14:cfRule type="expression" priority="6" id="{00000000-000E-0000-0800-000006000000}">
            <xm:f>AND(G2&lt;&gt;"", IFERROR(INDEX('Recommendations'!$G$2:$G$376, MATCH(G2,'Recommendations'!$A$2:$A$376,0))="N/A",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Oracle Linux 8 Security Technical Implementation Guide - SHGIR</dc:title>
  <dc:subject>Generated on: 2026-06-08 11:31:41</dc:subject>
  <dc:creator>Anicet Fopa Tchoffo</dc:creator>
  <cp:keywords>Baseline;Hardening;DISA;STIG</cp:keywords>
  <dc:description>Baseline Developed By: Oracle and Defense Information Systems Agency (DISA) for the US DoD</dc:description>
  <cp:lastModifiedBy>Anicet Fopa Tchoffo</cp:lastModifiedBy>
  <dcterms:modified xsi:type="dcterms:W3CDTF">2026-06-08T10:31:51Z</dcterms:modified>
  <cp:category>DISA-STIG</cp:category>
  <cp:contentStatus>Draft</cp:contentStatus>
</cp:coreProperties>
</file>