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83E7DB0A245BA18E84D2E197B225AF05C64DC24D" xr6:coauthVersionLast="47" xr6:coauthVersionMax="47" xr10:uidLastSave="{52C59204-560E-464B-BF14-A1C7FB6F967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F135" i="3" s="1"/>
  <c r="M17" i="1"/>
  <c r="M16" i="1"/>
  <c r="M15" i="1"/>
  <c r="M14" i="1"/>
  <c r="M13" i="1"/>
  <c r="M12" i="1"/>
  <c r="M11" i="1"/>
  <c r="M10" i="1"/>
  <c r="M9" i="1"/>
  <c r="M8" i="1"/>
  <c r="M7" i="1"/>
  <c r="M6" i="1"/>
  <c r="M5" i="1"/>
  <c r="M4" i="1"/>
  <c r="M3" i="1"/>
  <c r="M2" i="1"/>
  <c r="R210" i="3"/>
  <c r="R209" i="3"/>
  <c r="R208" i="3"/>
  <c r="R207" i="3"/>
  <c r="R206" i="3"/>
  <c r="R205" i="3"/>
  <c r="R204" i="3"/>
  <c r="R203" i="3"/>
  <c r="R202" i="3"/>
  <c r="R201" i="3"/>
  <c r="R200" i="3"/>
  <c r="R199" i="3"/>
  <c r="R198" i="3"/>
  <c r="R197" i="3"/>
  <c r="R196" i="3"/>
  <c r="R195" i="3"/>
  <c r="R194" i="3"/>
  <c r="R193" i="3"/>
  <c r="R192" i="3"/>
  <c r="R191" i="3"/>
  <c r="O135" i="3"/>
  <c r="N135" i="3"/>
  <c r="M135" i="3"/>
  <c r="L135" i="3"/>
  <c r="K135" i="3"/>
  <c r="E135" i="3"/>
  <c r="O134" i="3"/>
  <c r="N134" i="3"/>
  <c r="M134" i="3"/>
  <c r="L134" i="3"/>
  <c r="K134" i="3"/>
  <c r="F134" i="3"/>
  <c r="E134" i="3"/>
  <c r="G134" i="3" s="1"/>
  <c r="O133" i="3"/>
  <c r="N133" i="3"/>
  <c r="M133" i="3"/>
  <c r="L133" i="3"/>
  <c r="K133" i="3"/>
  <c r="F133" i="3"/>
  <c r="E133" i="3"/>
  <c r="G133" i="3" s="1"/>
  <c r="O132" i="3"/>
  <c r="N132" i="3"/>
  <c r="M132" i="3"/>
  <c r="L132" i="3"/>
  <c r="K132" i="3"/>
  <c r="F132" i="3"/>
  <c r="E132" i="3"/>
  <c r="G132" i="3" s="1"/>
  <c r="O131" i="3"/>
  <c r="N131" i="3"/>
  <c r="M131" i="3"/>
  <c r="L131" i="3"/>
  <c r="K131" i="3"/>
  <c r="F131" i="3"/>
  <c r="E131" i="3"/>
  <c r="G131" i="3" s="1"/>
  <c r="O130" i="3"/>
  <c r="N130" i="3"/>
  <c r="M130" i="3"/>
  <c r="L130" i="3"/>
  <c r="K130" i="3"/>
  <c r="F130" i="3"/>
  <c r="E130" i="3"/>
  <c r="G130" i="3" s="1"/>
  <c r="E116" i="3"/>
  <c r="D116" i="3"/>
  <c r="C116" i="3"/>
  <c r="F116" i="3" s="1"/>
  <c r="E115" i="3"/>
  <c r="D115" i="3"/>
  <c r="C115" i="3"/>
  <c r="F115" i="3" s="1"/>
  <c r="E114" i="3"/>
  <c r="D114" i="3"/>
  <c r="C114" i="3"/>
  <c r="F114" i="3" s="1"/>
  <c r="E113" i="3"/>
  <c r="D113" i="3"/>
  <c r="C113" i="3"/>
  <c r="F113" i="3" s="1"/>
  <c r="C101" i="3"/>
  <c r="E96" i="3"/>
  <c r="D96" i="3"/>
  <c r="C96" i="3"/>
  <c r="F96" i="3" s="1"/>
  <c r="F95" i="3"/>
  <c r="E103" i="3" s="1"/>
  <c r="E95" i="3"/>
  <c r="D95" i="3"/>
  <c r="C95" i="3"/>
  <c r="E94" i="3"/>
  <c r="D94" i="3"/>
  <c r="C94" i="3"/>
  <c r="W146" i="3" s="1"/>
  <c r="F93" i="3"/>
  <c r="V178" i="3" s="1"/>
  <c r="E93" i="3"/>
  <c r="D93" i="3"/>
  <c r="C93" i="3"/>
  <c r="U146" i="3" s="1"/>
  <c r="F92" i="3"/>
  <c r="T178" i="3" s="1"/>
  <c r="E92" i="3"/>
  <c r="D92" i="3"/>
  <c r="C92" i="3"/>
  <c r="S146" i="3" s="1"/>
  <c r="E77" i="3"/>
  <c r="D77" i="3"/>
  <c r="C77" i="3"/>
  <c r="F77" i="3" s="1"/>
  <c r="E76" i="3"/>
  <c r="D76" i="3"/>
  <c r="C76" i="3"/>
  <c r="F76" i="3" s="1"/>
  <c r="E75" i="3"/>
  <c r="D75" i="3"/>
  <c r="C75" i="3"/>
  <c r="F75" i="3" s="1"/>
  <c r="E57" i="3"/>
  <c r="F57" i="3" s="1"/>
  <c r="D57" i="3"/>
  <c r="C57" i="3"/>
  <c r="E56" i="3"/>
  <c r="F56" i="3" s="1"/>
  <c r="D56" i="3"/>
  <c r="C56" i="3"/>
  <c r="E55" i="3"/>
  <c r="D55" i="3"/>
  <c r="C55" i="3"/>
  <c r="F55" i="3" s="1"/>
  <c r="E54" i="3"/>
  <c r="D54" i="3"/>
  <c r="C54" i="3"/>
  <c r="F54" i="3" s="1"/>
  <c r="E53" i="3"/>
  <c r="F53" i="3" s="1"/>
  <c r="D53" i="3"/>
  <c r="C53" i="3"/>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Q146" i="3" s="1"/>
  <c r="D9" i="3"/>
  <c r="C9" i="3"/>
  <c r="C8" i="3"/>
  <c r="D8" i="3" s="1"/>
  <c r="E104" i="3" l="1"/>
  <c r="D104" i="3"/>
  <c r="C104" i="3"/>
  <c r="E81" i="3"/>
  <c r="D81" i="3"/>
  <c r="C81" i="3"/>
  <c r="C38" i="3"/>
  <c r="D38" i="3"/>
  <c r="E38" i="3"/>
  <c r="C83" i="3"/>
  <c r="E83" i="3"/>
  <c r="D83" i="3"/>
  <c r="C62" i="3"/>
  <c r="E62" i="3"/>
  <c r="D62" i="3"/>
  <c r="D63" i="3"/>
  <c r="E63" i="3"/>
  <c r="C63" i="3"/>
  <c r="E120" i="3"/>
  <c r="D120" i="3"/>
  <c r="C120" i="3"/>
  <c r="E40" i="3"/>
  <c r="D40" i="3"/>
  <c r="C40" i="3"/>
  <c r="E61" i="3"/>
  <c r="D61" i="3"/>
  <c r="C61" i="3"/>
  <c r="D39" i="3"/>
  <c r="E39" i="3"/>
  <c r="C39" i="3"/>
  <c r="E41" i="3"/>
  <c r="D41" i="3"/>
  <c r="C41" i="3"/>
  <c r="C122" i="3"/>
  <c r="E122" i="3"/>
  <c r="D122" i="3"/>
  <c r="E121" i="3"/>
  <c r="D121" i="3"/>
  <c r="C121" i="3"/>
  <c r="G135" i="3"/>
  <c r="E82" i="3"/>
  <c r="D82" i="3"/>
  <c r="C82" i="3"/>
  <c r="E64" i="3"/>
  <c r="D64" i="3"/>
  <c r="C64" i="3"/>
  <c r="C42" i="3"/>
  <c r="E42" i="3"/>
  <c r="D42" i="3"/>
  <c r="E123" i="3"/>
  <c r="D123" i="3"/>
  <c r="C123" i="3"/>
  <c r="E65" i="3"/>
  <c r="D65" i="3"/>
  <c r="C65" i="3"/>
  <c r="E43" i="3"/>
  <c r="C43" i="3"/>
  <c r="D43" i="3"/>
  <c r="D66" i="3"/>
  <c r="C66" i="3"/>
  <c r="E66" i="3"/>
  <c r="C100" i="3"/>
  <c r="T149" i="3"/>
  <c r="T154" i="3"/>
  <c r="T159" i="3"/>
  <c r="T164" i="3"/>
  <c r="T169" i="3"/>
  <c r="T174" i="3"/>
  <c r="D100" i="3"/>
  <c r="V149" i="3"/>
  <c r="V154" i="3"/>
  <c r="V159" i="3"/>
  <c r="V164" i="3"/>
  <c r="V169" i="3"/>
  <c r="V174" i="3"/>
  <c r="C7" i="3"/>
  <c r="D7" i="3" s="1"/>
  <c r="E100" i="3"/>
  <c r="D101" i="3"/>
  <c r="T150" i="3"/>
  <c r="T155" i="3"/>
  <c r="T160" i="3"/>
  <c r="T165" i="3"/>
  <c r="T170" i="3"/>
  <c r="T175" i="3"/>
  <c r="E101" i="3"/>
  <c r="V150" i="3"/>
  <c r="V155" i="3"/>
  <c r="V160" i="3"/>
  <c r="V165" i="3"/>
  <c r="V170" i="3"/>
  <c r="V175" i="3"/>
  <c r="T151" i="3"/>
  <c r="T156" i="3"/>
  <c r="T161" i="3"/>
  <c r="T166" i="3"/>
  <c r="T171" i="3"/>
  <c r="T176" i="3"/>
  <c r="C103" i="3"/>
  <c r="V151" i="3"/>
  <c r="V156" i="3"/>
  <c r="V161" i="3"/>
  <c r="V166" i="3"/>
  <c r="V171" i="3"/>
  <c r="V176" i="3"/>
  <c r="D103" i="3"/>
  <c r="F16" i="3"/>
  <c r="F94" i="3"/>
  <c r="T152" i="3"/>
  <c r="T157" i="3"/>
  <c r="T162" i="3"/>
  <c r="T167" i="3"/>
  <c r="T172" i="3"/>
  <c r="T177" i="3"/>
  <c r="V152" i="3"/>
  <c r="V157" i="3"/>
  <c r="V162" i="3"/>
  <c r="V167" i="3"/>
  <c r="V172" i="3"/>
  <c r="V177" i="3"/>
  <c r="T148" i="3"/>
  <c r="T153" i="3"/>
  <c r="T158" i="3"/>
  <c r="T163" i="3"/>
  <c r="T168" i="3"/>
  <c r="T173" i="3"/>
  <c r="V148" i="3"/>
  <c r="V153" i="3"/>
  <c r="V158" i="3"/>
  <c r="V163" i="3"/>
  <c r="V168" i="3"/>
  <c r="V173" i="3"/>
  <c r="X177" i="3" l="1"/>
  <c r="X172" i="3"/>
  <c r="X167" i="3"/>
  <c r="X162" i="3"/>
  <c r="X157" i="3"/>
  <c r="X152" i="3"/>
  <c r="D102" i="3"/>
  <c r="X176" i="3"/>
  <c r="X171" i="3"/>
  <c r="X166" i="3"/>
  <c r="X161" i="3"/>
  <c r="X156" i="3"/>
  <c r="X151" i="3"/>
  <c r="E102" i="3"/>
  <c r="X175" i="3"/>
  <c r="X170" i="3"/>
  <c r="X165" i="3"/>
  <c r="X160" i="3"/>
  <c r="X155" i="3"/>
  <c r="X150" i="3"/>
  <c r="C102" i="3"/>
  <c r="X174" i="3"/>
  <c r="X169" i="3"/>
  <c r="X164" i="3"/>
  <c r="X159" i="3"/>
  <c r="X154" i="3"/>
  <c r="X149" i="3"/>
  <c r="X178" i="3"/>
  <c r="X173" i="3"/>
  <c r="X168" i="3"/>
  <c r="X163" i="3"/>
  <c r="X158" i="3"/>
  <c r="X153" i="3"/>
  <c r="X148" i="3"/>
  <c r="R178" i="3"/>
  <c r="R173" i="3"/>
  <c r="R168" i="3"/>
  <c r="R163" i="3"/>
  <c r="R158" i="3"/>
  <c r="R153" i="3"/>
  <c r="R148" i="3"/>
  <c r="E20" i="3"/>
  <c r="D20" i="3"/>
  <c r="C20" i="3"/>
  <c r="R177" i="3"/>
  <c r="R172" i="3"/>
  <c r="R167" i="3"/>
  <c r="R162" i="3"/>
  <c r="R157" i="3"/>
  <c r="R152" i="3"/>
  <c r="R176" i="3"/>
  <c r="R171" i="3"/>
  <c r="R166" i="3"/>
  <c r="R161" i="3"/>
  <c r="R156" i="3"/>
  <c r="R151" i="3"/>
  <c r="R175" i="3"/>
  <c r="R170" i="3"/>
  <c r="R165" i="3"/>
  <c r="R160" i="3"/>
  <c r="R155" i="3"/>
  <c r="R150" i="3"/>
  <c r="R174" i="3"/>
  <c r="R169" i="3"/>
  <c r="R164" i="3"/>
  <c r="R159" i="3"/>
  <c r="R154" i="3"/>
  <c r="R1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IAO will ensure IPSec VPNs are established as tunnel type VPNs when transporting management traffic across an ip backbone network.</t>
        </r>
      </text>
    </comment>
    <comment ref="K26" authorId="0" shapeId="0" xr:uid="{00000000-0006-0000-0400-000003000000}">
      <text>
        <r>
          <rPr>
            <sz val="11"/>
            <rFont val="Calibri"/>
          </rPr>
          <t>Management connections to a network device must be established using secure protocols with FIPS 140-2 validated cryptographic modules.</t>
        </r>
      </text>
    </comment>
    <comment ref="L26" authorId="0" shapeId="0" xr:uid="{00000000-0006-0000-0400-000002000000}">
      <text>
        <r>
          <rPr>
            <sz val="11"/>
            <rFont val="Calibri"/>
          </rPr>
          <t>The network element must not use SSH Version 1 for administrative access.</t>
        </r>
      </text>
    </comment>
    <comment ref="J32" authorId="0" shapeId="0" xr:uid="{00000000-0006-0000-0400-000004000000}">
      <text>
        <r>
          <rPr>
            <sz val="11"/>
            <rFont val="Calibri"/>
          </rPr>
          <t>The running configuration must be synchronized with the startup configuration after changes have been made and implemented.</t>
        </r>
      </text>
    </comment>
    <comment ref="K32" authorId="0" shapeId="0" xr:uid="{00000000-0006-0000-0400-000005000000}">
      <text>
        <r>
          <rPr>
            <sz val="11"/>
            <rFont val="Calibri"/>
          </rPr>
          <t>Gateway configuration at the remote VPN end-point is a not a mirror of the local gateway</t>
        </r>
      </text>
    </comment>
    <comment ref="J33" authorId="0" shapeId="0" xr:uid="{00000000-0006-0000-0400-000006000000}">
      <text>
        <r>
          <rPr>
            <sz val="11"/>
            <rFont val="Calibri"/>
          </rPr>
          <t>The running configuration must be synchronized with the startup configuration after changes have been made and implemented.</t>
        </r>
      </text>
    </comment>
    <comment ref="J34" authorId="0" shapeId="0" xr:uid="{00000000-0006-0000-0400-000007000000}">
      <text>
        <r>
          <rPr>
            <sz val="11"/>
            <rFont val="Calibri"/>
          </rPr>
          <t>The network element must timeout management connections for administrative access after 10 minutes or less of inactivity.</t>
        </r>
      </text>
    </comment>
    <comment ref="K34" authorId="0" shapeId="0" xr:uid="{00000000-0006-0000-0400-000008000000}">
      <text>
        <r>
          <rPr>
            <sz val="11"/>
            <rFont val="Calibri"/>
          </rPr>
          <t>The network element must time out access to the console port after 10 minutes or less of inactivity.</t>
        </r>
      </text>
    </comment>
    <comment ref="J38" authorId="0" shapeId="0" xr:uid="{00000000-0006-0000-0400-000009000000}">
      <text>
        <r>
          <rPr>
            <sz val="11"/>
            <rFont val="Calibri"/>
          </rPr>
          <t>Network devices must not have any default manufacturer passwords.</t>
        </r>
      </text>
    </comment>
    <comment ref="K38" authorId="0" shapeId="0" xr:uid="{00000000-0006-0000-0400-00000A000000}">
      <text>
        <r>
          <rPr>
            <sz val="11"/>
            <rFont val="Calibri"/>
          </rPr>
          <t>The network device must not use the default or well-known SNMP community strings public and private.</t>
        </r>
      </text>
    </comment>
    <comment ref="J39" authorId="0" shapeId="0" xr:uid="{00000000-0006-0000-0400-00000B000000}">
      <text>
        <r>
          <rPr>
            <sz val="11"/>
            <rFont val="Calibri"/>
          </rPr>
          <t>Network devices must have TCP and UDP small servers disabled.</t>
        </r>
      </text>
    </comment>
    <comment ref="K39" authorId="0" shapeId="0" xr:uid="{00000000-0006-0000-0400-000019000000}">
      <text>
        <r>
          <rPr>
            <sz val="11"/>
            <rFont val="Calibri"/>
          </rPr>
          <t>The network element must have the Finger service disabled.</t>
        </r>
      </text>
    </comment>
    <comment ref="L39" authorId="0" shapeId="0" xr:uid="{00000000-0006-0000-0400-00001A000000}">
      <text>
        <r>
          <rPr>
            <sz val="11"/>
            <rFont val="Calibri"/>
          </rPr>
          <t>The Configuration auto-loading feature must be disabled when connected to an operational network.</t>
        </r>
      </text>
    </comment>
    <comment ref="M39" authorId="0" shapeId="0" xr:uid="{00000000-0006-0000-0400-00000C000000}">
      <text>
        <r>
          <rPr>
            <sz val="11"/>
            <rFont val="Calibri"/>
          </rPr>
          <t>The router must have IP source routing disabled.</t>
        </r>
      </text>
    </comment>
    <comment ref="N39" authorId="0" shapeId="0" xr:uid="{00000000-0006-0000-0400-00000D000000}">
      <text>
        <r>
          <rPr>
            <sz val="11"/>
            <rFont val="Calibri"/>
          </rPr>
          <t>IP directed broadcast must be disabled on all layer 3 interfaces.</t>
        </r>
      </text>
    </comment>
    <comment ref="O39" authorId="0" shapeId="0" xr:uid="{00000000-0006-0000-0400-00000E000000}">
      <text>
        <r>
          <rPr>
            <sz val="11"/>
            <rFont val="Calibri"/>
          </rPr>
          <t>The network element must have HTTP service for administrative access disabled.</t>
        </r>
      </text>
    </comment>
    <comment ref="P39" authorId="0" shapeId="0" xr:uid="{00000000-0006-0000-0400-00000F000000}">
      <text>
        <r>
          <rPr>
            <sz val="11"/>
            <rFont val="Calibri"/>
          </rPr>
          <t>BOOTP services must be disabled.</t>
        </r>
      </text>
    </comment>
    <comment ref="Q39" authorId="0" shapeId="0" xr:uid="{00000000-0006-0000-0400-000010000000}">
      <text>
        <r>
          <rPr>
            <sz val="11"/>
            <rFont val="Calibri"/>
          </rPr>
          <t>Network devices must have the PAD service disabled.</t>
        </r>
      </text>
    </comment>
    <comment ref="R39" authorId="0" shapeId="0" xr:uid="{00000000-0006-0000-0400-000011000000}">
      <text>
        <r>
          <rPr>
            <sz val="11"/>
            <rFont val="Calibri"/>
          </rPr>
          <t>Network devices must have identification support disabled.</t>
        </r>
      </text>
    </comment>
    <comment ref="S39" authorId="0" shapeId="0" xr:uid="{00000000-0006-0000-0400-000012000000}">
      <text>
        <r>
          <rPr>
            <sz val="11"/>
            <rFont val="Calibri"/>
          </rPr>
          <t>Gratuitous ARP must be disabled.</t>
        </r>
      </text>
    </comment>
    <comment ref="T39" authorId="0" shapeId="0" xr:uid="{00000000-0006-0000-0400-000013000000}">
      <text>
        <r>
          <rPr>
            <sz val="11"/>
            <rFont val="Calibri"/>
          </rPr>
          <t>The network element’s auxiliary port must be disabled unless it is connected to a secured modem providing encryption and authentication.</t>
        </r>
      </text>
    </comment>
    <comment ref="U39" authorId="0" shapeId="0" xr:uid="{00000000-0006-0000-0400-000014000000}">
      <text>
        <r>
          <rPr>
            <sz val="11"/>
            <rFont val="Calibri"/>
          </rPr>
          <t>FTP servers on the device must be disabled.</t>
        </r>
      </text>
    </comment>
    <comment ref="V39" authorId="0" shapeId="0" xr:uid="{00000000-0006-0000-0400-000015000000}">
      <text>
        <r>
          <rPr>
            <sz val="11"/>
            <rFont val="Calibri"/>
          </rPr>
          <t>The administrator must ensure BSD r command services are disabled.</t>
        </r>
      </text>
    </comment>
    <comment ref="W39" authorId="0" shapeId="0" xr:uid="{00000000-0006-0000-0400-000016000000}">
      <text>
        <r>
          <rPr>
            <sz val="11"/>
            <rFont val="Calibri"/>
          </rPr>
          <t>The router administrator will ensure ICMPv6 unreachable notifications, and redirects are disabled on all external interfaces of the premise router.</t>
        </r>
      </text>
    </comment>
    <comment ref="X39" authorId="0" shapeId="0" xr:uid="{00000000-0006-0000-0400-000017000000}">
      <text>
        <r>
          <rPr>
            <sz val="11"/>
            <rFont val="Calibri"/>
          </rPr>
          <t>A service or feature that calls home to the vendor must be disabled.</t>
        </r>
      </text>
    </comment>
    <comment ref="Y39" authorId="0" shapeId="0" xr:uid="{00000000-0006-0000-0400-000018000000}">
      <text>
        <r>
          <rPr>
            <sz val="11"/>
            <rFont val="Calibri"/>
          </rPr>
          <t>The administrator must ensure that Protocol Independent Multicast (PIM) is disabled on all interfaces that are not required to support multicast routing.</t>
        </r>
      </text>
    </comment>
    <comment ref="J40" authorId="0" shapeId="0" xr:uid="{00000000-0006-0000-0400-00001B000000}">
      <text>
        <r>
          <rPr>
            <sz val="11"/>
            <rFont val="Calibri"/>
          </rPr>
          <t>The network element must have DNS servers defined if it is configured as a client resolver.</t>
        </r>
      </text>
    </comment>
    <comment ref="J41" authorId="0" shapeId="0" xr:uid="{00000000-0006-0000-0400-00001C000000}">
      <text>
        <r>
          <rPr>
            <sz val="11"/>
            <rFont val="Calibri"/>
          </rPr>
          <t>The network element must be configured for a maximum number of unsuccessful SSH login attempts set at 3 before resetting the interface.</t>
        </r>
      </text>
    </comment>
    <comment ref="J45" authorId="0" shapeId="0" xr:uid="{00000000-0006-0000-0400-00001D000000}">
      <text>
        <r>
          <rPr>
            <sz val="11"/>
            <rFont val="Calibri"/>
          </rPr>
          <t>The network device must use different SNMP community names or groups for various levels of read and write access.</t>
        </r>
      </text>
    </comment>
    <comment ref="K45" authorId="0" shapeId="0" xr:uid="{00000000-0006-0000-0400-00001E000000}">
      <text>
        <r>
          <rPr>
            <sz val="11"/>
            <rFont val="Calibri"/>
          </rPr>
          <t>Group accounts must not be configured for use on the network device.</t>
        </r>
      </text>
    </comment>
    <comment ref="J46" authorId="0" shapeId="0" xr:uid="{00000000-0006-0000-0400-00001F000000}">
      <text>
        <r>
          <rPr>
            <sz val="11"/>
            <rFont val="Calibri"/>
          </rPr>
          <t>Network devices must be password protected.</t>
        </r>
      </text>
    </comment>
    <comment ref="K46" authorId="0" shapeId="0" xr:uid="{00000000-0006-0000-0400-000020000000}">
      <text>
        <r>
          <rPr>
            <sz val="11"/>
            <rFont val="Calibri"/>
          </rPr>
          <t>The network element must be configured to ensure passwords are not viewable when displaying configuration information.</t>
        </r>
      </text>
    </comment>
    <comment ref="L46" authorId="0" shapeId="0" xr:uid="{00000000-0006-0000-0400-000021000000}">
      <text>
        <r>
          <rPr>
            <sz val="11"/>
            <rFont val="Calibri"/>
          </rPr>
          <t>The router administrator will ensure a password is required to gain access to the router</t>
        </r>
        <r>
          <rPr>
            <sz val="11"/>
            <color rgb="FF000000"/>
            <rFont val="Calibri"/>
          </rPr>
          <t>'</t>
        </r>
        <r>
          <rPr>
            <sz val="11"/>
            <color rgb="FF000000"/>
            <rFont val="Calibri"/>
          </rPr>
          <t>s diagnostics port.</t>
        </r>
      </text>
    </comment>
    <comment ref="J47" authorId="0" shapeId="0" xr:uid="{00000000-0006-0000-0400-000022000000}">
      <text>
        <r>
          <rPr>
            <sz val="11"/>
            <rFont val="Calibri"/>
          </rPr>
          <t>Unauthorized accounts must not be configured for access to the network device.</t>
        </r>
      </text>
    </comment>
    <comment ref="J48" authorId="0" shapeId="0" xr:uid="{00000000-0006-0000-0400-000023000000}">
      <text>
        <r>
          <rPr>
            <sz val="11"/>
            <rFont val="Calibri"/>
          </rPr>
          <t>Authorized accounts must be assigned the least privilege level necessary to perform assigned duties.</t>
        </r>
      </text>
    </comment>
    <comment ref="K48" authorId="0" shapeId="0" xr:uid="{00000000-0006-0000-0400-000024000000}">
      <text>
        <r>
          <rPr>
            <sz val="11"/>
            <rFont val="Calibri"/>
          </rPr>
          <t>The network device must only allow SNMP read-only access.</t>
        </r>
      </text>
    </comment>
    <comment ref="L48" authorId="0" shapeId="0" xr:uid="{00000000-0006-0000-0400-000025000000}">
      <text>
        <r>
          <rPr>
            <sz val="11"/>
            <rFont val="Calibri"/>
          </rPr>
          <t>The emergency administration account must be set to an appropriate authorization level to perform necessary administrative functions when the authentication server is not online.</t>
        </r>
      </text>
    </comment>
    <comment ref="J63" authorId="0" shapeId="0" xr:uid="{00000000-0006-0000-0400-000026000000}">
      <text>
        <r>
          <rPr>
            <sz val="11"/>
            <rFont val="Calibri"/>
          </rPr>
          <t>The network element must be running a current and supported operating system with all IAVMs addressed.</t>
        </r>
      </text>
    </comment>
    <comment ref="J67" authorId="0" shapeId="0" xr:uid="{00000000-0006-0000-0400-000027000000}">
      <text>
        <r>
          <rPr>
            <sz val="11"/>
            <rFont val="Calibri"/>
          </rPr>
          <t>The network element must be running a current and supported operating system with all IAVMs addressed.</t>
        </r>
      </text>
    </comment>
    <comment ref="J70" authorId="0" shapeId="0" xr:uid="{00000000-0006-0000-0400-000028000000}">
      <text>
        <r>
          <rPr>
            <sz val="11"/>
            <rFont val="Calibri"/>
          </rPr>
          <t>The network device must log all access control lists (ACL) deny statements.</t>
        </r>
      </text>
    </comment>
    <comment ref="K70" authorId="0" shapeId="0" xr:uid="{00000000-0006-0000-0400-000029000000}">
      <text>
        <r>
          <rPr>
            <sz val="11"/>
            <rFont val="Calibri"/>
          </rPr>
          <t>The network element must log all attempts to establish a management connection for administrative access.</t>
        </r>
      </text>
    </comment>
    <comment ref="L70" authorId="0" shapeId="0" xr:uid="{00000000-0006-0000-0400-00002A000000}">
      <text>
        <r>
          <rPr>
            <sz val="11"/>
            <rFont val="Calibri"/>
          </rPr>
          <t>The network element must log all messages except debugging and send all log data to a syslog server.</t>
        </r>
      </text>
    </comment>
    <comment ref="J72" authorId="0" shapeId="0" xr:uid="{00000000-0006-0000-0400-00002B000000}">
      <text>
        <r>
          <rPr>
            <sz val="11"/>
            <rFont val="Calibri"/>
          </rPr>
          <t>The network element must authenticate all NTP messages received from NTP servers and peers.</t>
        </r>
      </text>
    </comment>
    <comment ref="K72" authorId="0" shapeId="0" xr:uid="{00000000-0006-0000-0400-00002C000000}">
      <text>
        <r>
          <rPr>
            <sz val="11"/>
            <rFont val="Calibri"/>
          </rPr>
          <t>The network element must use two or more NTP servers to synchronize time.</t>
        </r>
      </text>
    </comment>
    <comment ref="J73" authorId="0" shapeId="0" xr:uid="{00000000-0006-0000-0400-00002D000000}">
      <text>
        <r>
          <rPr>
            <sz val="11"/>
            <rFont val="Calibri"/>
          </rPr>
          <t>The network device must log all access control lists (ACL) deny statements.</t>
        </r>
      </text>
    </comment>
    <comment ref="J77" authorId="0" shapeId="0" xr:uid="{00000000-0006-0000-0400-00002E000000}">
      <text>
        <r>
          <rPr>
            <sz val="11"/>
            <rFont val="Calibri"/>
          </rPr>
          <t>The network element must log all messages except debugging and send all log data to a syslog server.</t>
        </r>
      </text>
    </comment>
    <comment ref="J105" authorId="0" shapeId="0" xr:uid="{00000000-0006-0000-0400-00002F000000}">
      <text>
        <r>
          <rPr>
            <sz val="11"/>
            <rFont val="Calibri"/>
          </rPr>
          <t>The IAO will ensure IPSec VPNs are established as tunnel type VPNs when transporting management traffic across an ip backbone network.</t>
        </r>
      </text>
    </comment>
    <comment ref="K105" authorId="0" shapeId="0" xr:uid="{00000000-0006-0000-0400-00003E000000}">
      <text>
        <r>
          <rPr>
            <sz val="11"/>
            <rFont val="Calibri"/>
          </rPr>
          <t>The network element must only allow SNMP access from addresses belonging to the management network.</t>
        </r>
      </text>
    </comment>
    <comment ref="L105" authorId="0" shapeId="0" xr:uid="{00000000-0006-0000-0400-00003F000000}">
      <text>
        <r>
          <rPr>
            <sz val="11"/>
            <rFont val="Calibri"/>
          </rPr>
          <t>VLAN 1 must not be used for user VLANs.</t>
        </r>
      </text>
    </comment>
    <comment ref="M105" authorId="0" shapeId="0" xr:uid="{00000000-0006-0000-0400-000040000000}">
      <text>
        <r>
          <rPr>
            <sz val="11"/>
            <rFont val="Calibri"/>
          </rPr>
          <t>VLAN 1 must be pruned from all trunk and access ports that do not require it.</t>
        </r>
      </text>
    </comment>
    <comment ref="N105" authorId="0" shapeId="0" xr:uid="{00000000-0006-0000-0400-000041000000}">
      <text>
        <r>
          <rPr>
            <sz val="11"/>
            <rFont val="Calibri"/>
          </rPr>
          <t>Disabled switch ports must be placed in an unused VLAN (do not use VLAN1).</t>
        </r>
      </text>
    </comment>
    <comment ref="O105" authorId="0" shapeId="0" xr:uid="{00000000-0006-0000-0400-000042000000}">
      <text>
        <r>
          <rPr>
            <sz val="11"/>
            <rFont val="Calibri"/>
          </rPr>
          <t>Access switchports must not be assigned to the native VLAN.</t>
        </r>
      </text>
    </comment>
    <comment ref="P105" authorId="0" shapeId="0" xr:uid="{00000000-0006-0000-0400-000043000000}">
      <text>
        <r>
          <rPr>
            <sz val="11"/>
            <rFont val="Calibri"/>
          </rPr>
          <t>The network element must only allow management connections for administrative access from hosts residing in to the management network.</t>
        </r>
      </text>
    </comment>
    <comment ref="Q105" authorId="0" shapeId="0" xr:uid="{00000000-0006-0000-0400-000044000000}">
      <text>
        <r>
          <rPr>
            <sz val="11"/>
            <rFont val="Calibri"/>
          </rPr>
          <t>The native VLAN must be assigned to a VLAN ID other than the default VLAN for all 802.1q trunk links.</t>
        </r>
      </text>
    </comment>
    <comment ref="R105" authorId="0" shapeId="0" xr:uid="{00000000-0006-0000-0400-000045000000}">
      <text>
        <r>
          <rPr>
            <sz val="11"/>
            <rFont val="Calibri"/>
          </rPr>
          <t>Port trunking must be disabled on all access ports (do not configure trunk on, desirable, non-negotiate, or auto--only off).</t>
        </r>
      </text>
    </comment>
    <comment ref="S105" authorId="0" shapeId="0" xr:uid="{00000000-0006-0000-0400-000046000000}">
      <text>
        <r>
          <rPr>
            <sz val="11"/>
            <rFont val="Calibri"/>
          </rPr>
          <t>A dedicated management VLAN or VLANs must be configured to keep management traffic separate from user data and control plane traffic.</t>
        </r>
      </text>
    </comment>
    <comment ref="T105" authorId="0" shapeId="0" xr:uid="{00000000-0006-0000-0400-000047000000}">
      <text>
        <r>
          <rPr>
            <sz val="11"/>
            <rFont val="Calibri"/>
          </rPr>
          <t>The network device must be configured to ensure IPv6 Site Local Unicast addresses are not defined in the enclave, (FEC0::/10). Note that this consist of all addresses that begin with FEC, FED, FEE and FEF.</t>
        </r>
      </text>
    </comment>
    <comment ref="U105" authorId="0" shapeId="0" xr:uid="{00000000-0006-0000-0400-000048000000}">
      <text>
        <r>
          <rPr>
            <sz val="11"/>
            <rFont val="Calibri"/>
          </rPr>
          <t>ISATAP tunnels must terminate at an interior router.</t>
        </r>
      </text>
    </comment>
    <comment ref="V105" authorId="0" shapeId="0" xr:uid="{00000000-0006-0000-0400-000049000000}">
      <text>
        <r>
          <rPr>
            <sz val="11"/>
            <rFont val="Calibri"/>
          </rPr>
          <t>IPSec tunnels used to transit management traffic must be restricted to only the authorized management packets based on destination and source IP address.</t>
        </r>
      </text>
    </comment>
    <comment ref="W105" authorId="0" shapeId="0" xr:uid="{00000000-0006-0000-0400-00004A000000}">
      <text>
        <r>
          <rPr>
            <sz val="11"/>
            <rFont val="Calibri"/>
          </rPr>
          <t>IGP instances configured on the OOBM gateway router do not peer only with their appropriate routing domain</t>
        </r>
      </text>
    </comment>
    <comment ref="X105" authorId="0" shapeId="0" xr:uid="{00000000-0006-0000-0400-00004B000000}">
      <text>
        <r>
          <rPr>
            <sz val="11"/>
            <rFont val="Calibri"/>
          </rPr>
          <t>The routes from the two IGP domains are redistributed to each other.</t>
        </r>
      </text>
    </comment>
    <comment ref="Y105" authorId="0" shapeId="0" xr:uid="{00000000-0006-0000-0400-00004C000000}">
      <text>
        <r>
          <rPr>
            <sz val="11"/>
            <rFont val="Calibri"/>
          </rPr>
          <t>Traffic from the managed network is able to access the OOBM gateway router</t>
        </r>
      </text>
    </comment>
    <comment ref="Z105" authorId="0" shapeId="0" xr:uid="{00000000-0006-0000-0400-000030000000}">
      <text>
        <r>
          <rPr>
            <sz val="11"/>
            <rFont val="Calibri"/>
          </rPr>
          <t>Traffic from the managed network will leak into the management network via the gateway router interface connected to the OOBM backbone.</t>
        </r>
      </text>
    </comment>
    <comment ref="AA105" authorId="0" shapeId="0" xr:uid="{00000000-0006-0000-0400-000031000000}">
      <text>
        <r>
          <rPr>
            <sz val="11"/>
            <rFont val="Calibri"/>
          </rPr>
          <t>Management network traffic is leaking into the managed network.</t>
        </r>
      </text>
    </comment>
    <comment ref="AB105" authorId="0" shapeId="0" xr:uid="{00000000-0006-0000-0400-000032000000}">
      <text>
        <r>
          <rPr>
            <sz val="11"/>
            <rFont val="Calibri"/>
          </rPr>
          <t>The network element’s OOBM interface must be configured with an OOBM network address.</t>
        </r>
      </text>
    </comment>
    <comment ref="AC105" authorId="0" shapeId="0" xr:uid="{00000000-0006-0000-0400-000033000000}">
      <text>
        <r>
          <rPr>
            <sz val="11"/>
            <rFont val="Calibri"/>
          </rPr>
          <t>The management interface is not configured with both an ingress and egress ACL.</t>
        </r>
      </text>
    </comment>
    <comment ref="AD105" authorId="0" shapeId="0" xr:uid="{00000000-0006-0000-0400-000034000000}">
      <text>
        <r>
          <rPr>
            <sz val="11"/>
            <rFont val="Calibri"/>
          </rPr>
          <t>The network element’s management interface is not configured as passive for the IGP instance deployed in the managed network.</t>
        </r>
      </text>
    </comment>
    <comment ref="AE105" authorId="0" shapeId="0" xr:uid="{00000000-0006-0000-0400-000035000000}">
      <text>
        <r>
          <rPr>
            <sz val="11"/>
            <rFont val="Calibri"/>
          </rPr>
          <t>The management interface is an access switchport and has not been assigned to a separate management VLAN.</t>
        </r>
      </text>
    </comment>
    <comment ref="AF105" authorId="0" shapeId="0" xr:uid="{00000000-0006-0000-0400-000036000000}">
      <text>
        <r>
          <rPr>
            <sz val="11"/>
            <rFont val="Calibri"/>
          </rPr>
          <t>An address has not been configured for the management VLAN from space belonging to the OOBM network assigned to that site.</t>
        </r>
      </text>
    </comment>
    <comment ref="AG105" authorId="0" shapeId="0" xr:uid="{00000000-0006-0000-0400-000037000000}">
      <text>
        <r>
          <rPr>
            <sz val="11"/>
            <rFont val="Calibri"/>
          </rPr>
          <t>The access switchport connecting to the OOBM access switch is not the only port with membership to the management VLAN.</t>
        </r>
      </text>
    </comment>
    <comment ref="AH105" authorId="0" shapeId="0" xr:uid="{00000000-0006-0000-0400-000038000000}">
      <text>
        <r>
          <rPr>
            <sz val="11"/>
            <rFont val="Calibri"/>
          </rPr>
          <t>The management VLAN is not pruned from any VLAN trunk links belonging to the managed network’s infrastructure.</t>
        </r>
      </text>
    </comment>
    <comment ref="AI105" authorId="0" shapeId="0" xr:uid="{00000000-0006-0000-0400-000039000000}">
      <text>
        <r>
          <rPr>
            <sz val="11"/>
            <rFont val="Calibri"/>
          </rPr>
          <t>The management VLAN is not configured with an IP address from the management network address block.</t>
        </r>
      </text>
    </comment>
    <comment ref="AJ105" authorId="0" shapeId="0" xr:uid="{00000000-0006-0000-0400-00003A000000}">
      <text>
        <r>
          <rPr>
            <sz val="11"/>
            <rFont val="Calibri"/>
          </rPr>
          <t>The ISSO will ensure that only authorized management traffic is forwarded by the multi-layer switch from the production or managed VLANs to the management VLAN.</t>
        </r>
      </text>
    </comment>
    <comment ref="AK105" authorId="0" shapeId="0" xr:uid="{00000000-0006-0000-0400-00003B000000}">
      <text>
        <r>
          <rPr>
            <sz val="11"/>
            <rFont val="Calibri"/>
          </rPr>
          <t>Server VLAN interfaces must be protected by restrictive ACLs using a deny-by-default security posture.</t>
        </r>
      </text>
    </comment>
    <comment ref="AL105" authorId="0" shapeId="0" xr:uid="{00000000-0006-0000-0400-00003C000000}">
      <text>
        <r>
          <rPr>
            <sz val="11"/>
            <rFont val="Calibri"/>
          </rPr>
          <t>Printers must be assigned to a VLAN that is not shared by unlike devices.</t>
        </r>
      </text>
    </comment>
    <comment ref="AM105" authorId="0" shapeId="0" xr:uid="{00000000-0006-0000-0400-00003D000000}">
      <text>
        <r>
          <rPr>
            <sz val="11"/>
            <rFont val="Calibri"/>
          </rPr>
          <t>Default routes must not be directed to the tunnel entry point.</t>
        </r>
      </text>
    </comment>
    <comment ref="J106" authorId="0" shapeId="0" xr:uid="{00000000-0006-0000-0400-00004D000000}">
      <text>
        <r>
          <rPr>
            <sz val="11"/>
            <rFont val="Calibri"/>
          </rPr>
          <t>The network element must only allow SNMP access from addresses belonging to the management network.</t>
        </r>
      </text>
    </comment>
    <comment ref="K106" authorId="0" shapeId="0" xr:uid="{00000000-0006-0000-0400-00004E000000}">
      <text>
        <r>
          <rPr>
            <sz val="11"/>
            <rFont val="Calibri"/>
          </rPr>
          <t>The network element must only allow management connections for administrative access from hosts residing in to the management network.</t>
        </r>
      </text>
    </comment>
    <comment ref="L106" authorId="0" shapeId="0" xr:uid="{00000000-0006-0000-0400-00004F000000}">
      <text>
        <r>
          <rPr>
            <sz val="11"/>
            <rFont val="Calibri"/>
          </rPr>
          <t>The router must use its loopback or OOB management interface address as the source address when originating TACACS+ or RADIUS traffic.</t>
        </r>
      </text>
    </comment>
    <comment ref="M106" authorId="0" shapeId="0" xr:uid="{00000000-0006-0000-0400-000050000000}">
      <text>
        <r>
          <rPr>
            <sz val="11"/>
            <rFont val="Calibri"/>
          </rPr>
          <t>The router must use its loopback or OOB management interface address as the source address when originating syslog traffic.</t>
        </r>
      </text>
    </comment>
    <comment ref="N106" authorId="0" shapeId="0" xr:uid="{00000000-0006-0000-0400-000051000000}">
      <text>
        <r>
          <rPr>
            <sz val="11"/>
            <rFont val="Calibri"/>
          </rPr>
          <t>The router must use its loopback or OOB management interface address as the source address when originating NTP traffic.</t>
        </r>
      </text>
    </comment>
    <comment ref="O106" authorId="0" shapeId="0" xr:uid="{00000000-0006-0000-0400-000052000000}">
      <text>
        <r>
          <rPr>
            <sz val="11"/>
            <rFont val="Calibri"/>
          </rPr>
          <t>The router must use its loopback or OOB management interface address as the source address when originating SNMP traffic.</t>
        </r>
      </text>
    </comment>
    <comment ref="P106" authorId="0" shapeId="0" xr:uid="{00000000-0006-0000-0400-000053000000}">
      <text>
        <r>
          <rPr>
            <sz val="11"/>
            <rFont val="Calibri"/>
          </rPr>
          <t>The router must use its loopback or OOB management interface address as the source address when originating NetFlow traffic.</t>
        </r>
      </text>
    </comment>
    <comment ref="Q106" authorId="0" shapeId="0" xr:uid="{00000000-0006-0000-0400-000054000000}">
      <text>
        <r>
          <rPr>
            <sz val="11"/>
            <rFont val="Calibri"/>
          </rPr>
          <t>The network device must use its loopback or OOB management interface address as the source address when originating TFTP or FTP traffic.</t>
        </r>
      </text>
    </comment>
    <comment ref="J108" authorId="0" shapeId="0" xr:uid="{00000000-0006-0000-0400-000055000000}">
      <text>
        <r>
          <rPr>
            <sz val="11"/>
            <rFont val="Calibri"/>
          </rPr>
          <t>The network devices must require authentication prior to establishing a management connection for administrative access.</t>
        </r>
      </text>
    </comment>
    <comment ref="K108" authorId="0" shapeId="0" xr:uid="{00000000-0006-0000-0400-000056000000}">
      <text>
        <r>
          <rPr>
            <sz val="11"/>
            <rFont val="Calibri"/>
          </rPr>
          <t>In the event the authentication server is unavailable, the network device must have a single local account of last resort defined.</t>
        </r>
      </text>
    </comment>
    <comment ref="L108" authorId="0" shapeId="0" xr:uid="{00000000-0006-0000-0400-000057000000}">
      <text>
        <r>
          <rPr>
            <sz val="11"/>
            <rFont val="Calibri"/>
          </rPr>
          <t>The network device must require authentication for console access.</t>
        </r>
      </text>
    </comment>
    <comment ref="M108" authorId="0" shapeId="0" xr:uid="{00000000-0006-0000-0400-000058000000}">
      <text>
        <r>
          <rPr>
            <sz val="11"/>
            <rFont val="Calibri"/>
          </rPr>
          <t>Network devices must use two or more authentication servers for the purpose of granting administrative access.</t>
        </r>
      </text>
    </comment>
    <comment ref="J109" authorId="0" shapeId="0" xr:uid="{00000000-0006-0000-0400-000059000000}">
      <text>
        <r>
          <rPr>
            <sz val="11"/>
            <rFont val="Calibri"/>
          </rPr>
          <t>Management connections to a network device must be established using secure protocols with FIPS 140-2 validated cryptographic modules.</t>
        </r>
      </text>
    </comment>
    <comment ref="K109" authorId="0" shapeId="0" xr:uid="{00000000-0006-0000-0400-00005A000000}">
      <text>
        <r>
          <rPr>
            <sz val="11"/>
            <rFont val="Calibri"/>
          </rPr>
          <t>The network device must use SNMP Version 3 Security Model with FIPS 140-2 validated cryptography for any SNMP agent configured on the device.</t>
        </r>
      </text>
    </comment>
    <comment ref="L109" authorId="0" shapeId="0" xr:uid="{00000000-0006-0000-0400-00005B000000}">
      <text>
        <r>
          <rPr>
            <sz val="11"/>
            <rFont val="Calibri"/>
          </rPr>
          <t>The network element must not use SSH Version 1 for administrative access.</t>
        </r>
      </text>
    </comment>
    <comment ref="J111" authorId="0" shapeId="0" xr:uid="{00000000-0006-0000-0400-00005C000000}">
      <text>
        <r>
          <rPr>
            <sz val="11"/>
            <rFont val="Calibri"/>
          </rPr>
          <t>A dedicated management VLAN or VLANs must be configured to keep management traffic separate from user data and control plane traffic.</t>
        </r>
      </text>
    </comment>
    <comment ref="J116" authorId="0" shapeId="0" xr:uid="{00000000-0006-0000-0400-00005D000000}">
      <text>
        <r>
          <rPr>
            <sz val="11"/>
            <rFont val="Calibri"/>
          </rPr>
          <t>The network device must drop half-open TCP connections through filtering thresholds or timeout periods.</t>
        </r>
      </text>
    </comment>
    <comment ref="K116" authorId="0" shapeId="0" xr:uid="{00000000-0006-0000-0400-00005E000000}">
      <text>
        <r>
          <rPr>
            <sz val="11"/>
            <rFont val="Calibri"/>
          </rPr>
          <t>The network element must be configured from accepting any outbound IP packet that contains an illegitimate address in the source address field via egress ACL or by enabling Unicast Reverse Path Forwarding in an IPv6 enclave.</t>
        </r>
      </text>
    </comment>
    <comment ref="L116" authorId="0" shapeId="0" xr:uid="{00000000-0006-0000-0400-00005F000000}">
      <text>
        <r>
          <rPr>
            <sz val="11"/>
            <rFont val="Calibri"/>
          </rPr>
          <t>IPSec tunnels used to transit management traffic must be restricted to only the authorized management packets based on destination and source IP address.</t>
        </r>
      </text>
    </comment>
    <comment ref="M116" authorId="0" shapeId="0" xr:uid="{00000000-0006-0000-0400-000060000000}">
      <text>
        <r>
          <rPr>
            <sz val="11"/>
            <rFont val="Calibri"/>
          </rPr>
          <t>Traffic from the managed network is able to access the OOBM gateway router</t>
        </r>
      </text>
    </comment>
    <comment ref="N116" authorId="0" shapeId="0" xr:uid="{00000000-0006-0000-0400-000061000000}">
      <text>
        <r>
          <rPr>
            <sz val="11"/>
            <rFont val="Calibri"/>
          </rPr>
          <t>The management interface is not configured with both an ingress and egress ACL.</t>
        </r>
      </text>
    </comment>
    <comment ref="O116" authorId="0" shapeId="0" xr:uid="{00000000-0006-0000-0400-000062000000}">
      <text>
        <r>
          <rPr>
            <sz val="11"/>
            <rFont val="Calibri"/>
          </rPr>
          <t>The ISSO will ensure that only authorized management traffic is forwarded by the multi-layer switch from the production or managed VLANs to the management VLAN.</t>
        </r>
      </text>
    </comment>
    <comment ref="P116" authorId="0" shapeId="0" xr:uid="{00000000-0006-0000-0400-000063000000}">
      <text>
        <r>
          <rPr>
            <sz val="11"/>
            <rFont val="Calibri"/>
          </rPr>
          <t>An inbound ACL is not configured for the management network sub-interface of the trunk link to block non-management traffic.</t>
        </r>
      </text>
    </comment>
    <comment ref="Q116" authorId="0" shapeId="0" xr:uid="{00000000-0006-0000-0400-000064000000}">
      <text>
        <r>
          <rPr>
            <sz val="11"/>
            <rFont val="Calibri"/>
          </rPr>
          <t>Traffic entering the tunnels is not restricted to only the authorized management packets based on destination address.</t>
        </r>
      </text>
    </comment>
    <comment ref="R116" authorId="0" shapeId="0" xr:uid="{00000000-0006-0000-0400-000065000000}">
      <text>
        <r>
          <rPr>
            <sz val="11"/>
            <rFont val="Calibri"/>
          </rPr>
          <t>Server VLAN interfaces must be protected by restrictive ACLs using a deny-by-default security posture.</t>
        </r>
      </text>
    </comment>
    <comment ref="S116" authorId="0" shapeId="0" xr:uid="{00000000-0006-0000-0400-000066000000}">
      <text>
        <r>
          <rPr>
            <sz val="11"/>
            <rFont val="Calibri"/>
          </rPr>
          <t>The IAO will ensure the Server Farm infrastructure is secured by ACLs on VLAN interfaces that restrict data originating from one server farm segment destined to another server farm segment.</t>
        </r>
      </text>
    </comment>
    <comment ref="T116" authorId="0" shapeId="0" xr:uid="{00000000-0006-0000-0400-000067000000}">
      <text>
        <r>
          <rPr>
            <sz val="11"/>
            <rFont val="Calibri"/>
          </rPr>
          <t>The SA will ensure a packet filter is implemented to filter the enclave traffic to and from printer VLANs to allow only print traffic.</t>
        </r>
      </text>
    </comment>
    <comment ref="U116" authorId="0" shapeId="0" xr:uid="{00000000-0006-0000-0400-000068000000}">
      <text>
        <r>
          <rPr>
            <sz val="11"/>
            <rFont val="Calibri"/>
          </rPr>
          <t>The router must have control plane protection enabled.</t>
        </r>
      </text>
    </comment>
    <comment ref="V116" authorId="0" shapeId="0" xr:uid="{00000000-0006-0000-0400-000069000000}">
      <text>
        <r>
          <rPr>
            <sz val="11"/>
            <rFont val="Calibri"/>
          </rPr>
          <t>The administrator must ensure that multicast routers are configured to establish
boundaries for Admin-local or Site-local scope multicast traffic.</t>
        </r>
      </text>
    </comment>
    <comment ref="W116" authorId="0" shapeId="0" xr:uid="{00000000-0006-0000-0400-00006A000000}">
      <text>
        <r>
          <rPr>
            <sz val="11"/>
            <rFont val="Calibri"/>
          </rPr>
          <t>The administrator must ensure that a PIM neighbor filter is bound to all interfaces that have PIM enabled.</t>
        </r>
      </text>
    </comment>
    <comment ref="X116" authorId="0" shapeId="0" xr:uid="{00000000-0006-0000-0400-00006B000000}">
      <text>
        <r>
          <rPr>
            <sz val="11"/>
            <rFont val="Calibri"/>
          </rPr>
          <t>The administrator must ensure the 6-to-4 router is configured to drop any IPv4 packets with protocol 41 received from the internal network.</t>
        </r>
      </text>
    </comment>
    <comment ref="Y116" authorId="0" shapeId="0" xr:uid="{00000000-0006-0000-0400-00006C000000}">
      <text>
        <r>
          <rPr>
            <sz val="11"/>
            <rFont val="Calibri"/>
          </rPr>
          <t>The administrator must ensure the 6-to-4 router is configured to drop any outbound IPv6 packets from the internal network with a source address that is not within the 6to4 prefix 2002:V4ADDR::/48 where V4ADDR is the designated IPv4 6to4 address for the enclave.</t>
        </r>
      </text>
    </comment>
    <comment ref="J121" authorId="0" shapeId="0" xr:uid="{00000000-0006-0000-0400-00006D000000}">
      <text>
        <r>
          <rPr>
            <sz val="11"/>
            <rFont val="Calibri"/>
          </rPr>
          <t>The switch must be configured to use 802.1x authentication on host facing access switch ports.</t>
        </r>
      </text>
    </comment>
    <comment ref="K121" authorId="0" shapeId="0" xr:uid="{00000000-0006-0000-0400-00006E000000}">
      <text>
        <r>
          <rPr>
            <sz val="11"/>
            <rFont val="Calibri"/>
          </rPr>
          <t>The IAO will ensure that all switchports configured using MAC port security will shutdown upon receiving a frame with a different layer 2 source address than what has been configured or learned for port security.</t>
        </r>
      </text>
    </comment>
    <comment ref="L121" authorId="0" shapeId="0" xr:uid="{00000000-0006-0000-0400-00006F000000}">
      <text>
        <r>
          <rPr>
            <sz val="11"/>
            <rFont val="Calibri"/>
          </rPr>
          <t>The switch must only allow a maximum of one registered MAC address per access 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 authorId="0" shapeId="0" xr:uid="{00000000-0006-0000-0500-000001000000}">
      <text>
        <r>
          <rPr>
            <sz val="11"/>
            <rFont val="Calibri"/>
          </rPr>
          <t>The IAO will ensure IPSec VPNs are established as tunnel type VPNs when transporting management traffic across an ip backbone network.</t>
        </r>
      </text>
    </comment>
    <comment ref="I20" authorId="0" shapeId="0" xr:uid="{00000000-0006-0000-0500-000018000000}">
      <text>
        <r>
          <rPr>
            <sz val="11"/>
            <rFont val="Calibri"/>
          </rPr>
          <t>Management connections to a network device must be established using secure protocols with FIPS 140-2 validated cryptographic modules.</t>
        </r>
      </text>
    </comment>
    <comment ref="J20" authorId="0" shapeId="0" xr:uid="{00000000-0006-0000-0500-000002000000}">
      <text>
        <r>
          <rPr>
            <sz val="11"/>
            <rFont val="Calibri"/>
          </rPr>
          <t>The router must have IP source routing disabled.</t>
        </r>
      </text>
    </comment>
    <comment ref="K20" authorId="0" shapeId="0" xr:uid="{00000000-0006-0000-0500-000003000000}">
      <text>
        <r>
          <rPr>
            <sz val="11"/>
            <rFont val="Calibri"/>
          </rPr>
          <t>IP directed broadcast must be disabled on all layer 3 interfaces.</t>
        </r>
      </text>
    </comment>
    <comment ref="L20" authorId="0" shapeId="0" xr:uid="{00000000-0006-0000-0500-000004000000}">
      <text>
        <r>
          <rPr>
            <sz val="11"/>
            <rFont val="Calibri"/>
          </rPr>
          <t>The network device must use SNMP Version 3 Security Model with FIPS 140-2 validated cryptography for any SNMP agent configured on the device.</t>
        </r>
      </text>
    </comment>
    <comment ref="M20" authorId="0" shapeId="0" xr:uid="{00000000-0006-0000-0500-000005000000}">
      <text>
        <r>
          <rPr>
            <sz val="11"/>
            <rFont val="Calibri"/>
          </rPr>
          <t>Gratuitous ARP must be disabled.</t>
        </r>
      </text>
    </comment>
    <comment ref="N20" authorId="0" shapeId="0" xr:uid="{00000000-0006-0000-0500-000006000000}">
      <text>
        <r>
          <rPr>
            <sz val="11"/>
            <rFont val="Calibri"/>
          </rPr>
          <t>The network device must drop half-open TCP connections through filtering thresholds or timeout periods.</t>
        </r>
      </text>
    </comment>
    <comment ref="O20" authorId="0" shapeId="0" xr:uid="{00000000-0006-0000-0500-000007000000}">
      <text>
        <r>
          <rPr>
            <sz val="11"/>
            <rFont val="Calibri"/>
          </rPr>
          <t>The router administrator will ensure ICMPv6 unreachable notifications, and redirects are disabled on all external interfaces of the premise router.</t>
        </r>
      </text>
    </comment>
    <comment ref="P20" authorId="0" shapeId="0" xr:uid="{00000000-0006-0000-0500-000008000000}">
      <text>
        <r>
          <rPr>
            <sz val="11"/>
            <rFont val="Calibri"/>
          </rPr>
          <t>The network element must be configured from accepting any outbound IP packet that contains an illegitimate address in the source address field via egress ACL or by enabling Unicast Reverse Path Forwarding in an IPv6 enclave.</t>
        </r>
      </text>
    </comment>
    <comment ref="Q20" authorId="0" shapeId="0" xr:uid="{00000000-0006-0000-0500-000009000000}">
      <text>
        <r>
          <rPr>
            <sz val="11"/>
            <rFont val="Calibri"/>
          </rPr>
          <t>The network element must not use SSH Version 1 for administrative access.</t>
        </r>
      </text>
    </comment>
    <comment ref="R20" authorId="0" shapeId="0" xr:uid="{00000000-0006-0000-0500-00000A000000}">
      <text>
        <r>
          <rPr>
            <sz val="11"/>
            <rFont val="Calibri"/>
          </rPr>
          <t>IPSec tunnels used to transit management traffic must be restricted to only the authorized management packets based on destination and source IP address.</t>
        </r>
      </text>
    </comment>
    <comment ref="S20" authorId="0" shapeId="0" xr:uid="{00000000-0006-0000-0500-00000B000000}">
      <text>
        <r>
          <rPr>
            <sz val="11"/>
            <rFont val="Calibri"/>
          </rPr>
          <t>Traffic from the managed network is able to access the OOBM gateway router</t>
        </r>
      </text>
    </comment>
    <comment ref="T20" authorId="0" shapeId="0" xr:uid="{00000000-0006-0000-0500-00000C000000}">
      <text>
        <r>
          <rPr>
            <sz val="11"/>
            <rFont val="Calibri"/>
          </rPr>
          <t>Traffic from the managed network will leak into the management network via the gateway router interface connected to the OOBM backbone.</t>
        </r>
      </text>
    </comment>
    <comment ref="U20" authorId="0" shapeId="0" xr:uid="{00000000-0006-0000-0500-00000D000000}">
      <text>
        <r>
          <rPr>
            <sz val="11"/>
            <rFont val="Calibri"/>
          </rPr>
          <t>The management interface is not configured with both an ingress and egress ACL.</t>
        </r>
      </text>
    </comment>
    <comment ref="V20" authorId="0" shapeId="0" xr:uid="{00000000-0006-0000-0500-00000E000000}">
      <text>
        <r>
          <rPr>
            <sz val="11"/>
            <rFont val="Calibri"/>
          </rPr>
          <t>The ISSO will ensure that only authorized management traffic is forwarded by the multi-layer switch from the production or managed VLANs to the management VLAN.</t>
        </r>
      </text>
    </comment>
    <comment ref="W20" authorId="0" shapeId="0" xr:uid="{00000000-0006-0000-0500-00000F000000}">
      <text>
        <r>
          <rPr>
            <sz val="11"/>
            <rFont val="Calibri"/>
          </rPr>
          <t>An inbound ACL is not configured for the management network sub-interface of the trunk link to block non-management traffic.</t>
        </r>
      </text>
    </comment>
    <comment ref="X20" authorId="0" shapeId="0" xr:uid="{00000000-0006-0000-0500-000010000000}">
      <text>
        <r>
          <rPr>
            <sz val="11"/>
            <rFont val="Calibri"/>
          </rPr>
          <t>Traffic entering the tunnels is not restricted to only the authorized management packets based on destination address.</t>
        </r>
      </text>
    </comment>
    <comment ref="Y20" authorId="0" shapeId="0" xr:uid="{00000000-0006-0000-0500-000011000000}">
      <text>
        <r>
          <rPr>
            <sz val="11"/>
            <rFont val="Calibri"/>
          </rPr>
          <t>Server VLAN interfaces must be protected by restrictive ACLs using a deny-by-default security posture.</t>
        </r>
      </text>
    </comment>
    <comment ref="Z20" authorId="0" shapeId="0" xr:uid="{00000000-0006-0000-0500-000012000000}">
      <text>
        <r>
          <rPr>
            <sz val="11"/>
            <rFont val="Calibri"/>
          </rPr>
          <t>The IAO will ensure the Server Farm infrastructure is secured by ACLs on VLAN interfaces that restrict data originating from one server farm segment destined to another server farm segment.</t>
        </r>
      </text>
    </comment>
    <comment ref="AA20" authorId="0" shapeId="0" xr:uid="{00000000-0006-0000-0500-000013000000}">
      <text>
        <r>
          <rPr>
            <sz val="11"/>
            <rFont val="Calibri"/>
          </rPr>
          <t>The SA will ensure a packet filter is implemented to filter the enclave traffic to and from printer VLANs to allow only print traffic.</t>
        </r>
      </text>
    </comment>
    <comment ref="AB20" authorId="0" shapeId="0" xr:uid="{00000000-0006-0000-0500-000014000000}">
      <text>
        <r>
          <rPr>
            <sz val="11"/>
            <rFont val="Calibri"/>
          </rPr>
          <t>The administrator must ensure that multicast routers are configured to establish
boundaries for Admin-local or Site-local scope multicast traffic.</t>
        </r>
      </text>
    </comment>
    <comment ref="AC20" authorId="0" shapeId="0" xr:uid="{00000000-0006-0000-0500-000015000000}">
      <text>
        <r>
          <rPr>
            <sz val="11"/>
            <rFont val="Calibri"/>
          </rPr>
          <t>The administrator must ensure that a PIM neighbor filter is bound to all interfaces that have PIM enabled.</t>
        </r>
      </text>
    </comment>
    <comment ref="AD20" authorId="0" shapeId="0" xr:uid="{00000000-0006-0000-0500-000016000000}">
      <text>
        <r>
          <rPr>
            <sz val="11"/>
            <rFont val="Calibri"/>
          </rPr>
          <t>The administrator must ensure the 6-to-4 router is configured to drop any IPv4 packets with protocol 41 received from the internal network.</t>
        </r>
      </text>
    </comment>
    <comment ref="AE20" authorId="0" shapeId="0" xr:uid="{00000000-0006-0000-0500-000017000000}">
      <text>
        <r>
          <rPr>
            <sz val="11"/>
            <rFont val="Calibri"/>
          </rPr>
          <t>The administrator must ensure the 6-to-4 router is configured to drop any outbound IPv6 packets from the internal network with a source address that is not within the 6to4 prefix 2002:V4ADDR::/48 where V4ADDR is the designated IPv4 6to4 address for the enclave.</t>
        </r>
      </text>
    </comment>
    <comment ref="H21" authorId="0" shapeId="0" xr:uid="{00000000-0006-0000-0500-000019000000}">
      <text>
        <r>
          <rPr>
            <sz val="11"/>
            <rFont val="Calibri"/>
          </rPr>
          <t>The network element must only allow SNMP access from addresses belonging to the management network.</t>
        </r>
      </text>
    </comment>
    <comment ref="I21" authorId="0" shapeId="0" xr:uid="{00000000-0006-0000-0500-00001A000000}">
      <text>
        <r>
          <rPr>
            <sz val="11"/>
            <rFont val="Calibri"/>
          </rPr>
          <t>The network element must only allow management connections for administrative access from hosts residing in to the management network.</t>
        </r>
      </text>
    </comment>
    <comment ref="H24" authorId="0" shapeId="0" xr:uid="{00000000-0006-0000-0500-00001B000000}">
      <text>
        <r>
          <rPr>
            <sz val="11"/>
            <rFont val="Calibri"/>
          </rPr>
          <t>The switch must be configured to use 802.1x authentication on host facing access switch ports.</t>
        </r>
      </text>
    </comment>
    <comment ref="H25" authorId="0" shapeId="0" xr:uid="{00000000-0006-0000-0500-00001C000000}">
      <text>
        <r>
          <rPr>
            <sz val="11"/>
            <rFont val="Calibri"/>
          </rPr>
          <t>The router must have control plane protection enabled.</t>
        </r>
      </text>
    </comment>
    <comment ref="H29" authorId="0" shapeId="0" xr:uid="{00000000-0006-0000-0500-00001D000000}">
      <text>
        <r>
          <rPr>
            <sz val="11"/>
            <rFont val="Calibri"/>
          </rPr>
          <t>Network devices must be password protected.</t>
        </r>
      </text>
    </comment>
    <comment ref="I29" authorId="0" shapeId="0" xr:uid="{00000000-0006-0000-0500-00001E000000}">
      <text>
        <r>
          <rPr>
            <sz val="11"/>
            <rFont val="Calibri"/>
          </rPr>
          <t>Network devices must not have any default manufacturer passwords.</t>
        </r>
      </text>
    </comment>
    <comment ref="J29" authorId="0" shapeId="0" xr:uid="{00000000-0006-0000-0500-00001F000000}">
      <text>
        <r>
          <rPr>
            <sz val="11"/>
            <rFont val="Calibri"/>
          </rPr>
          <t>The network device must not use the default or well-known SNMP community strings public and private.</t>
        </r>
      </text>
    </comment>
    <comment ref="H31" authorId="0" shapeId="0" xr:uid="{00000000-0006-0000-0500-000020000000}">
      <text>
        <r>
          <rPr>
            <sz val="11"/>
            <rFont val="Calibri"/>
          </rPr>
          <t>Authorized accounts must be assigned the least privilege level necessary to perform assigned duties.</t>
        </r>
      </text>
    </comment>
    <comment ref="H41" authorId="0" shapeId="0" xr:uid="{00000000-0006-0000-0500-000021000000}">
      <text>
        <r>
          <rPr>
            <sz val="11"/>
            <rFont val="Calibri"/>
          </rPr>
          <t>The network element must be running a current and supported operating system with all IAVMs addressed.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Group accounts must not be configured for use on the network device.</t>
        </r>
      </text>
    </comment>
    <comment ref="K3" authorId="0" shapeId="0" xr:uid="{00000000-0006-0000-0600-000002000000}">
      <text>
        <r>
          <rPr>
            <sz val="11"/>
            <rFont val="Calibri"/>
          </rPr>
          <t>Unauthorized accounts must not be configured for access to the network device.</t>
        </r>
      </text>
    </comment>
    <comment ref="J5" authorId="0" shapeId="0" xr:uid="{00000000-0006-0000-0600-000003000000}">
      <text>
        <r>
          <rPr>
            <sz val="11"/>
            <rFont val="Calibri"/>
          </rPr>
          <t>The network element must only allow SNMP access from addresses belonging to the management network.</t>
        </r>
      </text>
    </comment>
    <comment ref="K5" authorId="0" shapeId="0" xr:uid="{00000000-0006-0000-0600-000006000000}">
      <text>
        <r>
          <rPr>
            <sz val="11"/>
            <rFont val="Calibri"/>
          </rPr>
          <t>The network element must only allow management connections for administrative access from hosts residing in to the management network.</t>
        </r>
      </text>
    </comment>
    <comment ref="L5" authorId="0" shapeId="0" xr:uid="{00000000-0006-0000-0600-000004000000}">
      <text>
        <r>
          <rPr>
            <sz val="11"/>
            <rFont val="Calibri"/>
          </rPr>
          <t>The IAO will ensure that all switchports configured using MAC port security will shutdown upon receiving a frame with a different layer 2 source address than what has been configured or learned for port security.</t>
        </r>
      </text>
    </comment>
    <comment ref="M5" authorId="0" shapeId="0" xr:uid="{00000000-0006-0000-0600-000005000000}">
      <text>
        <r>
          <rPr>
            <sz val="11"/>
            <rFont val="Calibri"/>
          </rPr>
          <t>The switch must only allow a maximum of one registered MAC address per access port.</t>
        </r>
      </text>
    </comment>
    <comment ref="J7" authorId="0" shapeId="0" xr:uid="{00000000-0006-0000-0600-000007000000}">
      <text>
        <r>
          <rPr>
            <sz val="11"/>
            <rFont val="Calibri"/>
          </rPr>
          <t>The network device must use different SNMP community names or groups for various levels of read and write access.</t>
        </r>
      </text>
    </comment>
    <comment ref="K7" authorId="0" shapeId="0" xr:uid="{00000000-0006-0000-0600-000008000000}">
      <text>
        <r>
          <rPr>
            <sz val="11"/>
            <rFont val="Calibri"/>
          </rPr>
          <t>Authorized accounts must be assigned the least privilege level necessary to perform assigned duties.</t>
        </r>
      </text>
    </comment>
    <comment ref="L7" authorId="0" shapeId="0" xr:uid="{00000000-0006-0000-0600-000009000000}">
      <text>
        <r>
          <rPr>
            <sz val="11"/>
            <rFont val="Calibri"/>
          </rPr>
          <t>The network device must only allow SNMP read-only access.</t>
        </r>
      </text>
    </comment>
    <comment ref="M7" authorId="0" shapeId="0" xr:uid="{00000000-0006-0000-0600-00000A000000}">
      <text>
        <r>
          <rPr>
            <sz val="11"/>
            <rFont val="Calibri"/>
          </rPr>
          <t>The emergency administration account must be set to an appropriate authorization level to perform necessary administrative functions when the authentication server is not online.</t>
        </r>
      </text>
    </comment>
    <comment ref="J12" authorId="0" shapeId="0" xr:uid="{00000000-0006-0000-0600-00000B000000}">
      <text>
        <r>
          <rPr>
            <sz val="11"/>
            <rFont val="Calibri"/>
          </rPr>
          <t>The network element must timeout management connections for administrative access after 10 minutes or less of inactivity.</t>
        </r>
      </text>
    </comment>
    <comment ref="K12" authorId="0" shapeId="0" xr:uid="{00000000-0006-0000-0600-00000C000000}">
      <text>
        <r>
          <rPr>
            <sz val="11"/>
            <rFont val="Calibri"/>
          </rPr>
          <t>The network element must time out access to the console port after 10 minutes or less of inactivity.</t>
        </r>
      </text>
    </comment>
    <comment ref="L12" authorId="0" shapeId="0" xr:uid="{00000000-0006-0000-0600-00000D000000}">
      <text>
        <r>
          <rPr>
            <sz val="11"/>
            <rFont val="Calibri"/>
          </rPr>
          <t>The network element must be configured to timeout after 60 seconds or less for incomplete or broken SSH sessions.</t>
        </r>
      </text>
    </comment>
    <comment ref="J23" authorId="0" shapeId="0" xr:uid="{00000000-0006-0000-0600-00000E000000}">
      <text>
        <r>
          <rPr>
            <sz val="11"/>
            <rFont val="Calibri"/>
          </rPr>
          <t>The network device must log all access control lists (ACL) deny statements.</t>
        </r>
      </text>
    </comment>
    <comment ref="K23" authorId="0" shapeId="0" xr:uid="{00000000-0006-0000-0600-00000F000000}">
      <text>
        <r>
          <rPr>
            <sz val="11"/>
            <rFont val="Calibri"/>
          </rPr>
          <t>The network element must log all attempts to establish a management connection for administrative access.</t>
        </r>
      </text>
    </comment>
    <comment ref="L23" authorId="0" shapeId="0" xr:uid="{00000000-0006-0000-0600-000010000000}">
      <text>
        <r>
          <rPr>
            <sz val="11"/>
            <rFont val="Calibri"/>
          </rPr>
          <t>The network element must log all messages except debugging and send all log data to a syslog server.</t>
        </r>
      </text>
    </comment>
    <comment ref="J29" authorId="0" shapeId="0" xr:uid="{00000000-0006-0000-0600-000011000000}">
      <text>
        <r>
          <rPr>
            <sz val="11"/>
            <rFont val="Calibri"/>
          </rPr>
          <t>The network element must authenticate all NTP messages received from NTP servers and peers.</t>
        </r>
      </text>
    </comment>
    <comment ref="K29" authorId="0" shapeId="0" xr:uid="{00000000-0006-0000-0600-000012000000}">
      <text>
        <r>
          <rPr>
            <sz val="11"/>
            <rFont val="Calibri"/>
          </rPr>
          <t>The network element must use two or more NTP servers to synchronize time.</t>
        </r>
      </text>
    </comment>
    <comment ref="J32" authorId="0" shapeId="0" xr:uid="{00000000-0006-0000-0600-000013000000}">
      <text>
        <r>
          <rPr>
            <sz val="11"/>
            <rFont val="Calibri"/>
          </rPr>
          <t>The running configuration must be synchronized with the startup configuration after changes have been made and implemented.</t>
        </r>
      </text>
    </comment>
    <comment ref="J37" authorId="0" shapeId="0" xr:uid="{00000000-0006-0000-0600-000014000000}">
      <text>
        <r>
          <rPr>
            <sz val="11"/>
            <rFont val="Calibri"/>
          </rPr>
          <t>Network devices must have TCP and UDP small servers disabled.</t>
        </r>
      </text>
    </comment>
    <comment ref="K37" authorId="0" shapeId="0" xr:uid="{00000000-0006-0000-0600-000022000000}">
      <text>
        <r>
          <rPr>
            <sz val="11"/>
            <rFont val="Calibri"/>
          </rPr>
          <t>The network element must have the Finger service disabled.</t>
        </r>
      </text>
    </comment>
    <comment ref="L37" authorId="0" shapeId="0" xr:uid="{00000000-0006-0000-0600-000023000000}">
      <text>
        <r>
          <rPr>
            <sz val="11"/>
            <rFont val="Calibri"/>
          </rPr>
          <t>The Configuration auto-loading feature must be disabled when connected to an operational network.</t>
        </r>
      </text>
    </comment>
    <comment ref="M37" authorId="0" shapeId="0" xr:uid="{00000000-0006-0000-0600-000024000000}">
      <text>
        <r>
          <rPr>
            <sz val="11"/>
            <rFont val="Calibri"/>
          </rPr>
          <t>The router must have IP source routing disabled.</t>
        </r>
      </text>
    </comment>
    <comment ref="N37" authorId="0" shapeId="0" xr:uid="{00000000-0006-0000-0600-000015000000}">
      <text>
        <r>
          <rPr>
            <sz val="11"/>
            <rFont val="Calibri"/>
          </rPr>
          <t>IP directed broadcast must be disabled on all layer 3 interfaces.</t>
        </r>
      </text>
    </comment>
    <comment ref="O37" authorId="0" shapeId="0" xr:uid="{00000000-0006-0000-0600-000016000000}">
      <text>
        <r>
          <rPr>
            <sz val="11"/>
            <rFont val="Calibri"/>
          </rPr>
          <t>The network element must have HTTP service for administrative access disabled.</t>
        </r>
      </text>
    </comment>
    <comment ref="P37" authorId="0" shapeId="0" xr:uid="{00000000-0006-0000-0600-000017000000}">
      <text>
        <r>
          <rPr>
            <sz val="11"/>
            <rFont val="Calibri"/>
          </rPr>
          <t>BOOTP services must be disabled.</t>
        </r>
      </text>
    </comment>
    <comment ref="Q37" authorId="0" shapeId="0" xr:uid="{00000000-0006-0000-0600-000018000000}">
      <text>
        <r>
          <rPr>
            <sz val="11"/>
            <rFont val="Calibri"/>
          </rPr>
          <t>Network devices must have the PAD service disabled.</t>
        </r>
      </text>
    </comment>
    <comment ref="R37" authorId="0" shapeId="0" xr:uid="{00000000-0006-0000-0600-000019000000}">
      <text>
        <r>
          <rPr>
            <sz val="11"/>
            <rFont val="Calibri"/>
          </rPr>
          <t>Network devices must have identification support disabled.</t>
        </r>
      </text>
    </comment>
    <comment ref="S37" authorId="0" shapeId="0" xr:uid="{00000000-0006-0000-0600-00001A000000}">
      <text>
        <r>
          <rPr>
            <sz val="11"/>
            <rFont val="Calibri"/>
          </rPr>
          <t>Gratuitous ARP must be disabled.</t>
        </r>
      </text>
    </comment>
    <comment ref="T37" authorId="0" shapeId="0" xr:uid="{00000000-0006-0000-0600-00001B000000}">
      <text>
        <r>
          <rPr>
            <sz val="11"/>
            <rFont val="Calibri"/>
          </rPr>
          <t>Port trunking must be disabled on all access ports (do not configure trunk on, desirable, non-negotiate, or auto--only off).</t>
        </r>
      </text>
    </comment>
    <comment ref="U37" authorId="0" shapeId="0" xr:uid="{00000000-0006-0000-0600-00001C000000}">
      <text>
        <r>
          <rPr>
            <sz val="11"/>
            <rFont val="Calibri"/>
          </rPr>
          <t>The network element’s auxiliary port must be disabled unless it is connected to a secured modem providing encryption and authentication.</t>
        </r>
      </text>
    </comment>
    <comment ref="V37" authorId="0" shapeId="0" xr:uid="{00000000-0006-0000-0600-00001D000000}">
      <text>
        <r>
          <rPr>
            <sz val="11"/>
            <rFont val="Calibri"/>
          </rPr>
          <t>FTP servers on the device must be disabled.</t>
        </r>
      </text>
    </comment>
    <comment ref="W37" authorId="0" shapeId="0" xr:uid="{00000000-0006-0000-0600-00001E000000}">
      <text>
        <r>
          <rPr>
            <sz val="11"/>
            <rFont val="Calibri"/>
          </rPr>
          <t>The administrator must ensure BSD r command services are disabled.</t>
        </r>
      </text>
    </comment>
    <comment ref="X37" authorId="0" shapeId="0" xr:uid="{00000000-0006-0000-0600-00001F000000}">
      <text>
        <r>
          <rPr>
            <sz val="11"/>
            <rFont val="Calibri"/>
          </rPr>
          <t>The router administrator will ensure ICMPv6 unreachable notifications, and redirects are disabled on all external interfaces of the premise router.</t>
        </r>
      </text>
    </comment>
    <comment ref="Y37" authorId="0" shapeId="0" xr:uid="{00000000-0006-0000-0600-000020000000}">
      <text>
        <r>
          <rPr>
            <sz val="11"/>
            <rFont val="Calibri"/>
          </rPr>
          <t>A service or feature that calls home to the vendor must be disabled.</t>
        </r>
      </text>
    </comment>
    <comment ref="Z37" authorId="0" shapeId="0" xr:uid="{00000000-0006-0000-0600-000021000000}">
      <text>
        <r>
          <rPr>
            <sz val="11"/>
            <rFont val="Calibri"/>
          </rPr>
          <t>The administrator must ensure that Protocol Independent Multicast (PIM) is disabled on all interfaces that are not required to support multicast routing.</t>
        </r>
      </text>
    </comment>
    <comment ref="J43" authorId="0" shapeId="0" xr:uid="{00000000-0006-0000-0600-000025000000}">
      <text>
        <r>
          <rPr>
            <sz val="11"/>
            <rFont val="Calibri"/>
          </rPr>
          <t>Network devices must be password protected.</t>
        </r>
      </text>
    </comment>
    <comment ref="K43" authorId="0" shapeId="0" xr:uid="{00000000-0006-0000-0600-000026000000}">
      <text>
        <r>
          <rPr>
            <sz val="11"/>
            <rFont val="Calibri"/>
          </rPr>
          <t>The network element must be configured to ensure passwords are not viewable when displaying configuration information.</t>
        </r>
      </text>
    </comment>
    <comment ref="L43" authorId="0" shapeId="0" xr:uid="{00000000-0006-0000-0600-000027000000}">
      <text>
        <r>
          <rPr>
            <sz val="11"/>
            <rFont val="Calibri"/>
          </rPr>
          <t>Network devices must not have any default manufacturer passwords.</t>
        </r>
      </text>
    </comment>
    <comment ref="M43" authorId="0" shapeId="0" xr:uid="{00000000-0006-0000-0600-000028000000}">
      <text>
        <r>
          <rPr>
            <sz val="11"/>
            <rFont val="Calibri"/>
          </rPr>
          <t>The network devices must require authentication prior to establishing a management connection for administrative access.</t>
        </r>
      </text>
    </comment>
    <comment ref="N43" authorId="0" shapeId="0" xr:uid="{00000000-0006-0000-0600-000029000000}">
      <text>
        <r>
          <rPr>
            <sz val="11"/>
            <rFont val="Calibri"/>
          </rPr>
          <t>The network device must not use the default or well-known SNMP community strings public and private.</t>
        </r>
      </text>
    </comment>
    <comment ref="O43" authorId="0" shapeId="0" xr:uid="{00000000-0006-0000-0600-00002A000000}">
      <text>
        <r>
          <rPr>
            <sz val="11"/>
            <rFont val="Calibri"/>
          </rPr>
          <t>In the event the authentication server is unavailable, the network device must have a single local account of last resort defined.</t>
        </r>
      </text>
    </comment>
    <comment ref="P43" authorId="0" shapeId="0" xr:uid="{00000000-0006-0000-0600-00002B000000}">
      <text>
        <r>
          <rPr>
            <sz val="11"/>
            <rFont val="Calibri"/>
          </rPr>
          <t>The network device must require authentication for console access.</t>
        </r>
      </text>
    </comment>
    <comment ref="Q43" authorId="0" shapeId="0" xr:uid="{00000000-0006-0000-0600-00002C000000}">
      <text>
        <r>
          <rPr>
            <sz val="11"/>
            <rFont val="Calibri"/>
          </rPr>
          <t>The router administrator will ensure a password is required to gain access to the router</t>
        </r>
        <r>
          <rPr>
            <sz val="11"/>
            <color rgb="FF000000"/>
            <rFont val="Calibri"/>
          </rPr>
          <t>'</t>
        </r>
        <r>
          <rPr>
            <sz val="11"/>
            <color rgb="FF000000"/>
            <rFont val="Calibri"/>
          </rPr>
          <t>s diagnostics port.</t>
        </r>
      </text>
    </comment>
    <comment ref="R43" authorId="0" shapeId="0" xr:uid="{00000000-0006-0000-0600-00002D000000}">
      <text>
        <r>
          <rPr>
            <sz val="11"/>
            <rFont val="Calibri"/>
          </rPr>
          <t>Network devices must use two or more authentication servers for the purpose of granting administrative access.</t>
        </r>
      </text>
    </comment>
    <comment ref="J45" authorId="0" shapeId="0" xr:uid="{00000000-0006-0000-0600-00002E000000}">
      <text>
        <r>
          <rPr>
            <sz val="11"/>
            <rFont val="Calibri"/>
          </rPr>
          <t>The switch must be configured to use 802.1x authentication on host facing access switch ports.</t>
        </r>
      </text>
    </comment>
    <comment ref="J47" authorId="0" shapeId="0" xr:uid="{00000000-0006-0000-0600-00002F000000}">
      <text>
        <r>
          <rPr>
            <sz val="11"/>
            <rFont val="Calibri"/>
          </rPr>
          <t>The network element must be configured for a maximum number of unsuccessful SSH login attempts set at 3 before resetting the interface.</t>
        </r>
      </text>
    </comment>
    <comment ref="J71" authorId="0" shapeId="0" xr:uid="{00000000-0006-0000-0600-000030000000}">
      <text>
        <r>
          <rPr>
            <sz val="11"/>
            <rFont val="Calibri"/>
          </rPr>
          <t>Network devices must display the DoD-approved logon banner warning.</t>
        </r>
      </text>
    </comment>
    <comment ref="J88" authorId="0" shapeId="0" xr:uid="{00000000-0006-0000-0600-000031000000}">
      <text>
        <r>
          <rPr>
            <sz val="11"/>
            <rFont val="Calibri"/>
          </rPr>
          <t>A dedicated management VLAN or VLANs must be configured to keep management traffic separate from user data and control plane traffic.</t>
        </r>
      </text>
    </comment>
    <comment ref="K88" authorId="0" shapeId="0" xr:uid="{00000000-0006-0000-0600-00003E000000}">
      <text>
        <r>
          <rPr>
            <sz val="11"/>
            <rFont val="Calibri"/>
          </rPr>
          <t>The router must use its loopback or OOB management interface address as the source address when originating TACACS+ or RADIUS traffic.</t>
        </r>
      </text>
    </comment>
    <comment ref="L88" authorId="0" shapeId="0" xr:uid="{00000000-0006-0000-0600-00003F000000}">
      <text>
        <r>
          <rPr>
            <sz val="11"/>
            <rFont val="Calibri"/>
          </rPr>
          <t>The router must use its loopback or OOB management interface address as the source address when originating syslog traffic.</t>
        </r>
      </text>
    </comment>
    <comment ref="M88" authorId="0" shapeId="0" xr:uid="{00000000-0006-0000-0600-000040000000}">
      <text>
        <r>
          <rPr>
            <sz val="11"/>
            <rFont val="Calibri"/>
          </rPr>
          <t>The router must use its loopback or OOB management interface address as the source address when originating NTP traffic.</t>
        </r>
      </text>
    </comment>
    <comment ref="N88" authorId="0" shapeId="0" xr:uid="{00000000-0006-0000-0600-000041000000}">
      <text>
        <r>
          <rPr>
            <sz val="11"/>
            <rFont val="Calibri"/>
          </rPr>
          <t>The router must use its loopback or OOB management interface address as the source address when originating SNMP traffic.</t>
        </r>
      </text>
    </comment>
    <comment ref="O88" authorId="0" shapeId="0" xr:uid="{00000000-0006-0000-0600-000042000000}">
      <text>
        <r>
          <rPr>
            <sz val="11"/>
            <rFont val="Calibri"/>
          </rPr>
          <t>The router must use its loopback or OOB management interface address as the source address when originating NetFlow traffic.</t>
        </r>
      </text>
    </comment>
    <comment ref="P88" authorId="0" shapeId="0" xr:uid="{00000000-0006-0000-0600-000043000000}">
      <text>
        <r>
          <rPr>
            <sz val="11"/>
            <rFont val="Calibri"/>
          </rPr>
          <t>The network device must use its loopback or OOB management interface address as the source address when originating TFTP or FTP traffic.</t>
        </r>
      </text>
    </comment>
    <comment ref="Q88" authorId="0" shapeId="0" xr:uid="{00000000-0006-0000-0600-000044000000}">
      <text>
        <r>
          <rPr>
            <sz val="11"/>
            <rFont val="Calibri"/>
          </rPr>
          <t>The network device must be configured to ensure IPv6 Site Local Unicast addresses are not defined in the enclave, (FEC0::/10). Note that this consist of all addresses that begin with FEC, FED, FEE and FEF.</t>
        </r>
      </text>
    </comment>
    <comment ref="R88" authorId="0" shapeId="0" xr:uid="{00000000-0006-0000-0600-000045000000}">
      <text>
        <r>
          <rPr>
            <sz val="11"/>
            <rFont val="Calibri"/>
          </rPr>
          <t>The network element must be configured from accepting any outbound IP packet that contains an illegitimate address in the source address field via egress ACL or by enabling Unicast Reverse Path Forwarding in an IPv6 enclave.</t>
        </r>
      </text>
    </comment>
    <comment ref="S88" authorId="0" shapeId="0" xr:uid="{00000000-0006-0000-0600-000046000000}">
      <text>
        <r>
          <rPr>
            <sz val="11"/>
            <rFont val="Calibri"/>
          </rPr>
          <t>ISATAP tunnels must terminate at an interior router.</t>
        </r>
      </text>
    </comment>
    <comment ref="T88" authorId="0" shapeId="0" xr:uid="{00000000-0006-0000-0600-000047000000}">
      <text>
        <r>
          <rPr>
            <sz val="11"/>
            <rFont val="Calibri"/>
          </rPr>
          <t>IPSec tunnels used to transit management traffic must be restricted to only the authorized management packets based on destination and source IP address.</t>
        </r>
      </text>
    </comment>
    <comment ref="U88" authorId="0" shapeId="0" xr:uid="{00000000-0006-0000-0600-000048000000}">
      <text>
        <r>
          <rPr>
            <sz val="11"/>
            <rFont val="Calibri"/>
          </rPr>
          <t>IGP instances configured on the OOBM gateway router do not peer only with their appropriate routing domain</t>
        </r>
      </text>
    </comment>
    <comment ref="V88" authorId="0" shapeId="0" xr:uid="{00000000-0006-0000-0600-000049000000}">
      <text>
        <r>
          <rPr>
            <sz val="11"/>
            <rFont val="Calibri"/>
          </rPr>
          <t>Traffic from the managed network is able to access the OOBM gateway router</t>
        </r>
      </text>
    </comment>
    <comment ref="W88" authorId="0" shapeId="0" xr:uid="{00000000-0006-0000-0600-00004A000000}">
      <text>
        <r>
          <rPr>
            <sz val="11"/>
            <rFont val="Calibri"/>
          </rPr>
          <t>The network element’s OOBM interface must be configured with an OOBM network address.</t>
        </r>
      </text>
    </comment>
    <comment ref="X88" authorId="0" shapeId="0" xr:uid="{00000000-0006-0000-0600-00004B000000}">
      <text>
        <r>
          <rPr>
            <sz val="11"/>
            <rFont val="Calibri"/>
          </rPr>
          <t>The management interface is not configured with both an ingress and egress ACL.</t>
        </r>
      </text>
    </comment>
    <comment ref="Y88" authorId="0" shapeId="0" xr:uid="{00000000-0006-0000-0600-00004C000000}">
      <text>
        <r>
          <rPr>
            <sz val="11"/>
            <rFont val="Calibri"/>
          </rPr>
          <t>The network element’s management interface is not configured as passive for the IGP instance deployed in the managed network.</t>
        </r>
      </text>
    </comment>
    <comment ref="Z88" authorId="0" shapeId="0" xr:uid="{00000000-0006-0000-0600-00004D000000}">
      <text>
        <r>
          <rPr>
            <sz val="11"/>
            <rFont val="Calibri"/>
          </rPr>
          <t>The management interface is an access switchport and has not been assigned to a separate management VLAN.</t>
        </r>
      </text>
    </comment>
    <comment ref="AA88" authorId="0" shapeId="0" xr:uid="{00000000-0006-0000-0600-000032000000}">
      <text>
        <r>
          <rPr>
            <sz val="11"/>
            <rFont val="Calibri"/>
          </rPr>
          <t>An address has not been configured for the management VLAN from space belonging to the OOBM network assigned to that site.</t>
        </r>
      </text>
    </comment>
    <comment ref="AB88" authorId="0" shapeId="0" xr:uid="{00000000-0006-0000-0600-000033000000}">
      <text>
        <r>
          <rPr>
            <sz val="11"/>
            <rFont val="Calibri"/>
          </rPr>
          <t>The management VLAN is not configured with an IP address from the management network address block.</t>
        </r>
      </text>
    </comment>
    <comment ref="AC88" authorId="0" shapeId="0" xr:uid="{00000000-0006-0000-0600-000034000000}">
      <text>
        <r>
          <rPr>
            <sz val="11"/>
            <rFont val="Calibri"/>
          </rPr>
          <t>The ISSO will ensure that only authorized management traffic is forwarded by the multi-layer switch from the production or managed VLANs to the management VLAN.</t>
        </r>
      </text>
    </comment>
    <comment ref="AD88" authorId="0" shapeId="0" xr:uid="{00000000-0006-0000-0600-000035000000}">
      <text>
        <r>
          <rPr>
            <sz val="11"/>
            <rFont val="Calibri"/>
          </rPr>
          <t>An inbound ACL is not configured for the management network sub-interface of the trunk link to block non-management traffic.</t>
        </r>
      </text>
    </comment>
    <comment ref="AE88" authorId="0" shapeId="0" xr:uid="{00000000-0006-0000-0600-000036000000}">
      <text>
        <r>
          <rPr>
            <sz val="11"/>
            <rFont val="Calibri"/>
          </rPr>
          <t>Traffic entering the tunnels is not restricted to only the authorized management packets based on destination address.</t>
        </r>
      </text>
    </comment>
    <comment ref="AF88" authorId="0" shapeId="0" xr:uid="{00000000-0006-0000-0600-000037000000}">
      <text>
        <r>
          <rPr>
            <sz val="11"/>
            <rFont val="Calibri"/>
          </rPr>
          <t>Server VLAN interfaces must be protected by restrictive ACLs using a deny-by-default security posture.</t>
        </r>
      </text>
    </comment>
    <comment ref="AG88" authorId="0" shapeId="0" xr:uid="{00000000-0006-0000-0600-000038000000}">
      <text>
        <r>
          <rPr>
            <sz val="11"/>
            <rFont val="Calibri"/>
          </rPr>
          <t>Default routes must not be directed to the tunnel entry point.</t>
        </r>
      </text>
    </comment>
    <comment ref="AH88" authorId="0" shapeId="0" xr:uid="{00000000-0006-0000-0600-000039000000}">
      <text>
        <r>
          <rPr>
            <sz val="11"/>
            <rFont val="Calibri"/>
          </rPr>
          <t>The router must have control plane protection enabled.</t>
        </r>
      </text>
    </comment>
    <comment ref="AI88" authorId="0" shapeId="0" xr:uid="{00000000-0006-0000-0600-00003A000000}">
      <text>
        <r>
          <rPr>
            <sz val="11"/>
            <rFont val="Calibri"/>
          </rPr>
          <t>The administrator must ensure that multicast routers are configured to establish
boundaries for Admin-local or Site-local scope multicast traffic.</t>
        </r>
      </text>
    </comment>
    <comment ref="AJ88" authorId="0" shapeId="0" xr:uid="{00000000-0006-0000-0600-00003B000000}">
      <text>
        <r>
          <rPr>
            <sz val="11"/>
            <rFont val="Calibri"/>
          </rPr>
          <t>The administrator must ensure that a PIM neighbor filter is bound to all interfaces that have PIM enabled.</t>
        </r>
      </text>
    </comment>
    <comment ref="AK88" authorId="0" shapeId="0" xr:uid="{00000000-0006-0000-0600-00003C000000}">
      <text>
        <r>
          <rPr>
            <sz val="11"/>
            <rFont val="Calibri"/>
          </rPr>
          <t>The administrator must ensure the 6-to-4 router is configured to drop any IPv4 packets with protocol 41 received from the internal network.</t>
        </r>
      </text>
    </comment>
    <comment ref="AL88" authorId="0" shapeId="0" xr:uid="{00000000-0006-0000-0600-00003D000000}">
      <text>
        <r>
          <rPr>
            <sz val="11"/>
            <rFont val="Calibri"/>
          </rPr>
          <t>The administrator must ensure the 6-to-4 router is configured to drop any outbound IPv6 packets from the internal network with a source address that is not within the 6to4 prefix 2002:V4ADDR::/48 where V4ADDR is the designated IPv4 6to4 address for the enclave.</t>
        </r>
      </text>
    </comment>
    <comment ref="J89" authorId="0" shapeId="0" xr:uid="{00000000-0006-0000-0600-00004E000000}">
      <text>
        <r>
          <rPr>
            <sz val="11"/>
            <rFont val="Calibri"/>
          </rPr>
          <t>VLAN 1 must not be used for user VLANs.</t>
        </r>
      </text>
    </comment>
    <comment ref="K89" authorId="0" shapeId="0" xr:uid="{00000000-0006-0000-0600-00004F000000}">
      <text>
        <r>
          <rPr>
            <sz val="11"/>
            <rFont val="Calibri"/>
          </rPr>
          <t>VLAN 1 must be pruned from all trunk and access ports that do not require it.</t>
        </r>
      </text>
    </comment>
    <comment ref="L89" authorId="0" shapeId="0" xr:uid="{00000000-0006-0000-0600-000050000000}">
      <text>
        <r>
          <rPr>
            <sz val="11"/>
            <rFont val="Calibri"/>
          </rPr>
          <t>Disabled switch ports must be placed in an unused VLAN (do not use VLAN1).</t>
        </r>
      </text>
    </comment>
    <comment ref="M89" authorId="0" shapeId="0" xr:uid="{00000000-0006-0000-0600-000051000000}">
      <text>
        <r>
          <rPr>
            <sz val="11"/>
            <rFont val="Calibri"/>
          </rPr>
          <t>Access switchports must not be assigned to the native VLAN.</t>
        </r>
      </text>
    </comment>
    <comment ref="N89" authorId="0" shapeId="0" xr:uid="{00000000-0006-0000-0600-000052000000}">
      <text>
        <r>
          <rPr>
            <sz val="11"/>
            <rFont val="Calibri"/>
          </rPr>
          <t>The native VLAN must be assigned to a VLAN ID other than the default VLAN for all 802.1q trunk links.</t>
        </r>
      </text>
    </comment>
    <comment ref="O89" authorId="0" shapeId="0" xr:uid="{00000000-0006-0000-0600-000053000000}">
      <text>
        <r>
          <rPr>
            <sz val="11"/>
            <rFont val="Calibri"/>
          </rPr>
          <t>Port trunking must be disabled on all access ports (do not configure trunk on, desirable, non-negotiate, or auto--only off).</t>
        </r>
      </text>
    </comment>
    <comment ref="P89" authorId="0" shapeId="0" xr:uid="{00000000-0006-0000-0600-000054000000}">
      <text>
        <r>
          <rPr>
            <sz val="11"/>
            <rFont val="Calibri"/>
          </rPr>
          <t>The routes from the two IGP domains are redistributed to each other.</t>
        </r>
      </text>
    </comment>
    <comment ref="Q89" authorId="0" shapeId="0" xr:uid="{00000000-0006-0000-0600-000055000000}">
      <text>
        <r>
          <rPr>
            <sz val="11"/>
            <rFont val="Calibri"/>
          </rPr>
          <t>Traffic from the managed network will leak into the management network via the gateway router interface connected to the OOBM backbone.</t>
        </r>
      </text>
    </comment>
    <comment ref="R89" authorId="0" shapeId="0" xr:uid="{00000000-0006-0000-0600-000056000000}">
      <text>
        <r>
          <rPr>
            <sz val="11"/>
            <rFont val="Calibri"/>
          </rPr>
          <t>Management network traffic is leaking into the managed network.</t>
        </r>
      </text>
    </comment>
    <comment ref="S89" authorId="0" shapeId="0" xr:uid="{00000000-0006-0000-0600-000057000000}">
      <text>
        <r>
          <rPr>
            <sz val="11"/>
            <rFont val="Calibri"/>
          </rPr>
          <t>The access switchport connecting to the OOBM access switch is not the only port with membership to the management VLAN.</t>
        </r>
      </text>
    </comment>
    <comment ref="T89" authorId="0" shapeId="0" xr:uid="{00000000-0006-0000-0600-000058000000}">
      <text>
        <r>
          <rPr>
            <sz val="11"/>
            <rFont val="Calibri"/>
          </rPr>
          <t>The management VLAN is not pruned from any VLAN trunk links belonging to the managed network’s infrastructure.</t>
        </r>
      </text>
    </comment>
    <comment ref="U89" authorId="0" shapeId="0" xr:uid="{00000000-0006-0000-0600-000059000000}">
      <text>
        <r>
          <rPr>
            <sz val="11"/>
            <rFont val="Calibri"/>
          </rPr>
          <t>The IAO will ensure the Server Farm infrastructure is secured by ACLs on VLAN interfaces that restrict data originating from one server farm segment destined to another server farm segment.</t>
        </r>
      </text>
    </comment>
    <comment ref="V89" authorId="0" shapeId="0" xr:uid="{00000000-0006-0000-0600-00005A000000}">
      <text>
        <r>
          <rPr>
            <sz val="11"/>
            <rFont val="Calibri"/>
          </rPr>
          <t>Printers must be assigned to a VLAN that is not shared by unlike devices.</t>
        </r>
      </text>
    </comment>
    <comment ref="W89" authorId="0" shapeId="0" xr:uid="{00000000-0006-0000-0600-00005B000000}">
      <text>
        <r>
          <rPr>
            <sz val="11"/>
            <rFont val="Calibri"/>
          </rPr>
          <t>The SA will ensure a packet filter is implemented to filter the enclave traffic to and from printer VLANs to allow only print traffic.</t>
        </r>
      </text>
    </comment>
    <comment ref="J90" authorId="0" shapeId="0" xr:uid="{00000000-0006-0000-0600-00005C000000}">
      <text>
        <r>
          <rPr>
            <sz val="11"/>
            <rFont val="Calibri"/>
          </rPr>
          <t>The network device must drop half-open TCP connections through filtering thresholds or timeout periods.</t>
        </r>
      </text>
    </comment>
    <comment ref="J91" authorId="0" shapeId="0" xr:uid="{00000000-0006-0000-0600-00005D000000}">
      <text>
        <r>
          <rPr>
            <sz val="11"/>
            <rFont val="Calibri"/>
          </rPr>
          <t>The IAO will ensure IPSec VPNs are established as tunnel type VPNs when transporting management traffic across an ip backbone network.</t>
        </r>
      </text>
    </comment>
    <comment ref="K91" authorId="0" shapeId="0" xr:uid="{00000000-0006-0000-0600-00005E000000}">
      <text>
        <r>
          <rPr>
            <sz val="11"/>
            <rFont val="Calibri"/>
          </rPr>
          <t>The network element must authenticate all IGP peers.</t>
        </r>
      </text>
    </comment>
    <comment ref="L91" authorId="0" shapeId="0" xr:uid="{00000000-0006-0000-0600-00005F000000}">
      <text>
        <r>
          <rPr>
            <sz val="11"/>
            <rFont val="Calibri"/>
          </rPr>
          <t>Management connections to a network device must be established using secure protocols with FIPS 140-2 validated cryptographic modules.</t>
        </r>
      </text>
    </comment>
    <comment ref="M91" authorId="0" shapeId="0" xr:uid="{00000000-0006-0000-0600-000060000000}">
      <text>
        <r>
          <rPr>
            <sz val="11"/>
            <rFont val="Calibri"/>
          </rPr>
          <t>The network device must use SNMP Version 3 Security Model with FIPS 140-2 validated cryptography for any SNMP agent configured on the device.</t>
        </r>
      </text>
    </comment>
    <comment ref="N91" authorId="0" shapeId="0" xr:uid="{00000000-0006-0000-0600-000061000000}">
      <text>
        <r>
          <rPr>
            <sz val="11"/>
            <rFont val="Calibri"/>
          </rPr>
          <t>An Infinite Lifetime key must be set to never expire. The lifetime of the key will be configured as infinite for route authentication, if supported by the current approved router software version.</t>
        </r>
      </text>
    </comment>
    <comment ref="O91" authorId="0" shapeId="0" xr:uid="{00000000-0006-0000-0600-000062000000}">
      <text>
        <r>
          <rPr>
            <sz val="11"/>
            <rFont val="Calibri"/>
          </rPr>
          <t>Network devices must be configured with rotating keys used for authenticating IGP peers that have a duration of 180 days or less.</t>
        </r>
      </text>
    </comment>
    <comment ref="P91" authorId="0" shapeId="0" xr:uid="{00000000-0006-0000-0600-000063000000}">
      <text>
        <r>
          <rPr>
            <sz val="11"/>
            <rFont val="Calibri"/>
          </rPr>
          <t>The router must use its loopback interface address as the source address for all iBGP peering sessions.</t>
        </r>
      </text>
    </comment>
    <comment ref="Q91" authorId="0" shapeId="0" xr:uid="{00000000-0006-0000-0600-000064000000}">
      <text>
        <r>
          <rPr>
            <sz val="11"/>
            <rFont val="Calibri"/>
          </rPr>
          <t>The network element must not use SSH Version 1 for administrative access.</t>
        </r>
      </text>
    </comment>
    <comment ref="R91" authorId="0" shapeId="0" xr:uid="{00000000-0006-0000-0600-000065000000}">
      <text>
        <r>
          <rPr>
            <sz val="11"/>
            <rFont val="Calibri"/>
          </rPr>
          <t>Gateway configuration at the remote VPN end-point is a not a mirror of the local gateway</t>
        </r>
      </text>
    </comment>
    <comment ref="S91" authorId="0" shapeId="0" xr:uid="{00000000-0006-0000-0600-000066000000}">
      <text>
        <r>
          <rPr>
            <sz val="11"/>
            <rFont val="Calibri"/>
          </rPr>
          <t>The administrator must ensure the that all L2TPv3 sessions are authenticated prior to transporting traffic.</t>
        </r>
      </text>
    </comment>
    <comment ref="T91" authorId="0" shapeId="0" xr:uid="{00000000-0006-0000-0600-000067000000}">
      <text>
        <r>
          <rPr>
            <sz val="11"/>
            <rFont val="Calibri"/>
          </rPr>
          <t>The network element must authenticate all BGP peers within the same or between autonomous systems (AS).</t>
        </r>
      </text>
    </comment>
    <comment ref="J99" authorId="0" shapeId="0" xr:uid="{00000000-0006-0000-0600-000068000000}">
      <text>
        <r>
          <rPr>
            <sz val="11"/>
            <rFont val="Calibri"/>
          </rPr>
          <t>The network element must be running a current and supported operating system with all IAVMs addressed.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The network element must be running a current and supported operating system with all IAVMs addressed.</t>
        </r>
      </text>
    </comment>
    <comment ref="H89" authorId="0" shapeId="0" xr:uid="{00000000-0006-0000-0700-000002000000}">
      <text>
        <r>
          <rPr>
            <sz val="11"/>
            <rFont val="Calibri"/>
          </rPr>
          <t>Network devices must be password protected.</t>
        </r>
      </text>
    </comment>
    <comment ref="I89" authorId="0" shapeId="0" xr:uid="{00000000-0006-0000-0700-000007000000}">
      <text>
        <r>
          <rPr>
            <sz val="11"/>
            <rFont val="Calibri"/>
          </rPr>
          <t>Group accounts must not be configured for use on the network device.</t>
        </r>
      </text>
    </comment>
    <comment ref="J89" authorId="0" shapeId="0" xr:uid="{00000000-0006-0000-0700-000003000000}">
      <text>
        <r>
          <rPr>
            <sz val="11"/>
            <rFont val="Calibri"/>
          </rPr>
          <t>Unauthorized accounts must not be configured for access to the network device.</t>
        </r>
      </text>
    </comment>
    <comment ref="K89" authorId="0" shapeId="0" xr:uid="{00000000-0006-0000-0700-000004000000}">
      <text>
        <r>
          <rPr>
            <sz val="11"/>
            <rFont val="Calibri"/>
          </rPr>
          <t>Network devices must not have any default manufacturer passwords.</t>
        </r>
      </text>
    </comment>
    <comment ref="L89" authorId="0" shapeId="0" xr:uid="{00000000-0006-0000-0700-000005000000}">
      <text>
        <r>
          <rPr>
            <sz val="11"/>
            <rFont val="Calibri"/>
          </rPr>
          <t>The network device must not use the default or well-known SNMP community strings public and private.</t>
        </r>
      </text>
    </comment>
    <comment ref="M89" authorId="0" shapeId="0" xr:uid="{00000000-0006-0000-0700-000006000000}">
      <text>
        <r>
          <rPr>
            <sz val="11"/>
            <rFont val="Calibri"/>
          </rPr>
          <t>In the event the authentication server is unavailable, the network device must have a single local account of last resort defined.</t>
        </r>
      </text>
    </comment>
    <comment ref="H90" authorId="0" shapeId="0" xr:uid="{00000000-0006-0000-0700-000008000000}">
      <text>
        <r>
          <rPr>
            <sz val="11"/>
            <rFont val="Calibri"/>
          </rPr>
          <t>The switch must be configured to use 802.1x authentication on host facing access switch ports.</t>
        </r>
      </text>
    </comment>
    <comment ref="H91" authorId="0" shapeId="0" xr:uid="{00000000-0006-0000-0700-000009000000}">
      <text>
        <r>
          <rPr>
            <sz val="11"/>
            <rFont val="Calibri"/>
          </rPr>
          <t>The network devices must require authentication prior to establishing a management connection for administrative access.</t>
        </r>
      </text>
    </comment>
    <comment ref="I91" authorId="0" shapeId="0" xr:uid="{00000000-0006-0000-0700-00000A000000}">
      <text>
        <r>
          <rPr>
            <sz val="11"/>
            <rFont val="Calibri"/>
          </rPr>
          <t>The network device must require authentication for console access.</t>
        </r>
      </text>
    </comment>
    <comment ref="J91" authorId="0" shapeId="0" xr:uid="{00000000-0006-0000-0700-00000B000000}">
      <text>
        <r>
          <rPr>
            <sz val="11"/>
            <rFont val="Calibri"/>
          </rPr>
          <t>The router administrator will ensure a password is required to gain access to the router</t>
        </r>
        <r>
          <rPr>
            <sz val="11"/>
            <color rgb="FF000000"/>
            <rFont val="Calibri"/>
          </rPr>
          <t>'</t>
        </r>
        <r>
          <rPr>
            <sz val="11"/>
            <color rgb="FF000000"/>
            <rFont val="Calibri"/>
          </rPr>
          <t>s diagnostics port.</t>
        </r>
      </text>
    </comment>
    <comment ref="K91" authorId="0" shapeId="0" xr:uid="{00000000-0006-0000-0700-00000C000000}">
      <text>
        <r>
          <rPr>
            <sz val="11"/>
            <rFont val="Calibri"/>
          </rPr>
          <t>Network devices must use two or more authentication servers for the purpose of granting administrative access.</t>
        </r>
      </text>
    </comment>
    <comment ref="H93" authorId="0" shapeId="0" xr:uid="{00000000-0006-0000-0700-00000D000000}">
      <text>
        <r>
          <rPr>
            <sz val="11"/>
            <rFont val="Calibri"/>
          </rPr>
          <t>The network element must timeout management connections for administrative access after 10 minutes or less of inactivity.</t>
        </r>
      </text>
    </comment>
    <comment ref="I93" authorId="0" shapeId="0" xr:uid="{00000000-0006-0000-0700-000010000000}">
      <text>
        <r>
          <rPr>
            <sz val="11"/>
            <rFont val="Calibri"/>
          </rPr>
          <t>The network device must use different SNMP community names or groups for various levels of read and write access.</t>
        </r>
      </text>
    </comment>
    <comment ref="J93" authorId="0" shapeId="0" xr:uid="{00000000-0006-0000-0700-000011000000}">
      <text>
        <r>
          <rPr>
            <sz val="11"/>
            <rFont val="Calibri"/>
          </rPr>
          <t>Authorized accounts must be assigned the least privilege level necessary to perform assigned duties.</t>
        </r>
      </text>
    </comment>
    <comment ref="K93" authorId="0" shapeId="0" xr:uid="{00000000-0006-0000-0700-000012000000}">
      <text>
        <r>
          <rPr>
            <sz val="11"/>
            <rFont val="Calibri"/>
          </rPr>
          <t>The network element must time out access to the console port after 10 minutes or less of inactivity.</t>
        </r>
      </text>
    </comment>
    <comment ref="L93" authorId="0" shapeId="0" xr:uid="{00000000-0006-0000-0700-000013000000}">
      <text>
        <r>
          <rPr>
            <sz val="11"/>
            <rFont val="Calibri"/>
          </rPr>
          <t>The network device must only allow SNMP read-only access.</t>
        </r>
      </text>
    </comment>
    <comment ref="M93" authorId="0" shapeId="0" xr:uid="{00000000-0006-0000-0700-000014000000}">
      <text>
        <r>
          <rPr>
            <sz val="11"/>
            <rFont val="Calibri"/>
          </rPr>
          <t>The emergency administration account must be set to an appropriate authorization level to perform necessary administrative functions when the authentication server is not online.</t>
        </r>
      </text>
    </comment>
    <comment ref="N93" authorId="0" shapeId="0" xr:uid="{00000000-0006-0000-0700-00000E000000}">
      <text>
        <r>
          <rPr>
            <sz val="11"/>
            <rFont val="Calibri"/>
          </rPr>
          <t>The IAO will ensure that all switchports configured using MAC port security will shutdown upon receiving a frame with a different layer 2 source address than what has been configured or learned for port security.</t>
        </r>
      </text>
    </comment>
    <comment ref="O93" authorId="0" shapeId="0" xr:uid="{00000000-0006-0000-0700-00000F000000}">
      <text>
        <r>
          <rPr>
            <sz val="11"/>
            <rFont val="Calibri"/>
          </rPr>
          <t>The switch must only allow a maximum of one registered MAC address per access port.</t>
        </r>
      </text>
    </comment>
    <comment ref="H111" authorId="0" shapeId="0" xr:uid="{00000000-0006-0000-0700-000015000000}">
      <text>
        <r>
          <rPr>
            <sz val="11"/>
            <rFont val="Calibri"/>
          </rPr>
          <t>The IAO will ensure IPSec VPNs are established as tunnel type VPNs when transporting management traffic across an ip backbone network.</t>
        </r>
      </text>
    </comment>
    <comment ref="I111" authorId="0" shapeId="0" xr:uid="{00000000-0006-0000-0700-000017000000}">
      <text>
        <r>
          <rPr>
            <sz val="11"/>
            <rFont val="Calibri"/>
          </rPr>
          <t>The network element must authenticate all IGP peers.</t>
        </r>
      </text>
    </comment>
    <comment ref="J111" authorId="0" shapeId="0" xr:uid="{00000000-0006-0000-0700-000018000000}">
      <text>
        <r>
          <rPr>
            <sz val="11"/>
            <rFont val="Calibri"/>
          </rPr>
          <t>Management connections to a network device must be established using secure protocols with FIPS 140-2 validated cryptographic modules.</t>
        </r>
      </text>
    </comment>
    <comment ref="K111" authorId="0" shapeId="0" xr:uid="{00000000-0006-0000-0700-000019000000}">
      <text>
        <r>
          <rPr>
            <sz val="11"/>
            <rFont val="Calibri"/>
          </rPr>
          <t>The network device must use SNMP Version 3 Security Model with FIPS 140-2 validated cryptography for any SNMP agent configured on the device.</t>
        </r>
      </text>
    </comment>
    <comment ref="L111" authorId="0" shapeId="0" xr:uid="{00000000-0006-0000-0700-00001A000000}">
      <text>
        <r>
          <rPr>
            <sz val="11"/>
            <rFont val="Calibri"/>
          </rPr>
          <t>Network devices must be configured with rotating keys used for authenticating IGP peers that have a duration of 180 days or less.</t>
        </r>
      </text>
    </comment>
    <comment ref="M111" authorId="0" shapeId="0" xr:uid="{00000000-0006-0000-0700-00001B000000}">
      <text>
        <r>
          <rPr>
            <sz val="11"/>
            <rFont val="Calibri"/>
          </rPr>
          <t>The network element must authenticate all NTP messages received from NTP servers and peers.</t>
        </r>
      </text>
    </comment>
    <comment ref="N111" authorId="0" shapeId="0" xr:uid="{00000000-0006-0000-0700-00001C000000}">
      <text>
        <r>
          <rPr>
            <sz val="11"/>
            <rFont val="Calibri"/>
          </rPr>
          <t>The network element must not use SSH Version 1 for administrative access.</t>
        </r>
      </text>
    </comment>
    <comment ref="O111" authorId="0" shapeId="0" xr:uid="{00000000-0006-0000-0700-00001D000000}">
      <text>
        <r>
          <rPr>
            <sz val="11"/>
            <rFont val="Calibri"/>
          </rPr>
          <t>The administrator must ensure the that all L2TPv3 sessions are authenticated prior to transporting traffic.</t>
        </r>
      </text>
    </comment>
    <comment ref="P111" authorId="0" shapeId="0" xr:uid="{00000000-0006-0000-0700-000016000000}">
      <text>
        <r>
          <rPr>
            <sz val="11"/>
            <rFont val="Calibri"/>
          </rPr>
          <t>The network element must authenticate all BGP peers within the same or between autonomous systems (AS).</t>
        </r>
      </text>
    </comment>
    <comment ref="H134" authorId="0" shapeId="0" xr:uid="{00000000-0006-0000-0700-00001E000000}">
      <text>
        <r>
          <rPr>
            <sz val="11"/>
            <rFont val="Calibri"/>
          </rPr>
          <t>The network element must only allow SNMP access from addresses belonging to the management network.</t>
        </r>
      </text>
    </comment>
    <comment ref="I134" authorId="0" shapeId="0" xr:uid="{00000000-0006-0000-0700-000037000000}">
      <text>
        <r>
          <rPr>
            <sz val="11"/>
            <rFont val="Calibri"/>
          </rPr>
          <t>VLAN 1 must not be used for user VLANs.</t>
        </r>
      </text>
    </comment>
    <comment ref="J134" authorId="0" shapeId="0" xr:uid="{00000000-0006-0000-0700-000038000000}">
      <text>
        <r>
          <rPr>
            <sz val="11"/>
            <rFont val="Calibri"/>
          </rPr>
          <t>VLAN 1 must be pruned from all trunk and access ports that do not require it.</t>
        </r>
      </text>
    </comment>
    <comment ref="K134" authorId="0" shapeId="0" xr:uid="{00000000-0006-0000-0700-000039000000}">
      <text>
        <r>
          <rPr>
            <sz val="11"/>
            <rFont val="Calibri"/>
          </rPr>
          <t>Disabled switch ports must be placed in an unused VLAN (do not use VLAN1).</t>
        </r>
      </text>
    </comment>
    <comment ref="L134" authorId="0" shapeId="0" xr:uid="{00000000-0006-0000-0700-00003A000000}">
      <text>
        <r>
          <rPr>
            <sz val="11"/>
            <rFont val="Calibri"/>
          </rPr>
          <t>Access switchports must not be assigned to the native VLAN.</t>
        </r>
      </text>
    </comment>
    <comment ref="M134" authorId="0" shapeId="0" xr:uid="{00000000-0006-0000-0700-00003B000000}">
      <text>
        <r>
          <rPr>
            <sz val="11"/>
            <rFont val="Calibri"/>
          </rPr>
          <t>The network element must only allow management connections for administrative access from hosts residing in to the management network.</t>
        </r>
      </text>
    </comment>
    <comment ref="N134" authorId="0" shapeId="0" xr:uid="{00000000-0006-0000-0700-00003C000000}">
      <text>
        <r>
          <rPr>
            <sz val="11"/>
            <rFont val="Calibri"/>
          </rPr>
          <t>The native VLAN must be assigned to a VLAN ID other than the default VLAN for all 802.1q trunk links.</t>
        </r>
      </text>
    </comment>
    <comment ref="O134" authorId="0" shapeId="0" xr:uid="{00000000-0006-0000-0700-00003D000000}">
      <text>
        <r>
          <rPr>
            <sz val="11"/>
            <rFont val="Calibri"/>
          </rPr>
          <t>A dedicated management VLAN or VLANs must be configured to keep management traffic separate from user data and control plane traffic.</t>
        </r>
      </text>
    </comment>
    <comment ref="P134" authorId="0" shapeId="0" xr:uid="{00000000-0006-0000-0700-00003E000000}">
      <text>
        <r>
          <rPr>
            <sz val="11"/>
            <rFont val="Calibri"/>
          </rPr>
          <t>The network device must drop half-open TCP connections through filtering thresholds or timeout periods.</t>
        </r>
      </text>
    </comment>
    <comment ref="Q134" authorId="0" shapeId="0" xr:uid="{00000000-0006-0000-0700-00001F000000}">
      <text>
        <r>
          <rPr>
            <sz val="11"/>
            <rFont val="Calibri"/>
          </rPr>
          <t>The network element must be configured from accepting any outbound IP packet that contains an illegitimate address in the source address field via egress ACL or by enabling Unicast Reverse Path Forwarding in an IPv6 enclave.</t>
        </r>
      </text>
    </comment>
    <comment ref="R134" authorId="0" shapeId="0" xr:uid="{00000000-0006-0000-0700-000020000000}">
      <text>
        <r>
          <rPr>
            <sz val="11"/>
            <rFont val="Calibri"/>
          </rPr>
          <t>IPSec tunnels used to transit management traffic must be restricted to only the authorized management packets based on destination and source IP address.</t>
        </r>
      </text>
    </comment>
    <comment ref="S134" authorId="0" shapeId="0" xr:uid="{00000000-0006-0000-0700-000021000000}">
      <text>
        <r>
          <rPr>
            <sz val="11"/>
            <rFont val="Calibri"/>
          </rPr>
          <t>IGP instances configured on the OOBM gateway router do not peer only with their appropriate routing domain</t>
        </r>
      </text>
    </comment>
    <comment ref="T134" authorId="0" shapeId="0" xr:uid="{00000000-0006-0000-0700-000022000000}">
      <text>
        <r>
          <rPr>
            <sz val="11"/>
            <rFont val="Calibri"/>
          </rPr>
          <t>The routes from the two IGP domains are redistributed to each other.</t>
        </r>
      </text>
    </comment>
    <comment ref="U134" authorId="0" shapeId="0" xr:uid="{00000000-0006-0000-0700-000023000000}">
      <text>
        <r>
          <rPr>
            <sz val="11"/>
            <rFont val="Calibri"/>
          </rPr>
          <t>Traffic from the managed network is able to access the OOBM gateway router</t>
        </r>
      </text>
    </comment>
    <comment ref="V134" authorId="0" shapeId="0" xr:uid="{00000000-0006-0000-0700-000024000000}">
      <text>
        <r>
          <rPr>
            <sz val="11"/>
            <rFont val="Calibri"/>
          </rPr>
          <t>Traffic from the managed network will leak into the management network via the gateway router interface connected to the OOBM backbone.</t>
        </r>
      </text>
    </comment>
    <comment ref="W134" authorId="0" shapeId="0" xr:uid="{00000000-0006-0000-0700-000025000000}">
      <text>
        <r>
          <rPr>
            <sz val="11"/>
            <rFont val="Calibri"/>
          </rPr>
          <t>Management network traffic is leaking into the managed network.</t>
        </r>
      </text>
    </comment>
    <comment ref="X134" authorId="0" shapeId="0" xr:uid="{00000000-0006-0000-0700-000026000000}">
      <text>
        <r>
          <rPr>
            <sz val="11"/>
            <rFont val="Calibri"/>
          </rPr>
          <t>The network element’s OOBM interface must be configured with an OOBM network address.</t>
        </r>
      </text>
    </comment>
    <comment ref="Y134" authorId="0" shapeId="0" xr:uid="{00000000-0006-0000-0700-000027000000}">
      <text>
        <r>
          <rPr>
            <sz val="11"/>
            <rFont val="Calibri"/>
          </rPr>
          <t>The management interface is not configured with both an ingress and egress ACL.</t>
        </r>
      </text>
    </comment>
    <comment ref="Z134" authorId="0" shapeId="0" xr:uid="{00000000-0006-0000-0700-000028000000}">
      <text>
        <r>
          <rPr>
            <sz val="11"/>
            <rFont val="Calibri"/>
          </rPr>
          <t>The management interface is an access switchport and has not been assigned to a separate management VLAN.</t>
        </r>
      </text>
    </comment>
    <comment ref="AA134" authorId="0" shapeId="0" xr:uid="{00000000-0006-0000-0700-000029000000}">
      <text>
        <r>
          <rPr>
            <sz val="11"/>
            <rFont val="Calibri"/>
          </rPr>
          <t>The access switchport connecting to the OOBM access switch is not the only port with membership to the management VLAN.</t>
        </r>
      </text>
    </comment>
    <comment ref="AB134" authorId="0" shapeId="0" xr:uid="{00000000-0006-0000-0700-00002A000000}">
      <text>
        <r>
          <rPr>
            <sz val="11"/>
            <rFont val="Calibri"/>
          </rPr>
          <t>The management VLAN is not pruned from any VLAN trunk links belonging to the managed network’s infrastructure.</t>
        </r>
      </text>
    </comment>
    <comment ref="AC134" authorId="0" shapeId="0" xr:uid="{00000000-0006-0000-0700-00002B000000}">
      <text>
        <r>
          <rPr>
            <sz val="11"/>
            <rFont val="Calibri"/>
          </rPr>
          <t>The ISSO will ensure that only authorized management traffic is forwarded by the multi-layer switch from the production or managed VLANs to the management VLAN.</t>
        </r>
      </text>
    </comment>
    <comment ref="AD134" authorId="0" shapeId="0" xr:uid="{00000000-0006-0000-0700-00002C000000}">
      <text>
        <r>
          <rPr>
            <sz val="11"/>
            <rFont val="Calibri"/>
          </rPr>
          <t>An inbound ACL is not configured for the management network sub-interface of the trunk link to block non-management traffic.</t>
        </r>
      </text>
    </comment>
    <comment ref="AE134" authorId="0" shapeId="0" xr:uid="{00000000-0006-0000-0700-00002D000000}">
      <text>
        <r>
          <rPr>
            <sz val="11"/>
            <rFont val="Calibri"/>
          </rPr>
          <t>Traffic entering the tunnels is not restricted to only the authorized management packets based on destination address.</t>
        </r>
      </text>
    </comment>
    <comment ref="AF134" authorId="0" shapeId="0" xr:uid="{00000000-0006-0000-0700-00002E000000}">
      <text>
        <r>
          <rPr>
            <sz val="11"/>
            <rFont val="Calibri"/>
          </rPr>
          <t>Server VLAN interfaces must be protected by restrictive ACLs using a deny-by-default security posture.</t>
        </r>
      </text>
    </comment>
    <comment ref="AG134" authorId="0" shapeId="0" xr:uid="{00000000-0006-0000-0700-00002F000000}">
      <text>
        <r>
          <rPr>
            <sz val="11"/>
            <rFont val="Calibri"/>
          </rPr>
          <t>The IAO will ensure the Server Farm infrastructure is secured by ACLs on VLAN interfaces that restrict data originating from one server farm segment destined to another server farm segment.</t>
        </r>
      </text>
    </comment>
    <comment ref="AH134" authorId="0" shapeId="0" xr:uid="{00000000-0006-0000-0700-000030000000}">
      <text>
        <r>
          <rPr>
            <sz val="11"/>
            <rFont val="Calibri"/>
          </rPr>
          <t>Printers must be assigned to a VLAN that is not shared by unlike devices.</t>
        </r>
      </text>
    </comment>
    <comment ref="AI134" authorId="0" shapeId="0" xr:uid="{00000000-0006-0000-0700-000031000000}">
      <text>
        <r>
          <rPr>
            <sz val="11"/>
            <rFont val="Calibri"/>
          </rPr>
          <t>The SA will ensure a packet filter is implemented to filter the enclave traffic to and from printer VLANs to allow only print traffic.</t>
        </r>
      </text>
    </comment>
    <comment ref="AJ134" authorId="0" shapeId="0" xr:uid="{00000000-0006-0000-0700-000032000000}">
      <text>
        <r>
          <rPr>
            <sz val="11"/>
            <rFont val="Calibri"/>
          </rPr>
          <t>The router must have control plane protection enabled.</t>
        </r>
      </text>
    </comment>
    <comment ref="AK134" authorId="0" shapeId="0" xr:uid="{00000000-0006-0000-0700-000033000000}">
      <text>
        <r>
          <rPr>
            <sz val="11"/>
            <rFont val="Calibri"/>
          </rPr>
          <t>The administrator must ensure that multicast routers are configured to establish
boundaries for Admin-local or Site-local scope multicast traffic.</t>
        </r>
      </text>
    </comment>
    <comment ref="AL134" authorId="0" shapeId="0" xr:uid="{00000000-0006-0000-0700-000034000000}">
      <text>
        <r>
          <rPr>
            <sz val="11"/>
            <rFont val="Calibri"/>
          </rPr>
          <t>The administrator must ensure that a PIM neighbor filter is bound to all interfaces that have PIM enabled.</t>
        </r>
      </text>
    </comment>
    <comment ref="AM134" authorId="0" shapeId="0" xr:uid="{00000000-0006-0000-0700-000035000000}">
      <text>
        <r>
          <rPr>
            <sz val="11"/>
            <rFont val="Calibri"/>
          </rPr>
          <t>The administrator must ensure the 6-to-4 router is configured to drop any IPv4 packets with protocol 41 received from the internal network.</t>
        </r>
      </text>
    </comment>
    <comment ref="AN134" authorId="0" shapeId="0" xr:uid="{00000000-0006-0000-0700-000036000000}">
      <text>
        <r>
          <rPr>
            <sz val="11"/>
            <rFont val="Calibri"/>
          </rPr>
          <t>The administrator must ensure the 6-to-4 router is configured to drop any outbound IPv6 packets from the internal network with a source address that is not within the 6to4 prefix 2002:V4ADDR::/48 where V4ADDR is the designated IPv4 6to4 address for the enclave.</t>
        </r>
      </text>
    </comment>
    <comment ref="H142" authorId="0" shapeId="0" xr:uid="{00000000-0006-0000-0700-00003F000000}">
      <text>
        <r>
          <rPr>
            <sz val="11"/>
            <rFont val="Calibri"/>
          </rPr>
          <t>The running configuration must be synchronized with the startup configuration after changes have been made and implemented.</t>
        </r>
      </text>
    </comment>
    <comment ref="I142" authorId="0" shapeId="0" xr:uid="{00000000-0006-0000-0700-000040000000}">
      <text>
        <r>
          <rPr>
            <sz val="11"/>
            <rFont val="Calibri"/>
          </rPr>
          <t>Network devices must have TCP and UDP small servers disabled.</t>
        </r>
      </text>
    </comment>
    <comment ref="J142" authorId="0" shapeId="0" xr:uid="{00000000-0006-0000-0700-000041000000}">
      <text>
        <r>
          <rPr>
            <sz val="11"/>
            <rFont val="Calibri"/>
          </rPr>
          <t>The network element must have the Finger service disabled.</t>
        </r>
      </text>
    </comment>
    <comment ref="K142" authorId="0" shapeId="0" xr:uid="{00000000-0006-0000-0700-000042000000}">
      <text>
        <r>
          <rPr>
            <sz val="11"/>
            <rFont val="Calibri"/>
          </rPr>
          <t>The Configuration auto-loading feature must be disabled when connected to an operational network.</t>
        </r>
      </text>
    </comment>
    <comment ref="L142" authorId="0" shapeId="0" xr:uid="{00000000-0006-0000-0700-000043000000}">
      <text>
        <r>
          <rPr>
            <sz val="11"/>
            <rFont val="Calibri"/>
          </rPr>
          <t>The router must have IP source routing disabled.</t>
        </r>
      </text>
    </comment>
    <comment ref="M142" authorId="0" shapeId="0" xr:uid="{00000000-0006-0000-0700-000044000000}">
      <text>
        <r>
          <rPr>
            <sz val="11"/>
            <rFont val="Calibri"/>
          </rPr>
          <t>IP directed broadcast must be disabled on all layer 3 interfaces.</t>
        </r>
      </text>
    </comment>
    <comment ref="N142" authorId="0" shapeId="0" xr:uid="{00000000-0006-0000-0700-000045000000}">
      <text>
        <r>
          <rPr>
            <sz val="11"/>
            <rFont val="Calibri"/>
          </rPr>
          <t>The network element must have HTTP service for administrative access disabled.</t>
        </r>
      </text>
    </comment>
    <comment ref="O142" authorId="0" shapeId="0" xr:uid="{00000000-0006-0000-0700-000046000000}">
      <text>
        <r>
          <rPr>
            <sz val="11"/>
            <rFont val="Calibri"/>
          </rPr>
          <t>BOOTP services must be disabled.</t>
        </r>
      </text>
    </comment>
    <comment ref="P142" authorId="0" shapeId="0" xr:uid="{00000000-0006-0000-0700-000047000000}">
      <text>
        <r>
          <rPr>
            <sz val="11"/>
            <rFont val="Calibri"/>
          </rPr>
          <t>Network devices must have the PAD service disabled.</t>
        </r>
      </text>
    </comment>
    <comment ref="Q142" authorId="0" shapeId="0" xr:uid="{00000000-0006-0000-0700-000048000000}">
      <text>
        <r>
          <rPr>
            <sz val="11"/>
            <rFont val="Calibri"/>
          </rPr>
          <t>Network devices must have identification support disabled.</t>
        </r>
      </text>
    </comment>
    <comment ref="R142" authorId="0" shapeId="0" xr:uid="{00000000-0006-0000-0700-000049000000}">
      <text>
        <r>
          <rPr>
            <sz val="11"/>
            <rFont val="Calibri"/>
          </rPr>
          <t>Gratuitous ARP must be disabled.</t>
        </r>
      </text>
    </comment>
    <comment ref="S142" authorId="0" shapeId="0" xr:uid="{00000000-0006-0000-0700-00004A000000}">
      <text>
        <r>
          <rPr>
            <sz val="11"/>
            <rFont val="Calibri"/>
          </rPr>
          <t>Port trunking must be disabled on all access ports (do not configure trunk on, desirable, non-negotiate, or auto--only off).</t>
        </r>
      </text>
    </comment>
    <comment ref="T142" authorId="0" shapeId="0" xr:uid="{00000000-0006-0000-0700-00004B000000}">
      <text>
        <r>
          <rPr>
            <sz val="11"/>
            <rFont val="Calibri"/>
          </rPr>
          <t>The network element’s auxiliary port must be disabled unless it is connected to a secured modem providing encryption and authentication.</t>
        </r>
      </text>
    </comment>
    <comment ref="U142" authorId="0" shapeId="0" xr:uid="{00000000-0006-0000-0700-00004C000000}">
      <text>
        <r>
          <rPr>
            <sz val="11"/>
            <rFont val="Calibri"/>
          </rPr>
          <t>FTP servers on the device must be disabled.</t>
        </r>
      </text>
    </comment>
    <comment ref="V142" authorId="0" shapeId="0" xr:uid="{00000000-0006-0000-0700-00004D000000}">
      <text>
        <r>
          <rPr>
            <sz val="11"/>
            <rFont val="Calibri"/>
          </rPr>
          <t>The administrator must ensure BSD r command services are disabled.</t>
        </r>
      </text>
    </comment>
    <comment ref="W142" authorId="0" shapeId="0" xr:uid="{00000000-0006-0000-0700-00004E000000}">
      <text>
        <r>
          <rPr>
            <sz val="11"/>
            <rFont val="Calibri"/>
          </rPr>
          <t>The router administrator will ensure ICMPv6 unreachable notifications, and redirects are disabled on all external interfaces of the premise router.</t>
        </r>
      </text>
    </comment>
    <comment ref="X142" authorId="0" shapeId="0" xr:uid="{00000000-0006-0000-0700-00004F000000}">
      <text>
        <r>
          <rPr>
            <sz val="11"/>
            <rFont val="Calibri"/>
          </rPr>
          <t>The administrator must ensure that Protocol Independent Multicast (PIM) is disabled on all interfaces that are not required to support multicast routing.</t>
        </r>
      </text>
    </comment>
    <comment ref="H144" authorId="0" shapeId="0" xr:uid="{00000000-0006-0000-0700-000050000000}">
      <text>
        <r>
          <rPr>
            <sz val="11"/>
            <rFont val="Calibri"/>
          </rPr>
          <t>A service or feature that calls home to the vendor must be disabled.</t>
        </r>
      </text>
    </comment>
    <comment ref="H145" authorId="0" shapeId="0" xr:uid="{00000000-0006-0000-0700-000051000000}">
      <text>
        <r>
          <rPr>
            <sz val="11"/>
            <rFont val="Calibri"/>
          </rPr>
          <t>The network device must log all access control lists (ACL) deny statements.</t>
        </r>
      </text>
    </comment>
    <comment ref="I145" authorId="0" shapeId="0" xr:uid="{00000000-0006-0000-0700-000052000000}">
      <text>
        <r>
          <rPr>
            <sz val="11"/>
            <rFont val="Calibri"/>
          </rPr>
          <t>The network element must log all attempts to establish a management connection for administrative access.</t>
        </r>
      </text>
    </comment>
    <comment ref="J145" authorId="0" shapeId="0" xr:uid="{00000000-0006-0000-0700-000053000000}">
      <text>
        <r>
          <rPr>
            <sz val="11"/>
            <rFont val="Calibri"/>
          </rPr>
          <t>The network element must log all messages except debugging and send all log data to a syslog server.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Group accounts must not be configured for use on the network device.</t>
        </r>
      </text>
    </comment>
    <comment ref="G54" authorId="0" shapeId="0" xr:uid="{00000000-0006-0000-0800-000002000000}">
      <text>
        <r>
          <rPr>
            <sz val="11"/>
            <rFont val="Calibri"/>
          </rPr>
          <t>Authorized accounts must be assigned the least privilege level necessary to perform assigned duties.</t>
        </r>
      </text>
    </comment>
    <comment ref="G63" authorId="0" shapeId="0" xr:uid="{00000000-0006-0000-0800-000003000000}">
      <text>
        <r>
          <rPr>
            <sz val="11"/>
            <rFont val="Calibri"/>
          </rPr>
          <t>Network devices must be password protected.</t>
        </r>
      </text>
    </comment>
    <comment ref="H63" authorId="0" shapeId="0" xr:uid="{00000000-0006-0000-0800-000006000000}">
      <text>
        <r>
          <rPr>
            <sz val="11"/>
            <rFont val="Calibri"/>
          </rPr>
          <t>Network devices must not have any default manufacturer passwords.</t>
        </r>
      </text>
    </comment>
    <comment ref="I63" authorId="0" shapeId="0" xr:uid="{00000000-0006-0000-0800-000004000000}">
      <text>
        <r>
          <rPr>
            <sz val="11"/>
            <rFont val="Calibri"/>
          </rPr>
          <t>The network devices must require authentication prior to establishing a management connection for administrative access.</t>
        </r>
      </text>
    </comment>
    <comment ref="J63" authorId="0" shapeId="0" xr:uid="{00000000-0006-0000-0800-000005000000}">
      <text>
        <r>
          <rPr>
            <sz val="11"/>
            <rFont val="Calibri"/>
          </rPr>
          <t>The network device must require authentication for console access.</t>
        </r>
      </text>
    </comment>
    <comment ref="G64" authorId="0" shapeId="0" xr:uid="{00000000-0006-0000-0800-000007000000}">
      <text>
        <r>
          <rPr>
            <sz val="11"/>
            <rFont val="Calibri"/>
          </rPr>
          <t>The switch must be configured to use 802.1x authentication on host facing access switch ports.</t>
        </r>
      </text>
    </comment>
    <comment ref="G100" authorId="0" shapeId="0" xr:uid="{00000000-0006-0000-0800-000008000000}">
      <text>
        <r>
          <rPr>
            <sz val="11"/>
            <rFont val="Calibri"/>
          </rPr>
          <t>The network element must be running a current and supported operating system with all IAVMs addressed.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3" authorId="0" shapeId="0" xr:uid="{00000000-0006-0000-0A00-000001000000}">
      <text>
        <r>
          <rPr>
            <sz val="11"/>
            <rFont val="Calibri"/>
          </rPr>
          <t>Network devices must not have any default manufacturer passwords.</t>
        </r>
      </text>
    </comment>
    <comment ref="M33" authorId="0" shapeId="0" xr:uid="{00000000-0006-0000-0A00-000002000000}">
      <text>
        <r>
          <rPr>
            <sz val="11"/>
            <rFont val="Calibri"/>
          </rPr>
          <t>The network device must not use the default or well-known SNMP community strings public and private.</t>
        </r>
      </text>
    </comment>
    <comment ref="L84" authorId="0" shapeId="0" xr:uid="{00000000-0006-0000-0A00-000003000000}">
      <text>
        <r>
          <rPr>
            <sz val="11"/>
            <rFont val="Calibri"/>
          </rPr>
          <t>The IAO will ensure IPSec VPNs are established as tunnel type VPNs when transporting management traffic across an ip backbone network.</t>
        </r>
      </text>
    </comment>
    <comment ref="M84" authorId="0" shapeId="0" xr:uid="{00000000-0006-0000-0A00-000005000000}">
      <text>
        <r>
          <rPr>
            <sz val="11"/>
            <rFont val="Calibri"/>
          </rPr>
          <t>Management connections to a network device must be established using secure protocols with FIPS 140-2 validated cryptographic modules.</t>
        </r>
      </text>
    </comment>
    <comment ref="N84" authorId="0" shapeId="0" xr:uid="{00000000-0006-0000-0A00-000004000000}">
      <text>
        <r>
          <rPr>
            <sz val="11"/>
            <rFont val="Calibri"/>
          </rPr>
          <t>The network element must not use SSH Version 1 for administrative access.</t>
        </r>
      </text>
    </comment>
    <comment ref="L119" authorId="0" shapeId="0" xr:uid="{00000000-0006-0000-0A00-000006000000}">
      <text>
        <r>
          <rPr>
            <sz val="11"/>
            <rFont val="Calibri"/>
          </rPr>
          <t>The network element must be running a current and supported operating system with all IAVMs addressed.</t>
        </r>
      </text>
    </comment>
    <comment ref="L136" authorId="0" shapeId="0" xr:uid="{00000000-0006-0000-0A00-000007000000}">
      <text>
        <r>
          <rPr>
            <sz val="11"/>
            <rFont val="Calibri"/>
          </rPr>
          <t>Authorized accounts must be assigned the least privilege level necessary to perform assigned duties.</t>
        </r>
      </text>
    </comment>
    <comment ref="L152" authorId="0" shapeId="0" xr:uid="{00000000-0006-0000-0A00-000008000000}">
      <text>
        <r>
          <rPr>
            <sz val="11"/>
            <rFont val="Calibri"/>
          </rPr>
          <t>Network devices must be password protected.</t>
        </r>
      </text>
    </comment>
    <comment ref="M152" authorId="0" shapeId="0" xr:uid="{00000000-0006-0000-0A00-00000A000000}">
      <text>
        <r>
          <rPr>
            <sz val="11"/>
            <rFont val="Calibri"/>
          </rPr>
          <t>Group accounts must not be configured for use on the network device.</t>
        </r>
      </text>
    </comment>
    <comment ref="N152" authorId="0" shapeId="0" xr:uid="{00000000-0006-0000-0A00-00000B000000}">
      <text>
        <r>
          <rPr>
            <sz val="11"/>
            <rFont val="Calibri"/>
          </rPr>
          <t>The network devices must require authentication prior to establishing a management connection for administrative access.</t>
        </r>
      </text>
    </comment>
    <comment ref="O152" authorId="0" shapeId="0" xr:uid="{00000000-0006-0000-0A00-000009000000}">
      <text>
        <r>
          <rPr>
            <sz val="11"/>
            <rFont val="Calibri"/>
          </rPr>
          <t>The network device must require authentication for console access.</t>
        </r>
      </text>
    </comment>
    <comment ref="L155" authorId="0" shapeId="0" xr:uid="{00000000-0006-0000-0A00-00000C000000}">
      <text>
        <r>
          <rPr>
            <sz val="11"/>
            <rFont val="Calibri"/>
          </rPr>
          <t>Unauthorized accounts must not be configured for access to the network device.</t>
        </r>
      </text>
    </comment>
    <comment ref="L159" authorId="0" shapeId="0" xr:uid="{00000000-0006-0000-0A00-00000D000000}">
      <text>
        <r>
          <rPr>
            <sz val="11"/>
            <rFont val="Calibri"/>
          </rPr>
          <t>The network element must timeout management connections for administrative access after 10 minutes or less of inactivity.</t>
        </r>
      </text>
    </comment>
    <comment ref="M159" authorId="0" shapeId="0" xr:uid="{00000000-0006-0000-0A00-00000E000000}">
      <text>
        <r>
          <rPr>
            <sz val="11"/>
            <rFont val="Calibri"/>
          </rPr>
          <t>The network element must time out access to the console port after 10 minutes or less of inactivity.</t>
        </r>
      </text>
    </comment>
    <comment ref="L164" authorId="0" shapeId="0" xr:uid="{00000000-0006-0000-0A00-00000F000000}">
      <text>
        <r>
          <rPr>
            <sz val="11"/>
            <rFont val="Calibri"/>
          </rPr>
          <t>The network element must be configured for a maximum number of unsuccessful SSH login attempts set at 3 before resetting the interface.</t>
        </r>
      </text>
    </comment>
    <comment ref="L221" authorId="0" shapeId="0" xr:uid="{00000000-0006-0000-0A00-000010000000}">
      <text>
        <r>
          <rPr>
            <sz val="11"/>
            <rFont val="Calibri"/>
          </rPr>
          <t>The network device must log all access control lists (ACL) deny statements.</t>
        </r>
      </text>
    </comment>
    <comment ref="M221" authorId="0" shapeId="0" xr:uid="{00000000-0006-0000-0A00-000011000000}">
      <text>
        <r>
          <rPr>
            <sz val="11"/>
            <rFont val="Calibri"/>
          </rPr>
          <t>The network element must log all attempts to establish a management connection for administrative access.</t>
        </r>
      </text>
    </comment>
    <comment ref="L231" authorId="0" shapeId="0" xr:uid="{00000000-0006-0000-0A00-000012000000}">
      <text>
        <r>
          <rPr>
            <sz val="11"/>
            <rFont val="Calibri"/>
          </rPr>
          <t>The network element must log all messages except debugging and send all log data to a syslog server.</t>
        </r>
      </text>
    </comment>
    <comment ref="L244" authorId="0" shapeId="0" xr:uid="{00000000-0006-0000-0A00-000013000000}">
      <text>
        <r>
          <rPr>
            <sz val="11"/>
            <rFont val="Calibri"/>
          </rPr>
          <t>The network element must authenticate all NTP messages received from NTP servers and peers.</t>
        </r>
      </text>
    </comment>
    <comment ref="M244" authorId="0" shapeId="0" xr:uid="{00000000-0006-0000-0A00-000014000000}">
      <text>
        <r>
          <rPr>
            <sz val="11"/>
            <rFont val="Calibri"/>
          </rPr>
          <t>The network element must use two or more NTP servers to synchronize time.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55" authorId="0" shapeId="0" xr:uid="{00000000-0006-0000-0B00-000001000000}">
      <text>
        <r>
          <rPr>
            <sz val="11"/>
            <rFont val="Calibri"/>
          </rPr>
          <t>The network device must log all access control lists (ACL) deny statements.</t>
        </r>
      </text>
    </comment>
    <comment ref="I355" authorId="0" shapeId="0" xr:uid="{00000000-0006-0000-0B00-000003000000}">
      <text>
        <r>
          <rPr>
            <sz val="11"/>
            <rFont val="Calibri"/>
          </rPr>
          <t>The network element must log all attempts to establish a management connection for administrative access.</t>
        </r>
      </text>
    </comment>
    <comment ref="J355" authorId="0" shapeId="0" xr:uid="{00000000-0006-0000-0B00-000002000000}">
      <text>
        <r>
          <rPr>
            <sz val="11"/>
            <rFont val="Calibri"/>
          </rPr>
          <t>The network element must log all messages except debugging and send all log data to a syslog server.</t>
        </r>
      </text>
    </comment>
  </commentList>
</comments>
</file>

<file path=xl/sharedStrings.xml><?xml version="1.0" encoding="utf-8"?>
<sst xmlns="http://schemas.openxmlformats.org/spreadsheetml/2006/main" count="12483" uniqueCount="6286">
  <si>
    <t>Id</t>
  </si>
  <si>
    <t>Title</t>
  </si>
  <si>
    <t>Severity</t>
  </si>
  <si>
    <t>Component</t>
  </si>
  <si>
    <t>MoSCoW</t>
  </si>
  <si>
    <t>OpsImpact</t>
  </si>
  <si>
    <t>Phase</t>
  </si>
  <si>
    <t>ImplStatus</t>
  </si>
  <si>
    <t>Notes</t>
  </si>
  <si>
    <t>Remediation</t>
  </si>
  <si>
    <t>Description</t>
  </si>
  <si>
    <t>Audit</t>
  </si>
  <si>
    <t>Status</t>
  </si>
  <si>
    <t>LogID</t>
  </si>
  <si>
    <t>V-3000</t>
  </si>
  <si>
    <r>
      <rPr>
        <sz val="11"/>
        <rFont val="Calibri"/>
      </rPr>
      <t>The network device must log all access control lists (ACL) deny statements.</t>
    </r>
  </si>
  <si>
    <t>CAT III (Low)</t>
  </si>
  <si>
    <t>L3 Switch Secure Technical Implementation Guide - Cisco; L3 Switch; Router Security Technical Implementation Guide Cisco; Router Security Technical Implementation Guide Juniper; Router</t>
  </si>
  <si>
    <t>Unassigned</t>
  </si>
  <si>
    <t>Unassessed</t>
  </si>
  <si>
    <t>Pending</t>
  </si>
  <si>
    <t/>
  </si>
  <si>
    <r>
      <rPr>
        <sz val="11"/>
        <color rgb="FF000000"/>
        <rFont val="Calibri"/>
      </rPr>
      <t>Configure interface ACLs to log all deny statements.</t>
    </r>
  </si>
  <si>
    <r>
      <rPr>
        <sz val="11"/>
        <color rgb="FF000000"/>
        <rFont val="Calibri"/>
      </rPr>
      <t>Auditing and logging are key components of any security architecture.  It is essential for security personnel to know what is being done, attempted to be done, and by whom in order to compile an accurate risk assessment.  Auditing the actions on network devices provides a means to recreate an attack, or identify a configuration mistake on the device.</t>
    </r>
  </si>
  <si>
    <r>
      <rPr>
        <sz val="11"/>
        <color rgb="FF000000"/>
        <rFont val="Calibri"/>
      </rPr>
      <t>Review the network device interface ACLs to verify all deny statements are logged.</t>
    </r>
    <r>
      <rPr>
        <sz val="11"/>
        <color rgb="FF000000"/>
        <rFont val="Calibri"/>
      </rPr>
      <t xml:space="preserve">
</t>
    </r>
    <r>
      <rPr>
        <sz val="11"/>
        <color rgb="FF000000"/>
        <rFont val="Calibri"/>
      </rPr>
      <t>Cisco IOS example:</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external interface peering with ISP or non-DoD network</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access-group 100 in</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100 deny icmp any any fragments log</t>
    </r>
    <r>
      <rPr>
        <sz val="11"/>
        <color rgb="FF000000"/>
        <rFont val="Calibri"/>
      </rPr>
      <t xml:space="preserve">
</t>
    </r>
    <r>
      <rPr>
        <sz val="11"/>
        <color rgb="FF000000"/>
        <rFont val="Calibri"/>
      </rPr>
      <t>access-list 100 deny ip 169.254.0.0 0.0.255.255 any log</t>
    </r>
    <r>
      <rPr>
        <sz val="11"/>
        <color rgb="FF000000"/>
        <rFont val="Calibri"/>
      </rPr>
      <t xml:space="preserve">
</t>
    </r>
    <r>
      <rPr>
        <sz val="11"/>
        <color rgb="FF000000"/>
        <rFont val="Calibri"/>
      </rPr>
      <t>access-list 100 deny ip 10.0.0.0 0.255.255.255 any log</t>
    </r>
    <r>
      <rPr>
        <sz val="11"/>
        <color rgb="FF000000"/>
        <rFont val="Calibri"/>
      </rPr>
      <t xml:space="preserve">
</t>
    </r>
    <r>
      <rPr>
        <sz val="11"/>
        <color rgb="FF000000"/>
        <rFont val="Calibri"/>
      </rPr>
      <t>access-list 100 deny ip 172.16.0.0 0.15.255.255 any log</t>
    </r>
    <r>
      <rPr>
        <sz val="11"/>
        <color rgb="FF000000"/>
        <rFont val="Calibri"/>
      </rPr>
      <t xml:space="preserve">
</t>
    </r>
    <r>
      <rPr>
        <sz val="11"/>
        <color rgb="FF000000"/>
        <rFont val="Calibri"/>
      </rPr>
      <t>access-list 100 deny ip 192.168.0.0 0.0.255.255 any log</t>
    </r>
    <r>
      <rPr>
        <sz val="11"/>
        <color rgb="FF000000"/>
        <rFont val="Calibri"/>
      </rPr>
      <t xml:space="preserve">
</t>
    </r>
    <r>
      <rPr>
        <sz val="11"/>
        <color rgb="FF000000"/>
        <rFont val="Calibri"/>
      </rPr>
      <t>access-list 100 permit icmp any host 199.36.92.1 echo-reply</t>
    </r>
    <r>
      <rPr>
        <sz val="11"/>
        <color rgb="FF000000"/>
        <rFont val="Calibri"/>
      </rPr>
      <t xml:space="preserve">
</t>
    </r>
    <r>
      <rPr>
        <sz val="11"/>
        <color rgb="FF000000"/>
        <rFont val="Calibri"/>
      </rPr>
      <t>access-list 100 permit icmp any host 199.36.90.10 echo-reply</t>
    </r>
    <r>
      <rPr>
        <sz val="11"/>
        <color rgb="FF000000"/>
        <rFont val="Calibri"/>
      </rPr>
      <t xml:space="preserve">
</t>
    </r>
    <r>
      <rPr>
        <sz val="11"/>
        <color rgb="FF000000"/>
        <rFont val="Calibri"/>
      </rPr>
      <t>access-list 100 deny icmp any any log</t>
    </r>
    <r>
      <rPr>
        <sz val="11"/>
        <color rgb="FF000000"/>
        <rFont val="Calibri"/>
      </rPr>
      <t xml:space="preserve">
</t>
    </r>
    <r>
      <rPr>
        <sz val="11"/>
        <color rgb="FF000000"/>
        <rFont val="Calibri"/>
      </rPr>
      <t>access-list 100 deny ip any any log</t>
    </r>
  </si>
  <si>
    <t>V-3008</t>
  </si>
  <si>
    <r>
      <rPr>
        <sz val="11"/>
        <rFont val="Calibri"/>
      </rPr>
      <t>The IAO will ensure IPSec VPNs are established as tunnel type VPNs when transporting management traffic across an ip backbone network.</t>
    </r>
  </si>
  <si>
    <t>CAT II (Medium)</t>
  </si>
  <si>
    <r>
      <rPr>
        <sz val="11"/>
        <color rgb="FF000000"/>
        <rFont val="Calibri"/>
      </rPr>
      <t>Establish the VPN as a tunneled VPN.</t>
    </r>
    <r>
      <rPr>
        <sz val="11"/>
        <color rgb="FF000000"/>
        <rFont val="Calibri"/>
      </rPr>
      <t xml:space="preserve">
</t>
    </r>
    <r>
      <rPr>
        <sz val="11"/>
        <color rgb="FF000000"/>
        <rFont val="Calibri"/>
      </rPr>
      <t>Terminate the tunneled VPN outside of the firewall.</t>
    </r>
    <r>
      <rPr>
        <sz val="11"/>
        <color rgb="FF000000"/>
        <rFont val="Calibri"/>
      </rPr>
      <t xml:space="preserve">
</t>
    </r>
    <r>
      <rPr>
        <sz val="11"/>
        <color rgb="FF000000"/>
        <rFont val="Calibri"/>
      </rPr>
      <t>Ensure all host-to-host VPN are established between trusted known hosts.</t>
    </r>
  </si>
  <si>
    <r>
      <rPr>
        <sz val="11"/>
        <color rgb="FF000000"/>
        <rFont val="Calibri"/>
      </rPr>
      <t>Using dedicated paths, the OOBM backbone connects the OOBM gateway routers located at the premise of the managed networks and at the NOC.  Dedicated links can be deployed using provisioned circuits (ATM, Frame Relay, SONET, T-carrier, and others or VPN technologies such as subscribing to MPLS Layer 2 and Layer 3 VPN services) or implementing a secured path with gateway-to-gateway IPsec tunnel.  The tunnel mode ensures that the management traffic will be logically separated from any other traffic traversing the same path.</t>
    </r>
  </si>
  <si>
    <r>
      <rPr>
        <sz val="11"/>
        <color rgb="FF000000"/>
        <rFont val="Calibri"/>
      </rPr>
      <t>Have the SA display the configuration settings that enable this feature.</t>
    </r>
    <r>
      <rPr>
        <sz val="11"/>
        <color rgb="FF000000"/>
        <rFont val="Calibri"/>
      </rPr>
      <t xml:space="preserve">
</t>
    </r>
    <r>
      <rPr>
        <sz val="11"/>
        <color rgb="FF000000"/>
        <rFont val="Calibri"/>
      </rPr>
      <t>Review the network topology diagram, and review VPN concentrators. Determine if tunnel mode is being used by reviewing the configuration. Examples:</t>
    </r>
    <r>
      <rPr>
        <sz val="11"/>
        <color rgb="FF000000"/>
        <rFont val="Calibri"/>
      </rPr>
      <t xml:space="preserve">
</t>
    </r>
    <r>
      <rPr>
        <sz val="11"/>
        <color rgb="FF000000"/>
        <rFont val="Calibri"/>
      </rPr>
      <t xml:space="preserve">In CISCO </t>
    </r>
    <r>
      <rPr>
        <sz val="11"/>
        <color rgb="FF000000"/>
        <rFont val="Calibri"/>
      </rPr>
      <t xml:space="preserve">
</t>
    </r>
    <r>
      <rPr>
        <sz val="11"/>
        <color rgb="FF000000"/>
        <rFont val="Calibri"/>
      </rPr>
      <t xml:space="preserve">Router(config)# crypto ipsec transform-set transform-set-name transform1 </t>
    </r>
    <r>
      <rPr>
        <sz val="11"/>
        <color rgb="FF000000"/>
        <rFont val="Calibri"/>
      </rPr>
      <t xml:space="preserve">
</t>
    </r>
    <r>
      <rPr>
        <sz val="11"/>
        <color rgb="FF000000"/>
        <rFont val="Calibri"/>
      </rPr>
      <t xml:space="preserve">Router(cfg-crypto-tran)# mode tunnel </t>
    </r>
    <r>
      <rPr>
        <sz val="11"/>
        <color rgb="FF000000"/>
        <rFont val="Calibri"/>
      </rPr>
      <t xml:space="preserve">
</t>
    </r>
    <r>
      <rPr>
        <sz val="11"/>
        <color rgb="FF000000"/>
        <rFont val="Calibri"/>
      </rPr>
      <t xml:space="preserve">OR in Junos </t>
    </r>
    <r>
      <rPr>
        <sz val="11"/>
        <color rgb="FF000000"/>
        <rFont val="Calibri"/>
      </rPr>
      <t xml:space="preserve">
</t>
    </r>
    <r>
      <rPr>
        <sz val="11"/>
        <color rgb="FF000000"/>
        <rFont val="Calibri"/>
      </rPr>
      <t>edit security ipsec security-association sa-name] mode tunnel</t>
    </r>
  </si>
  <si>
    <t>V-3012</t>
  </si>
  <si>
    <r>
      <rPr>
        <sz val="11"/>
        <rFont val="Calibri"/>
      </rPr>
      <t>Network devices must be password protected.</t>
    </r>
  </si>
  <si>
    <t>CAT I (High)</t>
  </si>
  <si>
    <r>
      <rPr>
        <sz val="11"/>
        <color rgb="FF000000"/>
        <rFont val="Calibri"/>
      </rPr>
      <t>Configure the network devices so it will require a password to gain administrative access to the device.</t>
    </r>
  </si>
  <si>
    <r>
      <rPr>
        <sz val="11"/>
        <color rgb="FF000000"/>
        <rFont val="Calibri"/>
      </rPr>
      <t>Network access control mechanisms interoperate to prevent unauthorized access and to enforce the organization's security policy. Access to the network must be categorized as administrator, user, or guest so the appropriate authorization can be assigned to the user requesting access to the network or a network device.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 Lack of authentication enables anyone to gain access to the network or possibly a network device providing opportunity for intruders to compromise resources within the network infrastructure.</t>
    </r>
  </si>
  <si>
    <r>
      <rPr>
        <sz val="11"/>
        <color rgb="FF000000"/>
        <rFont val="Calibri"/>
      </rPr>
      <t>Review the network devices configuration to determine if administrative access to the device requires some form of authentication--at a minimum a password is required.</t>
    </r>
    <r>
      <rPr>
        <sz val="11"/>
        <color rgb="FF000000"/>
        <rFont val="Calibri"/>
      </rPr>
      <t xml:space="preserve">
</t>
    </r>
    <r>
      <rPr>
        <sz val="11"/>
        <color rgb="FF000000"/>
        <rFont val="Calibri"/>
      </rPr>
      <t>If passwords aren't used to administrative access to the device, this is a finding.</t>
    </r>
  </si>
  <si>
    <t>V-3013</t>
  </si>
  <si>
    <r>
      <rPr>
        <sz val="11"/>
        <rFont val="Calibri"/>
      </rPr>
      <t>Network devices must display the DoD-approved logon banner warning.</t>
    </r>
  </si>
  <si>
    <r>
      <rPr>
        <sz val="11"/>
        <color rgb="FF000000"/>
        <rFont val="Calibri"/>
      </rPr>
      <t>Configure all management interfaces to the network device to display the DoD-mandated warning banner verbiage at logon regardless of the means of connection or communication. The required banner verbiage that must be displayed verbatim is as follows:</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</si>
  <si>
    <r>
      <rPr>
        <sz val="11"/>
        <color rgb="FF000000"/>
        <rFont val="Calibri"/>
      </rPr>
      <t>All network devices must present a DoD-approved warning banner prior to a system administrator logging on. The banner should warn any unauthorized user not to proceed. It also should provide clear and unequivocal notice to both authorized and unauthorized personnel that access to the device is subject to monitoring to detect unauthorized usage. Failure to display the required logon warning banner prior to logon attempts will limit DoD's ability to prosecute unauthorized access and also presents the potential to give rise to criminal and civil liability for systems administrators and information systems managers. In addition, DISA's ability to monitor the device's usage is limited unless a proper warning banner is displayed.</t>
    </r>
    <r>
      <rPr>
        <sz val="11"/>
        <color rgb="FF000000"/>
        <rFont val="Calibri"/>
      </rPr>
      <t xml:space="preserve">
</t>
    </r>
    <r>
      <rPr>
        <sz val="11"/>
        <color rgb="FF000000"/>
        <rFont val="Calibri"/>
      </rPr>
      <t>DoD CIO has issued new, mandatory policy standardizing the wording of "notice and consent" banners and matching user agreements for all Secret and below DoD information systems, including stand-alone systems by releasing DoD CIO Memo, "Policy on Use of Department of Defense (DoD) Information Systems Standard Consent Banner and User Agreement", dated 9 May 2008. The banner is mandatory and deviations are not permitted except as authorized in writing by the Deputy Assistant Secretary of Defense for Information and Identity Assurance. Implementation of this banner verbiage is further directed to all DoD components for all DoD assets via USCYBERCOM CTO 08-008A.</t>
    </r>
  </si>
  <si>
    <r>
      <rPr>
        <sz val="11"/>
        <color rgb="FF000000"/>
        <rFont val="Calibri"/>
      </rPr>
      <t>Review the device configuration or request that the administrator logon to the device and observe the terminal. Verify either Option A or Option B (for systems with character limitations) of the Standard Mandatory DoD Notice and Consent Banner is displayed at logon. The required banner verbiage follows and must be displayed verbatim:</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r>
      <rPr>
        <sz val="11"/>
        <color rgb="FF000000"/>
        <rFont val="Calibri"/>
      </rPr>
      <t xml:space="preserve">
</t>
    </r>
    <r>
      <rPr>
        <sz val="11"/>
        <color rgb="FF000000"/>
        <rFont val="Calibri"/>
      </rPr>
      <t>If the device configuration does not have a logon banner as stated above, this is a finding.</t>
    </r>
  </si>
  <si>
    <t>V-3014</t>
  </si>
  <si>
    <r>
      <rPr>
        <sz val="11"/>
        <rFont val="Calibri"/>
      </rPr>
      <t>The network element must timeout management connections for administrative access after 10 minutes or less of inactivity.</t>
    </r>
  </si>
  <si>
    <r>
      <rPr>
        <sz val="11"/>
        <color rgb="FF000000"/>
        <rFont val="Calibri"/>
      </rPr>
      <t>Configure the network devices to ensure the timeout for unattended administrative access connections is no longer than 10 minutes.</t>
    </r>
  </si>
  <si>
    <r>
      <rPr>
        <sz val="11"/>
        <color rgb="FF000000"/>
        <rFont val="Calibri"/>
      </rPr>
      <t>Setting the timeout of the session to 10 minutes or less increases the level of protection afforded critical network components.</t>
    </r>
  </si>
  <si>
    <r>
      <rPr>
        <sz val="11"/>
        <color rgb="FF000000"/>
        <rFont val="Calibri"/>
      </rPr>
      <t>Review the management connection for administrative access and verify the network element is configured to time-out the connection after 10 minutes or less of inactivity. The default for the VTY line is 10 minutes and may not appear in the display of the configuration. The VTY line should contain the following command:</t>
    </r>
    <r>
      <rPr>
        <sz val="11"/>
        <color rgb="FF000000"/>
        <rFont val="Calibri"/>
      </rPr>
      <t xml:space="preserve">
</t>
    </r>
    <r>
      <rPr>
        <sz val="11"/>
        <color rgb="FF000000"/>
        <rFont val="Calibri"/>
      </rPr>
      <t>exec-timeout 10</t>
    </r>
  </si>
  <si>
    <t>V-3020</t>
  </si>
  <si>
    <r>
      <rPr>
        <sz val="11"/>
        <rFont val="Calibri"/>
      </rPr>
      <t>The network element must have DNS servers defined if it is configured as a client resolver.</t>
    </r>
  </si>
  <si>
    <r>
      <rPr>
        <sz val="11"/>
        <color rgb="FF000000"/>
        <rFont val="Calibri"/>
      </rPr>
      <t>Configure the device to include DNS servers or disable domain lookup.</t>
    </r>
  </si>
  <si>
    <r>
      <rPr>
        <sz val="11"/>
        <color rgb="FF000000"/>
        <rFont val="Calibri"/>
      </rPr>
      <t>The susceptibility of IP addresses to spoofing translates to DNS host name and IP address mapping vulnerabilities.  For example, suppose a source host wishes to establish a connection with a destination host and queries a DNS server for the IP address of the destination host name.  If the response to this query is the IP address of a host operated by an attacker, the source host will establish a connection with the attackers host, rather than the intended target.  The user on the source host might then provide logon, authentication, and other sensitive data.</t>
    </r>
  </si>
  <si>
    <r>
      <rPr>
        <sz val="11"/>
        <color rgb="FF000000"/>
        <rFont val="Calibri"/>
      </rPr>
      <t xml:space="preserve">Review the device configuration to ensure that DNS servers have been defined if it has been configured as a client resolver (name lookup). The configuration should look similar to one of the following examples: </t>
    </r>
    <r>
      <rPr>
        <sz val="11"/>
        <color rgb="FF000000"/>
        <rFont val="Calibri"/>
      </rPr>
      <t xml:space="preserve">
</t>
    </r>
    <r>
      <rPr>
        <sz val="11"/>
        <color rgb="FF000000"/>
        <rFont val="Calibri"/>
      </rPr>
      <t>ip domain-lookup</t>
    </r>
    <r>
      <rPr>
        <sz val="11"/>
        <color rgb="FF000000"/>
        <rFont val="Calibri"/>
      </rPr>
      <t xml:space="preserve">
</t>
    </r>
    <r>
      <rPr>
        <sz val="11"/>
        <color rgb="FF000000"/>
        <rFont val="Calibri"/>
      </rPr>
      <t>ip name-server 192.168.1.253</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no ip domain-lookup		</t>
    </r>
    <r>
      <rPr>
        <sz val="11"/>
        <color rgb="FF000000"/>
        <rFont val="Calibri"/>
      </rPr>
      <t xml:space="preserve">
</t>
    </r>
    <r>
      <rPr>
        <sz val="11"/>
        <color rgb="FF000000"/>
        <rFont val="Calibri"/>
      </rPr>
      <t>The first configuration example has DNS lookup enabled and hence has defined its DNS server. The second example has DNS lookup disabled.</t>
    </r>
    <r>
      <rPr>
        <sz val="11"/>
        <color rgb="FF000000"/>
        <rFont val="Calibri"/>
      </rPr>
      <t xml:space="preserve">
</t>
    </r>
    <r>
      <rPr>
        <sz val="11"/>
        <color rgb="FF000000"/>
        <rFont val="Calibri"/>
      </rPr>
      <t>Note: ip domain-lookup is enabled by default. Hence it may not be shown—depending on the IOS release. If it is enabled, it will be shown near the beginning of the configuration.</t>
    </r>
  </si>
  <si>
    <t>V-3021</t>
  </si>
  <si>
    <r>
      <rPr>
        <sz val="11"/>
        <rFont val="Calibri"/>
      </rPr>
      <t>The network element must only allow SNMP access from addresses belonging to the management network.</t>
    </r>
  </si>
  <si>
    <r>
      <rPr>
        <sz val="11"/>
        <color rgb="FF000000"/>
        <rFont val="Calibri"/>
      </rPr>
      <t>Configure the network devices to only allow SNMP access from only addresses belonging to the management network.</t>
    </r>
  </si>
  <si>
    <r>
      <rPr>
        <sz val="11"/>
        <color rgb="FF000000"/>
        <rFont val="Calibri"/>
      </rPr>
      <t>Detailed information about the network is sent across the network via SNMP.  If this information is discovered by attackers it could be used to trace the network, show the networks topology, and possibly gain access to network devices.</t>
    </r>
  </si>
  <si>
    <r>
      <rPr>
        <sz val="11"/>
        <color rgb="FF000000"/>
        <rFont val="Calibri"/>
      </rPr>
      <t>Review device configuration and verify that it is configured to only allow SNMP access from only addresses belonging to the management network. The following examples for SNMP v1, 2, and 3 depict the use of an ACL to restrict SNMP access to the device.</t>
    </r>
    <r>
      <rPr>
        <sz val="11"/>
        <color rgb="FF000000"/>
        <rFont val="Calibri"/>
      </rPr>
      <t xml:space="preserve">
</t>
    </r>
    <r>
      <rPr>
        <sz val="11"/>
        <color rgb="FF000000"/>
        <rFont val="Calibri"/>
      </rPr>
      <t>SNMP v1/v2c Configuration Example</t>
    </r>
    <r>
      <rPr>
        <sz val="11"/>
        <color rgb="FF000000"/>
        <rFont val="Calibri"/>
      </rPr>
      <t xml:space="preserve">
</t>
    </r>
    <r>
      <rPr>
        <sz val="11"/>
        <color rgb="FF000000"/>
        <rFont val="Calibri"/>
      </rPr>
      <t>The example ACL NMS_LIST is used to define what network management stations can access the device for write and read only (poll).</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snmp-server community ourCommStr RO RW NMS_LIST</t>
    </r>
    <r>
      <rPr>
        <sz val="11"/>
        <color rgb="FF000000"/>
        <rFont val="Calibri"/>
      </rPr>
      <t xml:space="preserve">
</t>
    </r>
    <r>
      <rPr>
        <sz val="11"/>
        <color rgb="FF000000"/>
        <rFont val="Calibri"/>
      </rPr>
      <t>snmp-server community write_pw RW NMS_LIST</t>
    </r>
    <r>
      <rPr>
        <sz val="11"/>
        <color rgb="FF000000"/>
        <rFont val="Calibri"/>
      </rPr>
      <t xml:space="preserve">
</t>
    </r>
    <r>
      <rPr>
        <sz val="11"/>
        <color rgb="FF000000"/>
        <rFont val="Calibri"/>
      </rPr>
      <t>snmp-server enable traps snmp linkdown linkup</t>
    </r>
    <r>
      <rPr>
        <sz val="11"/>
        <color rgb="FF000000"/>
        <rFont val="Calibri"/>
      </rPr>
      <t xml:space="preserve">
</t>
    </r>
    <r>
      <rPr>
        <sz val="11"/>
        <color rgb="FF000000"/>
        <rFont val="Calibri"/>
      </rPr>
      <t xml:space="preserve">snmp-server host 10.1.1.1 trap_comm_string </t>
    </r>
    <r>
      <rPr>
        <sz val="11"/>
        <color rgb="FF000000"/>
        <rFont val="Calibri"/>
      </rPr>
      <t xml:space="preserve">
</t>
    </r>
    <r>
      <rPr>
        <sz val="11"/>
        <color rgb="FF000000"/>
        <rFont val="Calibri"/>
      </rPr>
      <t>Note: If you enter the snmp-server host command with no keywords, the default is version 1 and to send all enabled traps to the host.  No informs will be sent to this host.  If no traps or informs keyword is present, traps are sent.</t>
    </r>
    <r>
      <rPr>
        <sz val="11"/>
        <color rgb="FF000000"/>
        <rFont val="Calibri"/>
      </rPr>
      <t xml:space="preserve">
</t>
    </r>
    <r>
      <rPr>
        <sz val="11"/>
        <color rgb="FF000000"/>
        <rFont val="Calibri"/>
      </rPr>
      <t>SNMP v3 Configuration Example</t>
    </r>
    <r>
      <rPr>
        <sz val="11"/>
        <color rgb="FF000000"/>
        <rFont val="Calibri"/>
      </rPr>
      <t xml:space="preserve">
</t>
    </r>
    <r>
      <rPr>
        <sz val="11"/>
        <color rgb="FF000000"/>
        <rFont val="Calibri"/>
      </rPr>
      <t>The example ACL NMS_LIST  and ADMIN_LIST are used to define what network management stations and administrator (users) desktops can access the device.</t>
    </r>
    <r>
      <rPr>
        <sz val="11"/>
        <color rgb="FF000000"/>
        <rFont val="Calibri"/>
      </rPr>
      <t xml:space="preserve">
</t>
    </r>
    <r>
      <rPr>
        <sz val="11"/>
        <color rgb="FF000000"/>
        <rFont val="Calibri"/>
      </rPr>
      <t>ip access-list standard ADMIN_LIST</t>
    </r>
    <r>
      <rPr>
        <sz val="11"/>
        <color rgb="FF000000"/>
        <rFont val="Calibri"/>
      </rPr>
      <t xml:space="preserve">
</t>
    </r>
    <r>
      <rPr>
        <sz val="11"/>
        <color rgb="FF000000"/>
        <rFont val="Calibri"/>
      </rPr>
      <t xml:space="preserve"> permit 10.1.1.35</t>
    </r>
    <r>
      <rPr>
        <sz val="11"/>
        <color rgb="FF000000"/>
        <rFont val="Calibri"/>
      </rPr>
      <t xml:space="preserve">
</t>
    </r>
    <r>
      <rPr>
        <sz val="11"/>
        <color rgb="FF000000"/>
        <rFont val="Calibri"/>
      </rPr>
      <t xml:space="preserve"> permit 10.1.1.36</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10.1.1.23</t>
    </r>
    <r>
      <rPr>
        <sz val="11"/>
        <color rgb="FF000000"/>
        <rFont val="Calibri"/>
      </rPr>
      <t xml:space="preserve">
</t>
    </r>
    <r>
      <rPr>
        <sz val="11"/>
        <color rgb="FF000000"/>
        <rFont val="Calibri"/>
      </rPr>
      <t>!</t>
    </r>
    <r>
      <rPr>
        <sz val="11"/>
        <color rgb="FF000000"/>
        <rFont val="Calibri"/>
      </rPr>
      <t xml:space="preserve">
</t>
    </r>
    <r>
      <rPr>
        <sz val="11"/>
        <color rgb="FF000000"/>
        <rFont val="Calibri"/>
      </rPr>
      <t>snmp-server group NOC v3 priv read VIEW_ALL write VIEW_LIMIT access NMS_LIST</t>
    </r>
    <r>
      <rPr>
        <sz val="11"/>
        <color rgb="FF000000"/>
        <rFont val="Calibri"/>
      </rPr>
      <t xml:space="preserve">
</t>
    </r>
    <r>
      <rPr>
        <sz val="11"/>
        <color rgb="FF000000"/>
        <rFont val="Calibri"/>
      </rPr>
      <t>snmp-server group TRAP_GROUP v3 priv notify</t>
    </r>
    <r>
      <rPr>
        <sz val="11"/>
        <color rgb="FF000000"/>
        <rFont val="Calibri"/>
      </rPr>
      <t xml:space="preserve">
</t>
    </r>
    <r>
      <rPr>
        <sz val="11"/>
        <color rgb="FF000000"/>
        <rFont val="Calibri"/>
      </rPr>
      <t xml:space="preserve">*tv.FFFFFFFF.FFFFFFFF.FFFFFFFF.FFFFFFFF0F </t>
    </r>
    <r>
      <rPr>
        <sz val="11"/>
        <color rgb="FF000000"/>
        <rFont val="Calibri"/>
      </rPr>
      <t xml:space="preserve">
</t>
    </r>
    <r>
      <rPr>
        <sz val="11"/>
        <color rgb="FF000000"/>
        <rFont val="Calibri"/>
      </rPr>
      <t>snmp-server group ADMIN_GROUP v3 priv read VIEW_ALL write VIEW_ALL access ADMIN_LIST</t>
    </r>
    <r>
      <rPr>
        <sz val="11"/>
        <color rgb="FF000000"/>
        <rFont val="Calibri"/>
      </rPr>
      <t xml:space="preserve">
</t>
    </r>
    <r>
      <rPr>
        <sz val="11"/>
        <color rgb="FF000000"/>
        <rFont val="Calibri"/>
      </rPr>
      <t>snmp-server view VIEW_ALL internet included</t>
    </r>
    <r>
      <rPr>
        <sz val="11"/>
        <color rgb="FF000000"/>
        <rFont val="Calibri"/>
      </rPr>
      <t xml:space="preserve">
</t>
    </r>
    <r>
      <rPr>
        <sz val="11"/>
        <color rgb="FF000000"/>
        <rFont val="Calibri"/>
      </rPr>
      <t>snmp-server view VIEW_LIMIT internet included</t>
    </r>
    <r>
      <rPr>
        <sz val="11"/>
        <color rgb="FF000000"/>
        <rFont val="Calibri"/>
      </rPr>
      <t xml:space="preserve">
</t>
    </r>
    <r>
      <rPr>
        <sz val="11"/>
        <color rgb="FF000000"/>
        <rFont val="Calibri"/>
      </rPr>
      <t>snmp-server view VIEW_LIMIT internet.6.3.15 excluded</t>
    </r>
    <r>
      <rPr>
        <sz val="11"/>
        <color rgb="FF000000"/>
        <rFont val="Calibri"/>
      </rPr>
      <t xml:space="preserve">
</t>
    </r>
    <r>
      <rPr>
        <sz val="11"/>
        <color rgb="FF000000"/>
        <rFont val="Calibri"/>
      </rPr>
      <t>snmp-server view VIEW_LIMIT internet.6.3.16 excluded</t>
    </r>
    <r>
      <rPr>
        <sz val="11"/>
        <color rgb="FF000000"/>
        <rFont val="Calibri"/>
      </rPr>
      <t xml:space="preserve">
</t>
    </r>
    <r>
      <rPr>
        <sz val="11"/>
        <color rgb="FF000000"/>
        <rFont val="Calibri"/>
      </rPr>
      <t>snmp-server view VIEW_LIMIT internet.6.3.18 excluded</t>
    </r>
    <r>
      <rPr>
        <sz val="11"/>
        <color rgb="FF000000"/>
        <rFont val="Calibri"/>
      </rPr>
      <t xml:space="preserve">
</t>
    </r>
    <r>
      <rPr>
        <sz val="11"/>
        <color rgb="FF000000"/>
        <rFont val="Calibri"/>
      </rPr>
      <t>snmp-server enable traps snmp linkdown linkup</t>
    </r>
    <r>
      <rPr>
        <sz val="11"/>
        <color rgb="FF000000"/>
        <rFont val="Calibri"/>
      </rPr>
      <t xml:space="preserve">
</t>
    </r>
    <r>
      <rPr>
        <sz val="11"/>
        <color rgb="FF000000"/>
        <rFont val="Calibri"/>
      </rPr>
      <t xml:space="preserve">snmp-server host 10.1.1.24 version 3 priv TRAP_NMS1 </t>
    </r>
    <r>
      <rPr>
        <sz val="11"/>
        <color rgb="FF000000"/>
        <rFont val="Calibri"/>
      </rPr>
      <t xml:space="preserve">
</t>
    </r>
    <r>
      <rPr>
        <sz val="11"/>
        <color rgb="FF000000"/>
        <rFont val="Calibri"/>
      </rPr>
      <t>Note: For the configured group TRAP_GROUP, the notify view is auto-generated by the snmp-server host command which bind the user (TRAP_NMS1) and the group it belongs to (TRAP_GROUP) to the list of notifications (traps or informs) which are sent to the host. Hence, the configuration snmp-server group TRAP_GROUP v3 results in the following:</t>
    </r>
    <r>
      <rPr>
        <sz val="11"/>
        <color rgb="FF000000"/>
        <rFont val="Calibri"/>
      </rPr>
      <t xml:space="preserve">
</t>
    </r>
    <r>
      <rPr>
        <sz val="11"/>
        <color rgb="FF000000"/>
        <rFont val="Calibri"/>
      </rPr>
      <t>snmp-server group TRAP_GROUP v3 priv notify *tv.FFFFFFFF.FFFFFFFF.FFFFFFFF.FFFFFFFF0F</t>
    </r>
    <r>
      <rPr>
        <sz val="11"/>
        <color rgb="FF000000"/>
        <rFont val="Calibri"/>
      </rPr>
      <t xml:space="preserve">
</t>
    </r>
    <r>
      <rPr>
        <sz val="11"/>
        <color rgb="FF000000"/>
        <rFont val="Calibri"/>
      </rPr>
      <t>Note: Not required but for illustration purpose, the VIEW_LIMIT excludes MIB objects which could potentially reveal information about configured SNMP credentials. These objects are snmpUsmMIB, snmpVacmMIB, and snmpCommunityMIB which is configured as 1.3.6.1.6.3.15, 1.3.6.1.6.3.16, and 1.3.6.1.6.3.18 respectively</t>
    </r>
    <r>
      <rPr>
        <sz val="11"/>
        <color rgb="FF000000"/>
        <rFont val="Calibri"/>
      </rPr>
      <t xml:space="preserve">
</t>
    </r>
    <r>
      <rPr>
        <sz val="11"/>
        <color rgb="FF000000"/>
        <rFont val="Calibri"/>
      </rPr>
      <t>Note that SNMPv3 users are not shown in a running configuration. You can view them with the show snmp user command. So for example, if the following users were configured as such.</t>
    </r>
    <r>
      <rPr>
        <sz val="11"/>
        <color rgb="FF000000"/>
        <rFont val="Calibri"/>
      </rPr>
      <t xml:space="preserve">
</t>
    </r>
    <r>
      <rPr>
        <sz val="11"/>
        <color rgb="FF000000"/>
        <rFont val="Calibri"/>
      </rPr>
      <t>snmp-server user HP_OV NOC v3 auth sha HPOVpswd priv aes 256 HPOVsecretkey</t>
    </r>
    <r>
      <rPr>
        <sz val="11"/>
        <color rgb="FF000000"/>
        <rFont val="Calibri"/>
      </rPr>
      <t xml:space="preserve">
</t>
    </r>
    <r>
      <rPr>
        <sz val="11"/>
        <color rgb="FF000000"/>
        <rFont val="Calibri"/>
      </rPr>
      <t>snmp-server user Admin1 ADMIN_GROUP v3 auth sha Admin1PW priv aes 256 Admin1key</t>
    </r>
    <r>
      <rPr>
        <sz val="11"/>
        <color rgb="FF000000"/>
        <rFont val="Calibri"/>
      </rPr>
      <t xml:space="preserve">
</t>
    </r>
    <r>
      <rPr>
        <sz val="11"/>
        <color rgb="FF000000"/>
        <rFont val="Calibri"/>
      </rPr>
      <t>snmp-server user Admin2 ADMIN_GROUP v3 auth md5 Admin2pass priv 3des Admin2key</t>
    </r>
    <r>
      <rPr>
        <sz val="11"/>
        <color rgb="FF000000"/>
        <rFont val="Calibri"/>
      </rPr>
      <t xml:space="preserve">
</t>
    </r>
    <r>
      <rPr>
        <sz val="11"/>
        <color rgb="FF000000"/>
        <rFont val="Calibri"/>
      </rPr>
      <t>snmp-server user TRAP_NMS1 TRAP_GROUP  v3 auth sha trap_nms1_pw priv aes trap_nms1_key</t>
    </r>
    <r>
      <rPr>
        <sz val="11"/>
        <color rgb="FF000000"/>
        <rFont val="Calibri"/>
      </rPr>
      <t xml:space="preserve">
</t>
    </r>
    <r>
      <rPr>
        <sz val="11"/>
        <color rgb="FF000000"/>
        <rFont val="Calibri"/>
      </rPr>
      <t>The show snmp user command would depict the configured users as follows:</t>
    </r>
    <r>
      <rPr>
        <sz val="11"/>
        <color rgb="FF000000"/>
        <rFont val="Calibri"/>
      </rPr>
      <t xml:space="preserve">
</t>
    </r>
    <r>
      <rPr>
        <sz val="11"/>
        <color rgb="FF000000"/>
        <rFont val="Calibri"/>
      </rPr>
      <t>R1#show snmp user</t>
    </r>
    <r>
      <rPr>
        <sz val="11"/>
        <color rgb="FF000000"/>
        <rFont val="Calibri"/>
      </rPr>
      <t xml:space="preserve">
</t>
    </r>
    <r>
      <rPr>
        <sz val="11"/>
        <color rgb="FF000000"/>
        <rFont val="Calibri"/>
      </rPr>
      <t>User name: HP_OV</t>
    </r>
    <r>
      <rPr>
        <sz val="11"/>
        <color rgb="FF000000"/>
        <rFont val="Calibri"/>
      </rPr>
      <t xml:space="preserve">
</t>
    </r>
    <r>
      <rPr>
        <sz val="11"/>
        <color rgb="FF000000"/>
        <rFont val="Calibri"/>
      </rPr>
      <t>Engine ID: AB12CD34EF56</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NOC</t>
    </r>
    <r>
      <rPr>
        <sz val="11"/>
        <color rgb="FF000000"/>
        <rFont val="Calibri"/>
      </rPr>
      <t xml:space="preserve">
</t>
    </r>
    <r>
      <rPr>
        <sz val="11"/>
        <color rgb="FF000000"/>
        <rFont val="Calibri"/>
      </rPr>
      <t>User name: Admin1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Admin2</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MD5</t>
    </r>
    <r>
      <rPr>
        <sz val="11"/>
        <color rgb="FF000000"/>
        <rFont val="Calibri"/>
      </rPr>
      <t xml:space="preserve">
</t>
    </r>
    <r>
      <rPr>
        <sz val="11"/>
        <color rgb="FF000000"/>
        <rFont val="Calibri"/>
      </rPr>
      <t>Privacy Protocol: 3DES</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TRAP_NMS1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TRAP_GROUP</t>
    </r>
    <r>
      <rPr>
        <sz val="11"/>
        <color rgb="FF000000"/>
        <rFont val="Calibri"/>
      </rPr>
      <t xml:space="preserve">
</t>
    </r>
    <r>
      <rPr>
        <sz val="11"/>
        <color rgb="FF000000"/>
        <rFont val="Calibri"/>
      </rPr>
      <t>R1#</t>
    </r>
  </si>
  <si>
    <t>V-3034</t>
  </si>
  <si>
    <r>
      <rPr>
        <sz val="11"/>
        <rFont val="Calibri"/>
      </rPr>
      <t>The network element must authenticate all IGP peers.</t>
    </r>
  </si>
  <si>
    <r>
      <rPr>
        <sz val="11"/>
        <color rgb="FF000000"/>
        <rFont val="Calibri"/>
      </rPr>
      <t>Configure authentication for all IGP peers.</t>
    </r>
  </si>
  <si>
    <r>
      <rPr>
        <sz val="11"/>
        <color rgb="FF000000"/>
        <rFont val="Calibri"/>
      </rPr>
      <t>A rogue router could send a fictitious routing update to convince a site’s premise router to send traffic to an incorrect or even a rogue destination.  This diverted traffic could be analyzed to learn confidential information of the site’s network, or merely used to disrupt the network’s ability to effectively communicate with other networks.</t>
    </r>
  </si>
  <si>
    <r>
      <rPr>
        <sz val="11"/>
        <color rgb="FF000000"/>
        <rFont val="Calibri"/>
      </rPr>
      <t>Review the device configuration to determine if authentication is configured for all IGP peers.</t>
    </r>
    <r>
      <rPr>
        <sz val="11"/>
        <color rgb="FF000000"/>
        <rFont val="Calibri"/>
      </rPr>
      <t xml:space="preserve">
</t>
    </r>
    <r>
      <rPr>
        <sz val="11"/>
        <color rgb="FF000000"/>
        <rFont val="Calibri"/>
      </rPr>
      <t>If authentication is not configured for all IGP peers, this is a finding.</t>
    </r>
  </si>
  <si>
    <t>V-3043</t>
  </si>
  <si>
    <r>
      <rPr>
        <sz val="11"/>
        <rFont val="Calibri"/>
      </rPr>
      <t>The network device must use different SNMP community names or groups for various levels of read and write access.</t>
    </r>
  </si>
  <si>
    <r>
      <rPr>
        <sz val="11"/>
        <color rgb="FF000000"/>
        <rFont val="Calibri"/>
      </rPr>
      <t>Configure the SNMP community strings on the network device and change them from the default values. SNMP community strings and user passwords must be unique and not match any other network device passwords. Different community strings (V1/2) or groups (V3) must be configured for various levels of read and write access.</t>
    </r>
  </si>
  <si>
    <r>
      <rPr>
        <sz val="11"/>
        <color rgb="FF000000"/>
        <rFont val="Calibri"/>
      </rPr>
      <t>Numerous vulnerabilities exist with SNMP; therefore, without unique SNMP community names, the risk of compromise is dramatically increased. This is especially true with vendors default community names which are widely known by hackers and other networking experts. If a hacker gains access to these devices and can easily guess the name, this could result in denial of service, interception of sensitive information, or other destructive actions.</t>
    </r>
  </si>
  <si>
    <r>
      <rPr>
        <sz val="11"/>
        <color rgb="FF000000"/>
        <rFont val="Calibri"/>
      </rPr>
      <t>Review the SNMP configuration of all managed nodes to ensure different community names (V1/2) or groups/users (V3) are configured for read-only and read-write access.</t>
    </r>
    <r>
      <rPr>
        <sz val="11"/>
        <color rgb="FF000000"/>
        <rFont val="Calibri"/>
      </rPr>
      <t xml:space="preserve">
</t>
    </r>
    <r>
      <rPr>
        <sz val="11"/>
        <color rgb="FF000000"/>
        <rFont val="Calibri"/>
      </rPr>
      <t>If unique community strings or accounts are not used for SNMP peers, this is a finding.</t>
    </r>
  </si>
  <si>
    <t>V-3056</t>
  </si>
  <si>
    <r>
      <rPr>
        <sz val="11"/>
        <rFont val="Calibri"/>
      </rPr>
      <t>Group accounts must not be configured for use on the network device.</t>
    </r>
  </si>
  <si>
    <r>
      <rPr>
        <sz val="11"/>
        <color rgb="FF000000"/>
        <rFont val="Calibri"/>
      </rPr>
      <t>Configure individual user accounts for each authorized person then remove any group accounts.</t>
    </r>
  </si>
  <si>
    <r>
      <rPr>
        <sz val="11"/>
        <color rgb="FF000000"/>
        <rFont val="Calibri"/>
      </rPr>
      <t>Group accounts configured for use on a network device do not allow for accountability or repudiation of individuals using the shared account.  If group accounts are not changed when someone leaves the group, that person could possibly gain control of the network device.  Having group accounts does not allow for proper auditing of who is accessing or changing the network.</t>
    </r>
  </si>
  <si>
    <r>
      <rPr>
        <sz val="11"/>
        <color rgb="FF000000"/>
        <rFont val="Calibri"/>
      </rPr>
      <t>Review the network device configuration and validate there are no group accounts configured for access.</t>
    </r>
    <r>
      <rPr>
        <sz val="11"/>
        <color rgb="FF000000"/>
        <rFont val="Calibri"/>
      </rPr>
      <t xml:space="preserve">
</t>
    </r>
    <r>
      <rPr>
        <sz val="11"/>
        <color rgb="FF000000"/>
        <rFont val="Calibri"/>
      </rPr>
      <t>If a group account is configured on the device, this is a finding.</t>
    </r>
  </si>
  <si>
    <t>V-3057</t>
  </si>
  <si>
    <r>
      <rPr>
        <sz val="11"/>
        <rFont val="Calibri"/>
      </rPr>
      <t>Authorized accounts must be assigned the least privilege level necessary to perform assigned duties.</t>
    </r>
  </si>
  <si>
    <r>
      <rPr>
        <sz val="11"/>
        <color rgb="FF000000"/>
        <rFont val="Calibri"/>
      </rPr>
      <t>Configure authorized accounts with the least privilege rule. Each user will have access to only the privileges they require to perform their assigned duties.</t>
    </r>
  </si>
  <si>
    <r>
      <rPr>
        <sz val="11"/>
        <color rgb="FF000000"/>
        <rFont val="Calibri"/>
      </rPr>
      <t>By not restricting authorized accounts to their proper privilege level, access to restricted functions may be allowed before authorized personell are trained or experienced enough to use those functions.  Network disruptions or outages may occur due to mistakes made by inexperienced persons using accounts with greater privileges than necessary.</t>
    </r>
  </si>
  <si>
    <r>
      <rPr>
        <sz val="11"/>
        <color rgb="FF000000"/>
        <rFont val="Calibri"/>
      </rPr>
      <t>Review the accounts authorized for access to the network device. Determine if the accounts are assigned the lowest privilege level necessary to perform assigned duties. User accounts must be set to a specific privilege level which can be mapped to specific commands or a group of commands. Authorized accounts should have the least privilege level unless deemed necessary for assigned duties.</t>
    </r>
    <r>
      <rPr>
        <sz val="11"/>
        <color rgb="FF000000"/>
        <rFont val="Calibri"/>
      </rPr>
      <t xml:space="preserve">
</t>
    </r>
    <r>
      <rPr>
        <sz val="11"/>
        <color rgb="FF000000"/>
        <rFont val="Calibri"/>
      </rPr>
      <t>If it is determined that authorized accounts are assigned to greater privileges than necessary, this is a finding.</t>
    </r>
    <r>
      <rPr>
        <sz val="11"/>
        <color rgb="FF000000"/>
        <rFont val="Calibri"/>
      </rPr>
      <t xml:space="preserve">
</t>
    </r>
    <r>
      <rPr>
        <sz val="11"/>
        <color rgb="FF000000"/>
        <rFont val="Calibri"/>
      </rPr>
      <t>Below is an example of assigning a privilege level to a local user account and changing the default privilege level of the configure terminal command.</t>
    </r>
    <r>
      <rPr>
        <sz val="11"/>
        <color rgb="FF000000"/>
        <rFont val="Calibri"/>
      </rPr>
      <t xml:space="preserve">
</t>
    </r>
    <r>
      <rPr>
        <sz val="11"/>
        <color rgb="FF000000"/>
        <rFont val="Calibri"/>
      </rPr>
      <t>username junior-engineer1 privilege 7 password xxxxxx</t>
    </r>
    <r>
      <rPr>
        <sz val="11"/>
        <color rgb="FF000000"/>
        <rFont val="Calibri"/>
      </rPr>
      <t xml:space="preserve">
</t>
    </r>
    <r>
      <rPr>
        <sz val="11"/>
        <color rgb="FF000000"/>
        <rFont val="Calibri"/>
      </rPr>
      <t>privilege exec level 7 configure terminal</t>
    </r>
    <r>
      <rPr>
        <sz val="11"/>
        <color rgb="FF000000"/>
        <rFont val="Calibri"/>
      </rPr>
      <t xml:space="preserve">
</t>
    </r>
    <r>
      <rPr>
        <sz val="11"/>
        <color rgb="FF000000"/>
        <rFont val="Calibri"/>
      </rPr>
      <t>The above example only covers local accounts. You will also need to check the accounts and their associated privilege levels configured in the authentication server. You can also use TACACS+ for even more granularity at the command level as shown in the following example:</t>
    </r>
    <r>
      <rPr>
        <sz val="11"/>
        <color rgb="FF000000"/>
        <rFont val="Calibri"/>
      </rPr>
      <t xml:space="preserve">
</t>
    </r>
    <r>
      <rPr>
        <sz val="11"/>
        <color rgb="FF000000"/>
        <rFont val="Calibri"/>
      </rPr>
      <t>user = junior-engineer1 {</t>
    </r>
    <r>
      <rPr>
        <sz val="11"/>
        <color rgb="FF000000"/>
        <rFont val="Calibri"/>
      </rPr>
      <t xml:space="preserve">
</t>
    </r>
    <r>
      <rPr>
        <sz val="11"/>
        <color rgb="FF000000"/>
        <rFont val="Calibri"/>
      </rPr>
      <t xml:space="preserve">       password = clear "xxxxx"</t>
    </r>
    <r>
      <rPr>
        <sz val="11"/>
        <color rgb="FF000000"/>
        <rFont val="Calibri"/>
      </rPr>
      <t xml:space="preserve">
</t>
    </r>
    <r>
      <rPr>
        <sz val="11"/>
        <color rgb="FF000000"/>
        <rFont val="Calibri"/>
      </rPr>
      <t xml:space="preserve">       service = shell  {</t>
    </r>
    <r>
      <rPr>
        <sz val="11"/>
        <color rgb="FF000000"/>
        <rFont val="Calibri"/>
      </rPr>
      <t xml:space="preserve">
</t>
    </r>
    <r>
      <rPr>
        <sz val="11"/>
        <color rgb="FF000000"/>
        <rFont val="Calibri"/>
      </rPr>
      <t xml:space="preserve">             set priv-lvl = 7</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</si>
  <si>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t>V-3058</t>
  </si>
  <si>
    <r>
      <rPr>
        <sz val="11"/>
        <rFont val="Calibri"/>
      </rPr>
      <t>Unauthorized accounts must not be configured for access to the network device.</t>
    </r>
  </si>
  <si>
    <r>
      <rPr>
        <sz val="11"/>
        <color rgb="FF000000"/>
        <rFont val="Calibri"/>
      </rPr>
      <t>Remove any account configured for access to the network device that is not defined in the organization's responsibilities list.</t>
    </r>
  </si>
  <si>
    <r>
      <rPr>
        <sz val="11"/>
        <color rgb="FF000000"/>
        <rFont val="Calibri"/>
      </rPr>
      <t>A malicious user attempting to gain access to the network device may compromise an account that may be unauthorized for use.  The unauthorized account may be a temporary or inactive account that is no longer needed to access the device.  Denial of Service, interception of sensitive information, or other destructive actions could potentially take place if an unauthorized account is configured to access the network device.</t>
    </r>
  </si>
  <si>
    <r>
      <rPr>
        <sz val="11"/>
        <color rgb="FF000000"/>
        <rFont val="Calibri"/>
      </rPr>
      <t>Review the organization's responsibilities list and reconcile the list of authorized accounts with those accounts defined for access to the network device.</t>
    </r>
    <r>
      <rPr>
        <sz val="11"/>
        <color rgb="FF000000"/>
        <rFont val="Calibri"/>
      </rPr>
      <t xml:space="preserve">
</t>
    </r>
    <r>
      <rPr>
        <sz val="11"/>
        <color rgb="FF000000"/>
        <rFont val="Calibri"/>
      </rPr>
      <t>If an unauthorized account is configured for access to the device, this is a finding.</t>
    </r>
  </si>
  <si>
    <t>V-3062</t>
  </si>
  <si>
    <r>
      <rPr>
        <sz val="11"/>
        <rFont val="Calibri"/>
      </rPr>
      <t>The network element must be configured to ensure passwords are not viewable when displaying configuration information.</t>
    </r>
  </si>
  <si>
    <r>
      <rPr>
        <sz val="11"/>
        <color rgb="FF000000"/>
        <rFont val="Calibri"/>
      </rPr>
      <t>Configure the network element to ensure passwords are not viewable when displaying configuration information.</t>
    </r>
    <r>
      <rPr>
        <sz val="11"/>
        <color rgb="FF000000"/>
        <rFont val="Calibri"/>
      </rPr>
      <t xml:space="preserve">
</t>
    </r>
    <r>
      <rPr>
        <sz val="11"/>
        <color rgb="FF000000"/>
        <rFont val="Calibri"/>
      </rPr>
      <t>Device(config)# service password</t>
    </r>
    <r>
      <rPr>
        <sz val="11"/>
        <color rgb="FF000000"/>
        <rFont val="Calibri"/>
      </rPr>
      <t xml:space="preserve">
</t>
    </r>
    <r>
      <rPr>
        <sz val="11"/>
        <color rgb="FF000000"/>
        <rFont val="Calibri"/>
      </rPr>
      <t>Device(config)# username name secret S3cr3T!</t>
    </r>
    <r>
      <rPr>
        <sz val="11"/>
        <color rgb="FF000000"/>
        <rFont val="Calibri"/>
      </rPr>
      <t xml:space="preserve">
</t>
    </r>
    <r>
      <rPr>
        <sz val="11"/>
        <color rgb="FF000000"/>
        <rFont val="Calibri"/>
      </rPr>
      <t>Device(config)# enable secret $MyS3cr3TPW$</t>
    </r>
    <r>
      <rPr>
        <sz val="11"/>
        <color rgb="FF000000"/>
        <rFont val="Calibri"/>
      </rPr>
      <t xml:space="preserve">
</t>
    </r>
    <r>
      <rPr>
        <sz val="11"/>
        <color rgb="FF000000"/>
        <rFont val="Calibri"/>
      </rPr>
      <t>Device(config)# end</t>
    </r>
  </si>
  <si>
    <r>
      <rPr>
        <sz val="11"/>
        <color rgb="FF000000"/>
        <rFont val="Calibri"/>
      </rPr>
      <t>Many attacks information systems and network elements are launched from within the network. Hence, it is imperative that all passwords are encrypted so they cannot be intercepted by viewing the console or printout of the configuration.</t>
    </r>
  </si>
  <si>
    <r>
      <rPr>
        <sz val="11"/>
        <color rgb="FF000000"/>
        <rFont val="Calibri"/>
      </rPr>
      <t>Review all Cisco IOS routers and switches to determine if the global command "service password-encryption" is present in the configurations.</t>
    </r>
    <r>
      <rPr>
        <sz val="11"/>
        <color rgb="FF000000"/>
        <rFont val="Calibri"/>
      </rPr>
      <t xml:space="preserve">
</t>
    </r>
    <r>
      <rPr>
        <sz val="11"/>
        <color rgb="FF000000"/>
        <rFont val="Calibri"/>
      </rPr>
      <t>Also, review all accounts created on the device to ensure they have been setup using the "username name secret password" command.  The following command will be found in the device configurations</t>
    </r>
    <r>
      <rPr>
        <sz val="11"/>
        <color rgb="FF000000"/>
        <rFont val="Calibri"/>
      </rPr>
      <t xml:space="preserve">
</t>
    </r>
    <r>
      <rPr>
        <sz val="11"/>
        <color rgb="FF000000"/>
        <rFont val="Calibri"/>
      </rPr>
      <t>Device# show run</t>
    </r>
    <r>
      <rPr>
        <sz val="11"/>
        <color rgb="FF000000"/>
        <rFont val="Calibri"/>
      </rPr>
      <t xml:space="preserve">
</t>
    </r>
    <r>
      <rPr>
        <sz val="11"/>
        <color rgb="FF000000"/>
        <rFont val="Calibri"/>
      </rPr>
      <t>!</t>
    </r>
    <r>
      <rPr>
        <sz val="11"/>
        <color rgb="FF000000"/>
        <rFont val="Calibri"/>
      </rPr>
      <t xml:space="preserve">
</t>
    </r>
    <r>
      <rPr>
        <sz val="11"/>
        <color rgb="FF000000"/>
        <rFont val="Calibri"/>
      </rPr>
      <t>service password-encryption</t>
    </r>
    <r>
      <rPr>
        <sz val="11"/>
        <color rgb="FF000000"/>
        <rFont val="Calibri"/>
      </rPr>
      <t xml:space="preserve">
</t>
    </r>
    <r>
      <rPr>
        <sz val="11"/>
        <color rgb="FF000000"/>
        <rFont val="Calibri"/>
      </rPr>
      <t>!</t>
    </r>
    <r>
      <rPr>
        <sz val="11"/>
        <color rgb="FF000000"/>
        <rFont val="Calibri"/>
      </rPr>
      <t xml:space="preserve">
</t>
    </r>
    <r>
      <rPr>
        <sz val="11"/>
        <color rgb="FF000000"/>
        <rFont val="Calibri"/>
      </rPr>
      <t>username name secret 5 $1$geU5$vc/uDRS5dWiOrpQJTimBw/</t>
    </r>
    <r>
      <rPr>
        <sz val="11"/>
        <color rgb="FF000000"/>
        <rFont val="Calibri"/>
      </rPr>
      <t xml:space="preserve">
</t>
    </r>
    <r>
      <rPr>
        <sz val="11"/>
        <color rgb="FF000000"/>
        <rFont val="Calibri"/>
      </rPr>
      <t>enable secret 5 $1%mer9396y30d$FDA/292/</t>
    </r>
  </si>
  <si>
    <t>V-3069</t>
  </si>
  <si>
    <r>
      <rPr>
        <sz val="11"/>
        <rFont val="Calibri"/>
      </rPr>
      <t>Management connections to a network device must be established using secure protocols with FIPS 140-2 validated cryptographic modules.</t>
    </r>
  </si>
  <si>
    <r>
      <rPr>
        <sz val="11"/>
        <color rgb="FF000000"/>
        <rFont val="Calibri"/>
      </rPr>
      <t>Configure the network device to use secure protocols with FIPS 140-2 validated cryptographic modules.</t>
    </r>
  </si>
  <si>
    <r>
      <rPr>
        <sz val="11"/>
        <color rgb="FF000000"/>
        <rFont val="Calibri"/>
      </rPr>
      <t>Administration and management connections performed across a network are inherently dangerous because anyone with a packet sniffer and access to the right LAN segment can acquire the network device account and password information.  With this intercepted information they could gain access to the router and cause denial of service attacks, intercept sensitive information, or perform other destructive actions.</t>
    </r>
  </si>
  <si>
    <r>
      <rPr>
        <sz val="11"/>
        <color rgb="FF000000"/>
        <rFont val="Calibri"/>
      </rPr>
      <t>Review the network device configuration to verify only secure protocols using FIPS 140-2 validated cryptographic modules are used for any administrative access.  Some of the secure protocols used for administrative and management access are listed below.  This list is not all inclusive and represents a sample selection of secure protocols.</t>
    </r>
    <r>
      <rPr>
        <sz val="11"/>
        <color rgb="FF000000"/>
        <rFont val="Calibri"/>
      </rPr>
      <t xml:space="preserve">
</t>
    </r>
    <r>
      <rPr>
        <sz val="11"/>
        <color rgb="FF000000"/>
        <rFont val="Calibri"/>
      </rPr>
      <t>-SSHv2</t>
    </r>
    <r>
      <rPr>
        <sz val="11"/>
        <color rgb="FF000000"/>
        <rFont val="Calibri"/>
      </rPr>
      <t xml:space="preserve">
</t>
    </r>
    <r>
      <rPr>
        <sz val="11"/>
        <color rgb="FF000000"/>
        <rFont val="Calibri"/>
      </rPr>
      <t>-SCP</t>
    </r>
    <r>
      <rPr>
        <sz val="11"/>
        <color rgb="FF000000"/>
        <rFont val="Calibri"/>
      </rPr>
      <t xml:space="preserve">
</t>
    </r>
    <r>
      <rPr>
        <sz val="11"/>
        <color rgb="FF000000"/>
        <rFont val="Calibri"/>
      </rPr>
      <t>-HTTPS</t>
    </r>
    <r>
      <rPr>
        <sz val="11"/>
        <color rgb="FF000000"/>
        <rFont val="Calibri"/>
      </rPr>
      <t xml:space="preserve">
</t>
    </r>
    <r>
      <rPr>
        <sz val="11"/>
        <color rgb="FF000000"/>
        <rFont val="Calibri"/>
      </rPr>
      <t>-SSL</t>
    </r>
    <r>
      <rPr>
        <sz val="11"/>
        <color rgb="FF000000"/>
        <rFont val="Calibri"/>
      </rPr>
      <t xml:space="preserve">
</t>
    </r>
    <r>
      <rPr>
        <sz val="11"/>
        <color rgb="FF000000"/>
        <rFont val="Calibri"/>
      </rPr>
      <t>-TLS</t>
    </r>
    <r>
      <rPr>
        <sz val="11"/>
        <color rgb="FF000000"/>
        <rFont val="Calibri"/>
      </rPr>
      <t xml:space="preserve">
</t>
    </r>
    <r>
      <rPr>
        <sz val="11"/>
        <color rgb="FF000000"/>
        <rFont val="Calibri"/>
      </rPr>
      <t>This is an example that enables SSHv2/SCP/HTTPS on an IOS Device:</t>
    </r>
    <r>
      <rPr>
        <sz val="11"/>
        <color rgb="FF000000"/>
        <rFont val="Calibri"/>
      </rPr>
      <t xml:space="preserve">
</t>
    </r>
    <r>
      <rPr>
        <sz val="11"/>
        <color rgb="FF000000"/>
        <rFont val="Calibri"/>
      </rPr>
      <t>!</t>
    </r>
    <r>
      <rPr>
        <sz val="11"/>
        <color rgb="FF000000"/>
        <rFont val="Calibri"/>
      </rPr>
      <t xml:space="preserve">
</t>
    </r>
    <r>
      <rPr>
        <sz val="11"/>
        <color rgb="FF000000"/>
        <rFont val="Calibri"/>
      </rPr>
      <t>ip domain-name example.com</t>
    </r>
    <r>
      <rPr>
        <sz val="11"/>
        <color rgb="FF000000"/>
        <rFont val="Calibri"/>
      </rPr>
      <t xml:space="preserve">
</t>
    </r>
    <r>
      <rPr>
        <sz val="11"/>
        <color rgb="FF000000"/>
        <rFont val="Calibri"/>
      </rPr>
      <t>!</t>
    </r>
    <r>
      <rPr>
        <sz val="11"/>
        <color rgb="FF000000"/>
        <rFont val="Calibri"/>
      </rPr>
      <t xml:space="preserve">
</t>
    </r>
    <r>
      <rPr>
        <sz val="11"/>
        <color rgb="FF000000"/>
        <rFont val="Calibri"/>
      </rPr>
      <t>crypto key generate rsa modulus 2048</t>
    </r>
    <r>
      <rPr>
        <sz val="11"/>
        <color rgb="FF000000"/>
        <rFont val="Calibri"/>
      </rPr>
      <t xml:space="preserve">
</t>
    </r>
    <r>
      <rPr>
        <sz val="11"/>
        <color rgb="FF000000"/>
        <rFont val="Calibri"/>
      </rPr>
      <t>!</t>
    </r>
    <r>
      <rPr>
        <sz val="11"/>
        <color rgb="FF000000"/>
        <rFont val="Calibri"/>
      </rPr>
      <t xml:space="preserve">
</t>
    </r>
    <r>
      <rPr>
        <sz val="11"/>
        <color rgb="FF000000"/>
        <rFont val="Calibri"/>
      </rPr>
      <t>ip ssh time-out 60</t>
    </r>
    <r>
      <rPr>
        <sz val="11"/>
        <color rgb="FF000000"/>
        <rFont val="Calibri"/>
      </rPr>
      <t xml:space="preserve">
</t>
    </r>
    <r>
      <rPr>
        <sz val="11"/>
        <color rgb="FF000000"/>
        <rFont val="Calibri"/>
      </rPr>
      <t>ip ssh authentication-retries 3</t>
    </r>
    <r>
      <rPr>
        <sz val="11"/>
        <color rgb="FF000000"/>
        <rFont val="Calibri"/>
      </rPr>
      <t xml:space="preserve">
</t>
    </r>
    <r>
      <rPr>
        <sz val="11"/>
        <color rgb="FF000000"/>
        <rFont val="Calibri"/>
      </rPr>
      <t>ip ssh source-interface GigabitEthernet 0/1</t>
    </r>
    <r>
      <rPr>
        <sz val="11"/>
        <color rgb="FF000000"/>
        <rFont val="Calibri"/>
      </rPr>
      <t xml:space="preserve">
</t>
    </r>
    <r>
      <rPr>
        <sz val="11"/>
        <color rgb="FF000000"/>
        <rFont val="Calibri"/>
      </rPr>
      <t>ip ssh version 2</t>
    </r>
    <r>
      <rPr>
        <sz val="11"/>
        <color rgb="FF000000"/>
        <rFont val="Calibri"/>
      </rPr>
      <t xml:space="preserve">
</t>
    </r>
    <r>
      <rPr>
        <sz val="11"/>
        <color rgb="FF000000"/>
        <rFont val="Calibri"/>
      </rPr>
      <t>ip ssh server algorithm mac hmac-sha1 hmac-sha1-96</t>
    </r>
    <r>
      <rPr>
        <sz val="11"/>
        <color rgb="FF000000"/>
        <rFont val="Calibri"/>
      </rPr>
      <t xml:space="preserve">
</t>
    </r>
    <r>
      <rPr>
        <sz val="11"/>
        <color rgb="FF000000"/>
        <rFont val="Calibri"/>
      </rPr>
      <t>ip ssh server algorithm encryption aes128-cbc aes192-cbc aes256-cbc</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15</t>
    </r>
    <r>
      <rPr>
        <sz val="11"/>
        <color rgb="FF000000"/>
        <rFont val="Calibri"/>
      </rPr>
      <t xml:space="preserve">
</t>
    </r>
    <r>
      <rPr>
        <sz val="11"/>
        <color rgb="FF000000"/>
        <rFont val="Calibri"/>
      </rPr>
      <t>transport input ssh</t>
    </r>
    <r>
      <rPr>
        <sz val="11"/>
        <color rgb="FF000000"/>
        <rFont val="Calibri"/>
      </rPr>
      <t xml:space="preserve">
</t>
    </r>
    <r>
      <rPr>
        <sz val="11"/>
        <color rgb="FF000000"/>
        <rFont val="Calibri"/>
      </rPr>
      <t>!</t>
    </r>
    <r>
      <rPr>
        <sz val="11"/>
        <color rgb="FF000000"/>
        <rFont val="Calibri"/>
      </rPr>
      <t xml:space="preserve">
</t>
    </r>
    <r>
      <rPr>
        <sz val="11"/>
        <color rgb="FF000000"/>
        <rFont val="Calibri"/>
      </rPr>
      <t>ip scp server enable</t>
    </r>
    <r>
      <rPr>
        <sz val="11"/>
        <color rgb="FF000000"/>
        <rFont val="Calibri"/>
      </rPr>
      <t xml:space="preserve">
</t>
    </r>
    <r>
      <rPr>
        <sz val="11"/>
        <color rgb="FF000000"/>
        <rFont val="Calibri"/>
      </rPr>
      <t>!</t>
    </r>
    <r>
      <rPr>
        <sz val="11"/>
        <color rgb="FF000000"/>
        <rFont val="Calibri"/>
      </rPr>
      <t xml:space="preserve">
</t>
    </r>
    <r>
      <rPr>
        <sz val="11"/>
        <color rgb="FF000000"/>
        <rFont val="Calibri"/>
      </rPr>
      <t>ip http secure-server</t>
    </r>
    <r>
      <rPr>
        <sz val="11"/>
        <color rgb="FF000000"/>
        <rFont val="Calibri"/>
      </rPr>
      <t xml:space="preserve">
</t>
    </r>
    <r>
      <rPr>
        <sz val="11"/>
        <color rgb="FF000000"/>
        <rFont val="Calibri"/>
      </rPr>
      <t>If management connections are established using protocols without FIPS 140-2 validated cryptographic modules, this is a finding.</t>
    </r>
  </si>
  <si>
    <t>V-3070</t>
  </si>
  <si>
    <r>
      <rPr>
        <sz val="11"/>
        <rFont val="Calibri"/>
      </rPr>
      <t>The network element must log all attempts to establish a management connection for administrative access.</t>
    </r>
  </si>
  <si>
    <r>
      <rPr>
        <sz val="11"/>
        <color rgb="FF000000"/>
        <rFont val="Calibri"/>
      </rPr>
      <t>Configure the device to log all access attempts to the device to establish a management connection for administrative access.</t>
    </r>
  </si>
  <si>
    <r>
      <rPr>
        <sz val="11"/>
        <color rgb="FF000000"/>
        <rFont val="Calibri"/>
      </rPr>
      <t>Audit logs are necessary to provide a trail of evidence in case the network is compromised.  Without an audit trail that provides a when, where, who and how set of information, repeat offenders could continue attacks against the network indefinitely.  With this information, the network administrator can devise ways to block the attack and possibly identify and prosecute the attacker.</t>
    </r>
  </si>
  <si>
    <r>
      <rPr>
        <sz val="11"/>
        <color rgb="FF000000"/>
        <rFont val="Calibri"/>
      </rPr>
      <t>Review the router or switch configuration to ensure that all logon connection attempts are logged as shown in the following example:</t>
    </r>
    <r>
      <rPr>
        <sz val="11"/>
        <color rgb="FF000000"/>
        <rFont val="Calibri"/>
      </rPr>
      <t xml:space="preserve">
</t>
    </r>
    <r>
      <rPr>
        <sz val="11"/>
        <color rgb="FF000000"/>
        <rFont val="Calibri"/>
      </rPr>
      <t>logging on</t>
    </r>
    <r>
      <rPr>
        <sz val="11"/>
        <color rgb="FF000000"/>
        <rFont val="Calibri"/>
      </rPr>
      <t xml:space="preserve">
</t>
    </r>
    <r>
      <rPr>
        <sz val="11"/>
        <color rgb="FF000000"/>
        <rFont val="Calibri"/>
      </rPr>
      <t>login on-failure log every 1</t>
    </r>
    <r>
      <rPr>
        <sz val="11"/>
        <color rgb="FF000000"/>
        <rFont val="Calibri"/>
      </rPr>
      <t xml:space="preserve">
</t>
    </r>
    <r>
      <rPr>
        <sz val="11"/>
        <color rgb="FF000000"/>
        <rFont val="Calibri"/>
      </rPr>
      <t>login on-success log every 1</t>
    </r>
    <r>
      <rPr>
        <sz val="11"/>
        <color rgb="FF000000"/>
        <rFont val="Calibri"/>
      </rPr>
      <t xml:space="preserve">
</t>
    </r>
    <r>
      <rPr>
        <sz val="11"/>
        <color rgb="FF000000"/>
        <rFont val="Calibri"/>
      </rPr>
      <t>If all logon connection attempts are not logged, this is a finding.</t>
    </r>
  </si>
  <si>
    <t>V-3072</t>
  </si>
  <si>
    <r>
      <rPr>
        <sz val="11"/>
        <rFont val="Calibri"/>
      </rPr>
      <t>The running configuration must be synchronized with the startup configuration after changes have been made and implemented.</t>
    </r>
  </si>
  <si>
    <t>L3 Switch Secure Technical Implementation Guide - Cisco; L3 Switch; Router Security Technical Implementation Guide Cisco; Router</t>
  </si>
  <si>
    <r>
      <rPr>
        <sz val="11"/>
        <color rgb="FF000000"/>
        <rFont val="Calibri"/>
      </rPr>
      <t>Add procedures to the standard operating procedure to keep the running configuration synchronized with the startup configuration.</t>
    </r>
  </si>
  <si>
    <r>
      <rPr>
        <sz val="11"/>
        <color rgb="FF000000"/>
        <rFont val="Calibri"/>
      </rPr>
      <t>If the running and startup router configurations are not synchronized properly and a router malfunctions, it will not restart with all of the recent changes incorporated.  If the recent changes were security related, then the routers would be vulnerable to attack.</t>
    </r>
  </si>
  <si>
    <r>
      <rPr>
        <sz val="11"/>
        <color rgb="FF000000"/>
        <rFont val="Calibri"/>
      </rPr>
      <t>Review the running and boot configurations to determine if they are synchronized.</t>
    </r>
    <r>
      <rPr>
        <sz val="11"/>
        <color rgb="FF000000"/>
        <rFont val="Calibri"/>
      </rPr>
      <t xml:space="preserve">
</t>
    </r>
    <r>
      <rPr>
        <sz val="11"/>
        <color rgb="FF000000"/>
        <rFont val="Calibri"/>
      </rPr>
      <t xml:space="preserve">IOS Procedure: With online editing, the "show running-config" command will only show the current running configuration settings, which are different from the IOS defaults. The "show startup-config" command will show the NVRAM startup configuration. Compare the two configurations to ensure they are synchronized. </t>
    </r>
    <r>
      <rPr>
        <sz val="11"/>
        <color rgb="FF000000"/>
        <rFont val="Calibri"/>
      </rPr>
      <t xml:space="preserve">
</t>
    </r>
    <r>
      <rPr>
        <sz val="11"/>
        <color rgb="FF000000"/>
        <rFont val="Calibri"/>
      </rPr>
      <t>JUNOS Procedure: This will never be a finding. The active configuration is stored on flash as juniper.conf. A candidate configuration allows configuration changes while in configuration mode without initiating operational changes. The router implements the candidate configuration when it is committed; thereby, making it the new active configuration--at which time it will be stored on flash as juniper.conf and the old juniper.conf will become juniper.conf.1.</t>
    </r>
    <r>
      <rPr>
        <sz val="11"/>
        <color rgb="FF000000"/>
        <rFont val="Calibri"/>
      </rPr>
      <t xml:space="preserve">
</t>
    </r>
    <r>
      <rPr>
        <sz val="11"/>
        <color rgb="FF000000"/>
        <rFont val="Calibri"/>
      </rPr>
      <t>If running configuration and boot configurations are not the same, this is a finding.</t>
    </r>
  </si>
  <si>
    <t>V-3078</t>
  </si>
  <si>
    <r>
      <rPr>
        <sz val="11"/>
        <rFont val="Calibri"/>
      </rPr>
      <t>Network devices must have TCP and UDP small servers disabled.</t>
    </r>
  </si>
  <si>
    <t>L3 Switch Secure Technical Implementation Guide - Cisco; Router Security Technical Implementation Guide Cisco</t>
  </si>
  <si>
    <r>
      <rPr>
        <sz val="11"/>
        <color rgb="FF000000"/>
        <rFont val="Calibri"/>
      </rPr>
      <t>Change the device configuration to include the following IOS commands: no service tcp-small-servers and no service udp-small-servers for each device running an IOS version prior to 12.0.  This is the default for IOS versions 12.0 and later (i.e., these commands will not appear in the running configuration.)</t>
    </r>
  </si>
  <si>
    <r>
      <rPr>
        <sz val="11"/>
        <color rgb="FF000000"/>
        <rFont val="Calibri"/>
      </rPr>
      <t>Cisco IOS provides the "small services" that include echo, chargen, and discard. These services, especially their User Datagram Protocol (UDP) versions, are infrequently used for legitimate purposes. However, they have been used to launch denial of service attacks that would otherwise be prevented by packet filtering. For example, an attacker might send a DNS packet, falsifying the source address to be a DNS server that would otherwise be unreachable, and falsifying the source port to be the DNS service port (port 53). If such a packet were sent to the Cisco's UDP echo port, the result would be Cisco sending a DNS packet to the server in question. No outgoing access list checks would be applied to this packet, since it would be considered locally generated by the router itself. The small services are disabled by default in Cisco IOS 12.0 and later software. In earlier software, they may be disabled using the commands no service tcp-small-servers and no service udp-small-servers.</t>
    </r>
  </si>
  <si>
    <r>
      <rPr>
        <sz val="11"/>
        <color rgb="FF000000"/>
        <rFont val="Calibri"/>
      </rPr>
      <t>Review all Cisco device configurations to verify service udp-small-servers and service tcp-small-servers are not found.</t>
    </r>
    <r>
      <rPr>
        <sz val="11"/>
        <color rgb="FF000000"/>
        <rFont val="Calibri"/>
      </rPr>
      <t xml:space="preserve">
</t>
    </r>
    <r>
      <rPr>
        <sz val="11"/>
        <color rgb="FF000000"/>
        <rFont val="Calibri"/>
      </rPr>
      <t>If TCP and UDP servers are not disabled, this is a finding.</t>
    </r>
    <r>
      <rPr>
        <sz val="11"/>
        <color rgb="FF000000"/>
        <rFont val="Calibri"/>
      </rPr>
      <t xml:space="preserve">
</t>
    </r>
    <r>
      <rPr>
        <sz val="11"/>
        <color rgb="FF000000"/>
        <rFont val="Calibri"/>
      </rPr>
      <t>Note: The TCP and UDP small servers are enabled by default on Cisco IOS Software Version 11.2 and earlier. They are disabled by default on Cisco IOS Software Versions 11.3 and later.</t>
    </r>
  </si>
  <si>
    <t>V-3079</t>
  </si>
  <si>
    <r>
      <rPr>
        <sz val="11"/>
        <rFont val="Calibri"/>
      </rPr>
      <t>The network element must have the Finger service disabled.</t>
    </r>
  </si>
  <si>
    <r>
      <rPr>
        <sz val="11"/>
        <color rgb="FF000000"/>
        <rFont val="Calibri"/>
      </rPr>
      <t>Configure the device to disable the Finger service.</t>
    </r>
  </si>
  <si>
    <r>
      <rPr>
        <sz val="11"/>
        <color rgb="FF000000"/>
        <rFont val="Calibri"/>
      </rPr>
      <t>The finger service supports the UNIX finger protocol, which is used for querying a host about the users that are logged on. This service is not necessary for generic users. If an attacker were to find out who is using the network, they may use social engineering practices to try to elicit classified DoD information.</t>
    </r>
  </si>
  <si>
    <r>
      <rPr>
        <sz val="11"/>
        <color rgb="FF000000"/>
        <rFont val="Calibri"/>
      </rPr>
      <t>Review the device configuration. Beginning with IOS 12.1(5), finger is disabled by default. For IOS version 12.0 through 12.1(4), verify that the no ip finger command is present. For any version prior to 12.0, verify that the no service finger command is present.</t>
    </r>
  </si>
  <si>
    <t>V-3080</t>
  </si>
  <si>
    <r>
      <rPr>
        <sz val="11"/>
        <rFont val="Calibri"/>
      </rPr>
      <t>The Configuration auto-loading feature must be disabled when connected to an operational network.</t>
    </r>
  </si>
  <si>
    <r>
      <rPr>
        <sz val="11"/>
        <color rgb="FF000000"/>
        <rFont val="Calibri"/>
      </rPr>
      <t>Disable the configuration auto-loading feature, when connected to an operational network.</t>
    </r>
  </si>
  <si>
    <r>
      <rPr>
        <sz val="11"/>
        <color rgb="FF000000"/>
        <rFont val="Calibri"/>
      </rPr>
      <t>Devices can find their startup configuration either in their own NVRAM or access it over the network via TFTP or Remote Copy (rcp). Loading the image from the network is taking a security risk since the image could be intercepted by an attacker who could corrupt the image resulting in a denial of service. Configuration auto-loading can be enabled when the device is connected to a non-operational network. Once the device is connected to an operational (i.e. production) network, configuration auto-loading must be disabled.</t>
    </r>
  </si>
  <si>
    <r>
      <rPr>
        <sz val="11"/>
        <color rgb="FF000000"/>
        <rFont val="Calibri"/>
      </rPr>
      <t>Review the device configuration to determine if the configuration auto-loading feature is disabled.</t>
    </r>
    <r>
      <rPr>
        <sz val="11"/>
        <color rgb="FF000000"/>
        <rFont val="Calibri"/>
      </rPr>
      <t xml:space="preserve">
</t>
    </r>
    <r>
      <rPr>
        <sz val="11"/>
        <color rgb="FF000000"/>
        <rFont val="Calibri"/>
      </rPr>
      <t>If the configuration auto-loading feature is enabled when the device is connected to an operational network, this is a finding.</t>
    </r>
  </si>
  <si>
    <t>V-3081</t>
  </si>
  <si>
    <r>
      <rPr>
        <sz val="11"/>
        <rFont val="Calibri"/>
      </rPr>
      <t>The router must have IP source routing disabled.</t>
    </r>
  </si>
  <si>
    <r>
      <rPr>
        <sz val="11"/>
        <color rgb="FF000000"/>
        <rFont val="Calibri"/>
      </rPr>
      <t>Configure the router to disable IP source routing.</t>
    </r>
  </si>
  <si>
    <r>
      <rPr>
        <sz val="11"/>
        <color rgb="FF000000"/>
        <rFont val="Calibri"/>
      </rPr>
      <t>Source routing is a feature of IP, whereby individual packets can specify routes. This feature is used in several different network attacks by bypassing perimeter and internal defense mechanisms.</t>
    </r>
  </si>
  <si>
    <r>
      <rPr>
        <sz val="11"/>
        <color rgb="FF000000"/>
        <rFont val="Calibri"/>
      </rPr>
      <t>Review the configuration to determine if source routing is enabled. The IOS command no ip source-route must be included in the configuration.</t>
    </r>
  </si>
  <si>
    <t>V-3083</t>
  </si>
  <si>
    <r>
      <rPr>
        <sz val="11"/>
        <rFont val="Calibri"/>
      </rPr>
      <t>IP directed broadcast must be disabled on all layer 3 interfaces.</t>
    </r>
  </si>
  <si>
    <r>
      <rPr>
        <sz val="11"/>
        <color rgb="FF000000"/>
        <rFont val="Calibri"/>
      </rPr>
      <t>Disable IP directed broadcasts on all layer 3 interfaces.</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</si>
  <si>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 of Service (DoS), attacks. In a smurf attack, the attacker sends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 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leaving the multicast transit area respectively. The last-hop router must convert the multicast to broadcast. Hence, this interface must be configured to forward a broadcast packet (i.e. a directed broadcast address is converted to the all nodes broadcast address).</t>
    </r>
  </si>
  <si>
    <r>
      <rPr>
        <sz val="11"/>
        <color rgb="FF000000"/>
        <rFont val="Calibri"/>
      </rPr>
      <t xml:space="preserve">IP directed broadcast is disabled by default in IOS version 12.0 and higher so the command "no ip directed-broadcast" will not be displayed in the running configuration--verify that the running configuration does not contain the command "ip directed-broadcast". For versions prior to 12.0 ensure the command "no ip directed-broadcast" is displayed in the running configuration. </t>
    </r>
    <r>
      <rPr>
        <sz val="11"/>
        <color rgb="FF000000"/>
        <rFont val="Calibri"/>
      </rPr>
      <t xml:space="preserve">
</t>
    </r>
    <r>
      <rPr>
        <sz val="11"/>
        <color rgb="FF000000"/>
        <rFont val="Calibri"/>
      </rPr>
      <t>If IP directed broadcasts are enabled on layer 3 interfaces, this is a finding.</t>
    </r>
  </si>
  <si>
    <t>V-3085</t>
  </si>
  <si>
    <r>
      <rPr>
        <sz val="11"/>
        <rFont val="Calibri"/>
      </rPr>
      <t>The network element must have HTTP service for administrative access disabled.</t>
    </r>
  </si>
  <si>
    <r>
      <rPr>
        <sz val="11"/>
        <color rgb="FF000000"/>
        <rFont val="Calibri"/>
      </rPr>
      <t>Configure the device to disable using HTTP (port 80) for administrative access.</t>
    </r>
  </si>
  <si>
    <r>
      <rPr>
        <sz val="11"/>
        <color rgb="FF000000"/>
        <rFont val="Calibri"/>
      </rPr>
      <t>The additional services the router is enabled for increases the risk for an attack since the router will listen for these services. In addition, these services provide an unsecured method for an attacker to gain access to the router. Most recent software versions support remote configuration and monitoring using the World Wide Web's HTTP protocol. In general, HTTP access is equivalent to interactive access to the router. The authentication protocol used for HTTP is equivalent to sending a clear-text password across the network, and, unfortunately, there is no effective provision in HTTP for challenge-based or one-time passwords. This makes HTTP a relatively risky choice for use across the public Internet. Any additional services that are enabled increase the risk for an attack since the router will listen for these services. The HTTPS server may be enabled for administrative access.</t>
    </r>
  </si>
  <si>
    <r>
      <rPr>
        <sz val="11"/>
        <color rgb="FF000000"/>
        <rFont val="Calibri"/>
      </rPr>
      <t>Verify the command "ip http-server" is not enabled in the configuration (the HTTPS server may be enabled for administrative access). As of 12.4, the http server is disabled by default. However, since many defaults are not shown by IOS, you may not see the command "no ip http-server" in the configuration depending on the release.</t>
    </r>
    <r>
      <rPr>
        <sz val="11"/>
        <color rgb="FF000000"/>
        <rFont val="Calibri"/>
      </rPr>
      <t xml:space="preserve">
</t>
    </r>
    <r>
      <rPr>
        <sz val="11"/>
        <color rgb="FF000000"/>
        <rFont val="Calibri"/>
      </rPr>
      <t>If the HTTP server is enabled, this is a finding.</t>
    </r>
  </si>
  <si>
    <t>V-3086</t>
  </si>
  <si>
    <r>
      <rPr>
        <sz val="11"/>
        <rFont val="Calibri"/>
      </rPr>
      <t>BOOTP services must be disabled.</t>
    </r>
  </si>
  <si>
    <r>
      <rPr>
        <sz val="11"/>
        <color rgb="FF000000"/>
        <rFont val="Calibri"/>
      </rPr>
      <t>Configure the device to disable all BOOTP services.</t>
    </r>
  </si>
  <si>
    <r>
      <rPr>
        <sz val="11"/>
        <color rgb="FF000000"/>
        <rFont val="Calibri"/>
      </rPr>
      <t>BOOTP is a user datagram protocol (UDP) that can be used by Cisco routers to access copies of Cisco IOS Software on another Cisco router running the BOOTP service. In this scenario, one Cisco router acts as a Cisco IOS Software server that can download the software to other Cisco routers acting as BOOTP clients. In reality, this service is rarely used and can allow an attacker to download a copy of a router's Cisco IOS Software.</t>
    </r>
  </si>
  <si>
    <r>
      <rPr>
        <sz val="11"/>
        <color rgb="FF000000"/>
        <rFont val="Calibri"/>
      </rPr>
      <t xml:space="preserve">Review the device configuration to determine if BOOTP services are enabled. </t>
    </r>
    <r>
      <rPr>
        <sz val="11"/>
        <color rgb="FF000000"/>
        <rFont val="Calibri"/>
      </rPr>
      <t xml:space="preserve">
</t>
    </r>
    <r>
      <rPr>
        <sz val="11"/>
        <color rgb="FF000000"/>
        <rFont val="Calibri"/>
      </rPr>
      <t>If BOOTP is enabled, this is a finding.</t>
    </r>
  </si>
  <si>
    <t>V-3143</t>
  </si>
  <si>
    <r>
      <rPr>
        <sz val="11"/>
        <rFont val="Calibri"/>
      </rPr>
      <t>Network devices must not have any default manufacturer passwords.</t>
    </r>
  </si>
  <si>
    <r>
      <rPr>
        <sz val="11"/>
        <color rgb="FF000000"/>
        <rFont val="Calibri"/>
      </rPr>
      <t>Remove any vendor default passwords from the network devices configuration.</t>
    </r>
  </si>
  <si>
    <r>
      <rPr>
        <sz val="11"/>
        <color rgb="FF000000"/>
        <rFont val="Calibri"/>
      </rPr>
      <t>Network devices not protected with strong password schemes provide the opportunity for anyone to crack the password thus gaining access to the device and causing network outage or denial of service. Many default vendor passwords are well-known; hence, not removing them prior to deploying the network devices into production provides an opportunity for a malicious user to gain unauthorized access to the device.</t>
    </r>
  </si>
  <si>
    <r>
      <rPr>
        <sz val="11"/>
        <color rgb="FF000000"/>
        <rFont val="Calibri"/>
      </rPr>
      <t>Review the network devices configuration to determine if the vendor default password is active.</t>
    </r>
    <r>
      <rPr>
        <sz val="11"/>
        <color rgb="FF000000"/>
        <rFont val="Calibri"/>
      </rPr>
      <t xml:space="preserve">
</t>
    </r>
    <r>
      <rPr>
        <sz val="11"/>
        <color rgb="FF000000"/>
        <rFont val="Calibri"/>
      </rPr>
      <t>If any vendor default passwords are used on the device, this is a finding.</t>
    </r>
  </si>
  <si>
    <t>V-3160</t>
  </si>
  <si>
    <r>
      <rPr>
        <sz val="11"/>
        <rFont val="Calibri"/>
      </rPr>
      <t>The network element must be running a current and supported operating system with all IAVMs addressed.</t>
    </r>
  </si>
  <si>
    <r>
      <rPr>
        <sz val="11"/>
        <color rgb="FF000000"/>
        <rFont val="Calibri"/>
      </rPr>
      <t>Update operating system to a supported version that addresses all related IAVMs.</t>
    </r>
  </si>
  <si>
    <r>
      <rPr>
        <sz val="11"/>
        <color rgb="FF000000"/>
        <rFont val="Calibri"/>
      </rPr>
      <t>Network devices that are not running the latest tested and approved versions of software are vulnerable to network attacks. Running the most current, approved version of system and device software helps the site maintain a stable base of security fixes and patches, as well as enhancements to IP security. Viruses, denial of service attacks, system weaknesses, back doors and other potentially harmful situations could render a system vulnerable, allowing unauthorized access to DoD assets.</t>
    </r>
  </si>
  <si>
    <r>
      <rPr>
        <sz val="11"/>
        <color rgb="FF000000"/>
        <rFont val="Calibri"/>
      </rPr>
      <t xml:space="preserve">Have the administrator enter the show version command to determine the installed IOS version. As of June 2010, the latest major release is 12.4 for routers and 12.2 for switches (both access and multi-layer). The release being used must have all IAVMs resolved and must not be in a Cisco deferred status or has been made obsolete. </t>
    </r>
    <r>
      <rPr>
        <sz val="11"/>
        <color rgb="FF000000"/>
        <rFont val="Calibri"/>
      </rPr>
      <t xml:space="preserve">
</t>
    </r>
    <r>
      <rPr>
        <sz val="11"/>
        <color rgb="FF000000"/>
        <rFont val="Calibri"/>
      </rPr>
      <t>Ask the administrator login to the Cisco Software Center to download software. Select the specific router or switch model. Select the IOS Software link and then Verify that the release being used is listed under the release family (will need to expand the list) and not in the deferred list. If the release is not listed in either the release family or deferred, then the release is obsolete.</t>
    </r>
    <r>
      <rPr>
        <sz val="11"/>
        <color rgb="FF000000"/>
        <rFont val="Calibri"/>
      </rPr>
      <t xml:space="preserve">
</t>
    </r>
    <r>
      <rPr>
        <sz val="11"/>
        <color rgb="FF000000"/>
        <rFont val="Calibri"/>
      </rPr>
      <t>Verify that all IAVMs have been addressed.</t>
    </r>
    <r>
      <rPr>
        <sz val="11"/>
        <color rgb="FF000000"/>
        <rFont val="Calibri"/>
      </rPr>
      <t xml:space="preserve">
</t>
    </r>
    <r>
      <rPr>
        <sz val="11"/>
        <color rgb="FF000000"/>
        <rFont val="Calibri"/>
      </rPr>
      <t>Note: Cisco software in a differed state will still be at the Cisco Software Center and available for download under the deferred group, whereas software made obsolete is no longer available for download. Deferred status occurs when a software maintenance release is made obsolete and removed from order ability and service outside of Cisco's normal release schedule, or Cisco cancels a scheduled maintenance release from reaching the First-Customer-Ship (FCS) milestone. Deferrals are most often related to software quality issues. A deferral can be performed for an entire maintenance release, or just for certain sets of platforms or features within a release. A deferral prior to the FCS milestone may be performed by Cisco to protect customers from receiving software with known catastrophic defects. A deferral after FCS will expedite obsolescence for the release to limit the exposure of customers.</t>
    </r>
  </si>
  <si>
    <t>V-3175</t>
  </si>
  <si>
    <r>
      <rPr>
        <sz val="11"/>
        <rFont val="Calibri"/>
      </rPr>
      <t>The network devices must require authentication prior to establishing a management connection for administrative access.</t>
    </r>
  </si>
  <si>
    <r>
      <rPr>
        <sz val="11"/>
        <color rgb="FF000000"/>
        <rFont val="Calibri"/>
      </rPr>
      <t>Configure authentication for all management connections.</t>
    </r>
  </si>
  <si>
    <r>
      <rPr>
        <sz val="11"/>
        <color rgb="FF000000"/>
        <rFont val="Calibri"/>
      </rPr>
      <t>Network devices with no password for administrative access via a management connection provide the opportunity for anyone with network access to the device to make configuration changes enabling them to disrupt network operations resulting in a network outage.</t>
    </r>
  </si>
  <si>
    <r>
      <rPr>
        <sz val="11"/>
        <color rgb="FF000000"/>
        <rFont val="Calibri"/>
      </rPr>
      <t>Review the network device configuration to verify all management connections for administrative access require authentication.</t>
    </r>
    <r>
      <rPr>
        <sz val="11"/>
        <color rgb="FF000000"/>
        <rFont val="Calibri"/>
      </rPr>
      <t xml:space="preserve">
</t>
    </r>
    <r>
      <rPr>
        <sz val="11"/>
        <color rgb="FF000000"/>
        <rFont val="Calibri"/>
      </rPr>
      <t>aaa authentication login AUTH_LIST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 xml:space="preserve"> login authentication AUTH_LIST</t>
    </r>
    <r>
      <rPr>
        <sz val="11"/>
        <color rgb="FF000000"/>
        <rFont val="Calibri"/>
      </rPr>
      <t xml:space="preserve">
</t>
    </r>
    <r>
      <rPr>
        <sz val="11"/>
        <color rgb="FF000000"/>
        <rFont val="Calibri"/>
      </rPr>
      <t xml:space="preserve"> exec-timeout 10 0</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Or using the default method list as shown in the example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aaa authentication login default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 xml:space="preserve"> exec-timeout 10 0</t>
    </r>
    <r>
      <rPr>
        <sz val="11"/>
        <color rgb="FF000000"/>
        <rFont val="Calibri"/>
      </rPr>
      <t xml:space="preserve">
</t>
    </r>
    <r>
      <rPr>
        <sz val="11"/>
        <color rgb="FF000000"/>
        <rFont val="Calibri"/>
      </rPr>
      <t xml:space="preserve"> transport input ssh</t>
    </r>
  </si>
  <si>
    <t>V-3196</t>
  </si>
  <si>
    <r>
      <rPr>
        <sz val="11"/>
        <rFont val="Calibri"/>
      </rPr>
      <t>The network device must use SNMP Version 3 Security Model with FIPS 140-2 validated cryptography for any SNMP agent configured on the device.</t>
    </r>
  </si>
  <si>
    <r>
      <rPr>
        <sz val="11"/>
        <color rgb="FF000000"/>
        <rFont val="Calibri"/>
      </rPr>
      <t>If SNMP is enabled, configure the network device to use SNMP Version 3 Security Model with FIPS 140-2 validated cryptography (i.e., SHA authentication and AES encryption).</t>
    </r>
  </si>
  <si>
    <r>
      <rPr>
        <sz val="11"/>
        <color rgb="FF000000"/>
        <rFont val="Calibri"/>
      </rPr>
      <t>SNMP Versions 1 and 2 are not considered secure. Without the strong authentication and privacy that is provided by the SNMP Version 3 User-based Security Model (USM), an unauthorized user can gain access to network management information used to launch an attack against the network.</t>
    </r>
  </si>
  <si>
    <r>
      <rPr>
        <sz val="11"/>
        <color rgb="FF000000"/>
        <rFont val="Calibri"/>
      </rPr>
      <t>Review the device configuration to verify it is configured to use SNMPv3 with both SHA authentication and privacy using AES encryption.</t>
    </r>
    <r>
      <rPr>
        <sz val="11"/>
        <color rgb="FF000000"/>
        <rFont val="Calibri"/>
      </rPr>
      <t xml:space="preserve">
</t>
    </r>
    <r>
      <rPr>
        <sz val="11"/>
        <color rgb="FF000000"/>
        <rFont val="Calibri"/>
      </rPr>
      <t>Downgrades:</t>
    </r>
    <r>
      <rPr>
        <sz val="11"/>
        <color rgb="FF000000"/>
        <rFont val="Calibri"/>
      </rPr>
      <t xml:space="preserve">
</t>
    </r>
    <r>
      <rPr>
        <sz val="11"/>
        <color rgb="FF000000"/>
        <rFont val="Calibri"/>
      </rPr>
      <t>If the site is using Version 1 or Version 2 with all of the appropriate patches and has developed a migration plan to implement the Version 3 Security Model, this finding can be downgraded to a Category II.</t>
    </r>
    <r>
      <rPr>
        <sz val="11"/>
        <color rgb="FF000000"/>
        <rFont val="Calibri"/>
      </rPr>
      <t xml:space="preserve">
</t>
    </r>
    <r>
      <rPr>
        <sz val="11"/>
        <color rgb="FF000000"/>
        <rFont val="Calibri"/>
      </rPr>
      <t>If the targeted asset is running SNMPv3 and does not support SHA or AES, but the device is configured to use MD5 authentication and DES or 3DES encryption, then the finding can be downgraded to a Category III.</t>
    </r>
    <r>
      <rPr>
        <sz val="11"/>
        <color rgb="FF000000"/>
        <rFont val="Calibri"/>
      </rPr>
      <t xml:space="preserve">
</t>
    </r>
    <r>
      <rPr>
        <sz val="11"/>
        <color rgb="FF000000"/>
        <rFont val="Calibri"/>
      </rPr>
      <t>If the site is using Version 1 or Version 2 and has installed all of the appropriate patches or upgrades to mitigate any known security vulnerabilities, this finding can be downgraded to a Category II. In addition, if the device does not support SNMPv3, this finding can be downgraded to a Category III provided all of the appropriate patches to mitigate any known security vulnerabilities have been applied and has developed a migration plan that includes the device upgrade to support Version 3 and the implementation of the Version 3 Security Model.</t>
    </r>
    <r>
      <rPr>
        <sz val="11"/>
        <color rgb="FF000000"/>
        <rFont val="Calibri"/>
      </rPr>
      <t xml:space="preserve">
</t>
    </r>
    <r>
      <rPr>
        <sz val="11"/>
        <color rgb="FF000000"/>
        <rFont val="Calibri"/>
      </rPr>
      <t>If the device is configured to use to anything other than SNMPv3 with at least SHA-1 and AES, this is a finding. Downgrades can be determined based on the criteria above.</t>
    </r>
  </si>
  <si>
    <t>V-3210</t>
  </si>
  <si>
    <r>
      <rPr>
        <sz val="11"/>
        <rFont val="Calibri"/>
      </rPr>
      <t>The network device must not use the default or well-known SNMP community strings public and private.</t>
    </r>
  </si>
  <si>
    <r>
      <rPr>
        <sz val="11"/>
        <color rgb="FF000000"/>
        <rFont val="Calibri"/>
      </rPr>
      <t>Configure unique SNMP community strings replacing the default community strings.</t>
    </r>
  </si>
  <si>
    <r>
      <rPr>
        <sz val="11"/>
        <color rgb="FF000000"/>
        <rFont val="Calibri"/>
      </rPr>
      <t>Network devices may be distributed by the vendor pre-configured with an SNMP agent using the well-known SNMP community strings public for read only and private for read and write authorization. An attacker can obtain information about a network device using the read community string "public". In addition, an attacker can change a system configuration using the write community string "private".</t>
    </r>
  </si>
  <si>
    <r>
      <rPr>
        <sz val="11"/>
        <color rgb="FF000000"/>
        <rFont val="Calibri"/>
      </rPr>
      <t>Review the network devices configuration and verify if either of the SNMP community strings "public" or "private" is being used.</t>
    </r>
    <r>
      <rPr>
        <sz val="11"/>
        <color rgb="FF000000"/>
        <rFont val="Calibri"/>
      </rPr>
      <t xml:space="preserve">
</t>
    </r>
    <r>
      <rPr>
        <sz val="11"/>
        <color rgb="FF000000"/>
        <rFont val="Calibri"/>
      </rPr>
      <t>If default or well-known community strings are used for SNMP, this is a finding.</t>
    </r>
  </si>
  <si>
    <t>V-3966</t>
  </si>
  <si>
    <r>
      <rPr>
        <sz val="11"/>
        <rFont val="Calibri"/>
      </rPr>
      <t>In the event the authentication server is unavailable, the network device must have a single local account of last resort defined.</t>
    </r>
  </si>
  <si>
    <r>
      <rPr>
        <sz val="11"/>
        <color rgb="FF000000"/>
        <rFont val="Calibri"/>
      </rPr>
      <t>Configure the device to only allow one local account of last resort for emergency access and store the credentials in a secure manner.</t>
    </r>
  </si>
  <si>
    <r>
      <rPr>
        <sz val="11"/>
        <color rgb="FF000000"/>
        <rFont val="Calibri"/>
      </rPr>
      <t>Authentication for administrative access to the device is required at all times. A single account of last resort can be created on the device's local database for use in an emergency such as when the authentication server is down or connectivity between the device and the authentication server is not operable. The console or local account of last resort logon credentials must be stored in a sealed envelope and kept in a safe.</t>
    </r>
  </si>
  <si>
    <r>
      <rPr>
        <sz val="11"/>
        <color rgb="FF000000"/>
        <rFont val="Calibri"/>
      </rPr>
      <t>Review the network device configuration to determine if an authentication server is defined for gaining administrative access. If so, there must be only one local account of last resort configured locally for an emergency.</t>
    </r>
    <r>
      <rPr>
        <sz val="11"/>
        <color rgb="FF000000"/>
        <rFont val="Calibri"/>
      </rPr>
      <t xml:space="preserve">
</t>
    </r>
    <r>
      <rPr>
        <sz val="11"/>
        <color rgb="FF000000"/>
        <rFont val="Calibri"/>
      </rPr>
      <t>Verify the username and password for the local account of last resort is contained within a sealed envelope kept in a safe.</t>
    </r>
    <r>
      <rPr>
        <sz val="11"/>
        <color rgb="FF000000"/>
        <rFont val="Calibri"/>
      </rPr>
      <t xml:space="preserve">
</t>
    </r>
    <r>
      <rPr>
        <sz val="11"/>
        <color rgb="FF000000"/>
        <rFont val="Calibri"/>
      </rPr>
      <t>If an authentication server is used and more than one local account exists, this is a finding.</t>
    </r>
  </si>
  <si>
    <t>V-3967</t>
  </si>
  <si>
    <r>
      <rPr>
        <sz val="11"/>
        <rFont val="Calibri"/>
      </rPr>
      <t>The network element must time out access to the console port after 10 minutes or less of inactivity.</t>
    </r>
  </si>
  <si>
    <r>
      <rPr>
        <sz val="11"/>
        <color rgb="FF000000"/>
        <rFont val="Calibri"/>
      </rPr>
      <t>Configure the timeout for idle console connection to 10 minutes or less.</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</si>
  <si>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Setting the timeout of the session to 10 minutes or less increases the level of protection afforded critical network components.</t>
    </r>
  </si>
  <si>
    <r>
      <rPr>
        <sz val="11"/>
        <color rgb="FF000000"/>
        <rFont val="Calibri"/>
      </rPr>
      <t>Review the configuration and verify that a session using the console port will time out after 10 minutes or less of inactivity as shown in the following example:</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exec-timeout 10 0</t>
    </r>
  </si>
  <si>
    <t>V-3969</t>
  </si>
  <si>
    <r>
      <rPr>
        <sz val="11"/>
        <rFont val="Calibri"/>
      </rPr>
      <t>The network device must only allow SNMP read-only access.</t>
    </r>
  </si>
  <si>
    <r>
      <rPr>
        <sz val="11"/>
        <color rgb="FF000000"/>
        <rFont val="Calibri"/>
      </rPr>
      <t>Configure the network device to allow for read-only SNMP access when using SNMPv1, v2c, or basic v3 (no authentication or privacy). Write access may be used if authentication is configured when using SNMPv3.</t>
    </r>
  </si>
  <si>
    <r>
      <rPr>
        <sz val="11"/>
        <color rgb="FF000000"/>
        <rFont val="Calibri"/>
      </rPr>
      <t>Enabling write access to the device via SNMP provides a mechanism that can be exploited by an attacker to set configuration variables that can disrupt network operations.</t>
    </r>
  </si>
  <si>
    <r>
      <rPr>
        <sz val="11"/>
        <color rgb="FF000000"/>
        <rFont val="Calibri"/>
      </rPr>
      <t xml:space="preserve">Review the network device configuration and verify SNMP community strings are read-only when using SNMPv1, v2c, or basic v3 (no authentication or privacy). Write access may be used if authentication is configured when using SNMPv3. </t>
    </r>
    <r>
      <rPr>
        <sz val="11"/>
        <color rgb="FF000000"/>
        <rFont val="Calibri"/>
      </rPr>
      <t xml:space="preserve">
</t>
    </r>
    <r>
      <rPr>
        <sz val="11"/>
        <color rgb="FF000000"/>
        <rFont val="Calibri"/>
      </rPr>
      <t>If write-access is used for SNMP versions 1, 2c, or 3-noAuthNoPriv mode and there is no documented approval by the IAO, this is a finding.</t>
    </r>
    <r>
      <rPr>
        <sz val="11"/>
        <color rgb="FF000000"/>
        <rFont val="Calibri"/>
      </rPr>
      <t xml:space="preserve">
</t>
    </r>
    <r>
      <rPr>
        <sz val="11"/>
        <color rgb="FF000000"/>
        <rFont val="Calibri"/>
      </rPr>
      <t>SNMP v1/v2c Configuration Example</t>
    </r>
    <r>
      <rPr>
        <sz val="11"/>
        <color rgb="FF000000"/>
        <rFont val="Calibri"/>
      </rPr>
      <t xml:space="preserve">
</t>
    </r>
    <r>
      <rPr>
        <sz val="11"/>
        <color rgb="FF000000"/>
        <rFont val="Calibri"/>
      </rPr>
      <t>Device# show run</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snmp-server community c0macc3ss RO NMS_LIST</t>
    </r>
    <r>
      <rPr>
        <sz val="11"/>
        <color rgb="FF000000"/>
        <rFont val="Calibri"/>
      </rPr>
      <t xml:space="preserve">
</t>
    </r>
    <r>
      <rPr>
        <sz val="11"/>
        <color rgb="FF000000"/>
        <rFont val="Calibri"/>
      </rPr>
      <t>snmp-server community R34dWr1t3 RW NMS_LIST</t>
    </r>
    <r>
      <rPr>
        <sz val="11"/>
        <color rgb="FF000000"/>
        <rFont val="Calibri"/>
      </rPr>
      <t xml:space="preserve">
</t>
    </r>
    <r>
      <rPr>
        <sz val="11"/>
        <color rgb="FF000000"/>
        <rFont val="Calibri"/>
      </rPr>
      <t>snmp-server location Somewhere USA</t>
    </r>
    <r>
      <rPr>
        <sz val="11"/>
        <color rgb="FF000000"/>
        <rFont val="Calibri"/>
      </rPr>
      <t xml:space="preserve">
</t>
    </r>
    <r>
      <rPr>
        <sz val="11"/>
        <color rgb="FF000000"/>
        <rFont val="Calibri"/>
      </rPr>
      <t>snmp-server contact snmp.admin@snmp.mil</t>
    </r>
    <r>
      <rPr>
        <sz val="11"/>
        <color rgb="FF000000"/>
        <rFont val="Calibri"/>
      </rPr>
      <t xml:space="preserve">
</t>
    </r>
    <r>
      <rPr>
        <sz val="11"/>
        <color rgb="FF000000"/>
        <rFont val="Calibri"/>
      </rPr>
      <t>snmp-server enable traps</t>
    </r>
    <r>
      <rPr>
        <sz val="11"/>
        <color rgb="FF000000"/>
        <rFont val="Calibri"/>
      </rPr>
      <t xml:space="preserve">
</t>
    </r>
    <r>
      <rPr>
        <sz val="11"/>
        <color rgb="FF000000"/>
        <rFont val="Calibri"/>
      </rPr>
      <t>snmp host 10.1.1.22 traps SNMPv1</t>
    </r>
    <r>
      <rPr>
        <sz val="11"/>
        <color rgb="FF000000"/>
        <rFont val="Calibri"/>
      </rPr>
      <t xml:space="preserve">
</t>
    </r>
    <r>
      <rPr>
        <sz val="11"/>
        <color rgb="FF000000"/>
        <rFont val="Calibri"/>
      </rPr>
      <t>snmp host 10.1.1.24 traps SNMPv2c</t>
    </r>
    <r>
      <rPr>
        <sz val="11"/>
        <color rgb="FF000000"/>
        <rFont val="Calibri"/>
      </rPr>
      <t xml:space="preserve">
</t>
    </r>
    <r>
      <rPr>
        <sz val="11"/>
        <color rgb="FF000000"/>
        <rFont val="Calibri"/>
      </rPr>
      <t>SNMP v3 Configuration Example</t>
    </r>
    <r>
      <rPr>
        <sz val="11"/>
        <color rgb="FF000000"/>
        <rFont val="Calibri"/>
      </rPr>
      <t xml:space="preserve">
</t>
    </r>
    <r>
      <rPr>
        <sz val="11"/>
        <color rgb="FF000000"/>
        <rFont val="Calibri"/>
      </rPr>
      <t>The example ACL NMS_LIST  and ADMIN_LIST are used to define what network management stations and administrator (users) desktops can access the device. Examine all group statements to determine what groups are allowed write access. Have the administrator enter a "show snmp user" command and examine all users for these groups to verify that they must be authenticated.</t>
    </r>
    <r>
      <rPr>
        <sz val="11"/>
        <color rgb="FF000000"/>
        <rFont val="Calibri"/>
      </rPr>
      <t xml:space="preserve">
</t>
    </r>
    <r>
      <rPr>
        <sz val="11"/>
        <color rgb="FF000000"/>
        <rFont val="Calibri"/>
      </rPr>
      <t>Device# show run</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ADMIN_LIST</t>
    </r>
    <r>
      <rPr>
        <sz val="11"/>
        <color rgb="FF000000"/>
        <rFont val="Calibri"/>
      </rPr>
      <t xml:space="preserve">
</t>
    </r>
    <r>
      <rPr>
        <sz val="11"/>
        <color rgb="FF000000"/>
        <rFont val="Calibri"/>
      </rPr>
      <t xml:space="preserve"> permit 10.1.1.35</t>
    </r>
    <r>
      <rPr>
        <sz val="11"/>
        <color rgb="FF000000"/>
        <rFont val="Calibri"/>
      </rPr>
      <t xml:space="preserve">
</t>
    </r>
    <r>
      <rPr>
        <sz val="11"/>
        <color rgb="FF000000"/>
        <rFont val="Calibri"/>
      </rPr>
      <t xml:space="preserve"> permit 10.1.1.36</t>
    </r>
    <r>
      <rPr>
        <sz val="11"/>
        <color rgb="FF000000"/>
        <rFont val="Calibri"/>
      </rPr>
      <t xml:space="preserve">
</t>
    </r>
    <r>
      <rPr>
        <sz val="11"/>
        <color rgb="FF000000"/>
        <rFont val="Calibri"/>
      </rPr>
      <t>ip access-list standard NMS_LIST</t>
    </r>
    <r>
      <rPr>
        <sz val="11"/>
        <color rgb="FF000000"/>
        <rFont val="Calibri"/>
      </rPr>
      <t xml:space="preserve">
</t>
    </r>
    <r>
      <rPr>
        <sz val="11"/>
        <color rgb="FF000000"/>
        <rFont val="Calibri"/>
      </rPr>
      <t xml:space="preserve"> permit 10.1.1.24</t>
    </r>
    <r>
      <rPr>
        <sz val="11"/>
        <color rgb="FF000000"/>
        <rFont val="Calibri"/>
      </rPr>
      <t xml:space="preserve">
</t>
    </r>
    <r>
      <rPr>
        <sz val="11"/>
        <color rgb="FF000000"/>
        <rFont val="Calibri"/>
      </rPr>
      <t xml:space="preserve"> permit 10.1.1.22</t>
    </r>
    <r>
      <rPr>
        <sz val="11"/>
        <color rgb="FF000000"/>
        <rFont val="Calibri"/>
      </rPr>
      <t xml:space="preserve">
</t>
    </r>
    <r>
      <rPr>
        <sz val="11"/>
        <color rgb="FF000000"/>
        <rFont val="Calibri"/>
      </rPr>
      <t xml:space="preserve"> permit 10.1.1.23</t>
    </r>
    <r>
      <rPr>
        <sz val="11"/>
        <color rgb="FF000000"/>
        <rFont val="Calibri"/>
      </rPr>
      <t xml:space="preserve">
</t>
    </r>
    <r>
      <rPr>
        <sz val="11"/>
        <color rgb="FF000000"/>
        <rFont val="Calibri"/>
      </rPr>
      <t>!</t>
    </r>
    <r>
      <rPr>
        <sz val="11"/>
        <color rgb="FF000000"/>
        <rFont val="Calibri"/>
      </rPr>
      <t xml:space="preserve">
</t>
    </r>
    <r>
      <rPr>
        <sz val="11"/>
        <color rgb="FF000000"/>
        <rFont val="Calibri"/>
      </rPr>
      <t>snmp-server group NOC v3 priv read VIEW_ALL write VIEW_LIMIT access NMS_LIST</t>
    </r>
    <r>
      <rPr>
        <sz val="11"/>
        <color rgb="FF000000"/>
        <rFont val="Calibri"/>
      </rPr>
      <t xml:space="preserve">
</t>
    </r>
    <r>
      <rPr>
        <sz val="11"/>
        <color rgb="FF000000"/>
        <rFont val="Calibri"/>
      </rPr>
      <t>snmp-server group TRAP_GROUP v3 priv notify</t>
    </r>
    <r>
      <rPr>
        <sz val="11"/>
        <color rgb="FF000000"/>
        <rFont val="Calibri"/>
      </rPr>
      <t xml:space="preserve">
</t>
    </r>
    <r>
      <rPr>
        <sz val="11"/>
        <color rgb="FF000000"/>
        <rFont val="Calibri"/>
      </rPr>
      <t xml:space="preserve">*tv.FFFFFFFF.FFFFFFFF.FFFFFFFF.FFFFFFFF0F </t>
    </r>
    <r>
      <rPr>
        <sz val="11"/>
        <color rgb="FF000000"/>
        <rFont val="Calibri"/>
      </rPr>
      <t xml:space="preserve">
</t>
    </r>
    <r>
      <rPr>
        <sz val="11"/>
        <color rgb="FF000000"/>
        <rFont val="Calibri"/>
      </rPr>
      <t>snmp-server group ADMIN_GROUP v3 priv read VIEW_ALL write VIEW_ALL access ADMIN_LIST</t>
    </r>
    <r>
      <rPr>
        <sz val="11"/>
        <color rgb="FF000000"/>
        <rFont val="Calibri"/>
      </rPr>
      <t xml:space="preserve">
</t>
    </r>
    <r>
      <rPr>
        <sz val="11"/>
        <color rgb="FF000000"/>
        <rFont val="Calibri"/>
      </rPr>
      <t>snmp-server view VIEW_ALL internet included</t>
    </r>
    <r>
      <rPr>
        <sz val="11"/>
        <color rgb="FF000000"/>
        <rFont val="Calibri"/>
      </rPr>
      <t xml:space="preserve">
</t>
    </r>
    <r>
      <rPr>
        <sz val="11"/>
        <color rgb="FF000000"/>
        <rFont val="Calibri"/>
      </rPr>
      <t>snmp-server view VIEW_LIMIT internet included</t>
    </r>
    <r>
      <rPr>
        <sz val="11"/>
        <color rgb="FF000000"/>
        <rFont val="Calibri"/>
      </rPr>
      <t xml:space="preserve">
</t>
    </r>
    <r>
      <rPr>
        <sz val="11"/>
        <color rgb="FF000000"/>
        <rFont val="Calibri"/>
      </rPr>
      <t>snmp-server view VIEW_LIMIT internet.6.3.15 excluded</t>
    </r>
    <r>
      <rPr>
        <sz val="11"/>
        <color rgb="FF000000"/>
        <rFont val="Calibri"/>
      </rPr>
      <t xml:space="preserve">
</t>
    </r>
    <r>
      <rPr>
        <sz val="11"/>
        <color rgb="FF000000"/>
        <rFont val="Calibri"/>
      </rPr>
      <t>snmp-server view VIEW_LIMIT internet.6.3.16 excluded</t>
    </r>
    <r>
      <rPr>
        <sz val="11"/>
        <color rgb="FF000000"/>
        <rFont val="Calibri"/>
      </rPr>
      <t xml:space="preserve">
</t>
    </r>
    <r>
      <rPr>
        <sz val="11"/>
        <color rgb="FF000000"/>
        <rFont val="Calibri"/>
      </rPr>
      <t>snmp-server view VIEW_LIMIT internet.6.3.18 excluded</t>
    </r>
    <r>
      <rPr>
        <sz val="11"/>
        <color rgb="FF000000"/>
        <rFont val="Calibri"/>
      </rPr>
      <t xml:space="preserve">
</t>
    </r>
    <r>
      <rPr>
        <sz val="11"/>
        <color rgb="FF000000"/>
        <rFont val="Calibri"/>
      </rPr>
      <t>snmp-server enable traps snmp linkdown linkup</t>
    </r>
    <r>
      <rPr>
        <sz val="11"/>
        <color rgb="FF000000"/>
        <rFont val="Calibri"/>
      </rPr>
      <t xml:space="preserve">
</t>
    </r>
    <r>
      <rPr>
        <sz val="11"/>
        <color rgb="FF000000"/>
        <rFont val="Calibri"/>
      </rPr>
      <t xml:space="preserve">snmp-server host 10.1.1.24 version 3 priv TRAP_NMS1 </t>
    </r>
    <r>
      <rPr>
        <sz val="11"/>
        <color rgb="FF000000"/>
        <rFont val="Calibri"/>
      </rPr>
      <t xml:space="preserve">
</t>
    </r>
    <r>
      <rPr>
        <sz val="11"/>
        <color rgb="FF000000"/>
        <rFont val="Calibri"/>
      </rPr>
      <t>Note: For the configured group TRAP_GROUP, the notify view is auto-generated by the snmp-server host command which bind the user (TRAP_NMS1) and the group it belongs to (TRAP_GROUP) to the list of notifications (traps or informs) which are sent to the host. Hence, the configuration snmp-server group TRAP_GROUP v3 results in the following:</t>
    </r>
    <r>
      <rPr>
        <sz val="11"/>
        <color rgb="FF000000"/>
        <rFont val="Calibri"/>
      </rPr>
      <t xml:space="preserve">
</t>
    </r>
    <r>
      <rPr>
        <sz val="11"/>
        <color rgb="FF000000"/>
        <rFont val="Calibri"/>
      </rPr>
      <t>snmp-server group TRAP_GROUP v3 priv notify *tv.FFFFFFFF.FFFFFFFF.FFFFFFFF.FFFFFFFF0F</t>
    </r>
    <r>
      <rPr>
        <sz val="11"/>
        <color rgb="FF000000"/>
        <rFont val="Calibri"/>
      </rPr>
      <t xml:space="preserve">
</t>
    </r>
    <r>
      <rPr>
        <sz val="11"/>
        <color rgb="FF000000"/>
        <rFont val="Calibri"/>
      </rPr>
      <t>Note: Also, for illustration purpose only, the VIEW_LIMIT excludes MIB objects which could potentially reveal information about configured SNMP credentials. These objects are snmpUsmMIB, snmpVacmMIB, and snmpCommunityMIB which is configured as 1.3.6.1.6.3.15, 1.3.6.1.6.3.16, and 1.3.6.1.6.3.18 respectively</t>
    </r>
    <r>
      <rPr>
        <sz val="11"/>
        <color rgb="FF000000"/>
        <rFont val="Calibri"/>
      </rPr>
      <t xml:space="preserve">
</t>
    </r>
    <r>
      <rPr>
        <sz val="11"/>
        <color rgb="FF000000"/>
        <rFont val="Calibri"/>
      </rPr>
      <t>SNMPv3 users are not shown in a running configuration. You can view them with the show "snmp user" command. So for example, if the following users were configured as such.</t>
    </r>
    <r>
      <rPr>
        <sz val="11"/>
        <color rgb="FF000000"/>
        <rFont val="Calibri"/>
      </rPr>
      <t xml:space="preserve">
</t>
    </r>
    <r>
      <rPr>
        <sz val="11"/>
        <color rgb="FF000000"/>
        <rFont val="Calibri"/>
      </rPr>
      <t>snmp-server user HP_OV NOC v3 auth sha HPOVpswd priv aes 256 HPOVsecretkey</t>
    </r>
    <r>
      <rPr>
        <sz val="11"/>
        <color rgb="FF000000"/>
        <rFont val="Calibri"/>
      </rPr>
      <t xml:space="preserve">
</t>
    </r>
    <r>
      <rPr>
        <sz val="11"/>
        <color rgb="FF000000"/>
        <rFont val="Calibri"/>
      </rPr>
      <t>snmp-server user Admin1 ADMIN_GROUP v3 auth sha Admin1PW priv aes 256 Admin1key</t>
    </r>
    <r>
      <rPr>
        <sz val="11"/>
        <color rgb="FF000000"/>
        <rFont val="Calibri"/>
      </rPr>
      <t xml:space="preserve">
</t>
    </r>
    <r>
      <rPr>
        <sz val="11"/>
        <color rgb="FF000000"/>
        <rFont val="Calibri"/>
      </rPr>
      <t>snmp-server user Admin2 ADMIN_GROUP v3 auth md5 Admin2pass priv 3des Admin2key</t>
    </r>
    <r>
      <rPr>
        <sz val="11"/>
        <color rgb="FF000000"/>
        <rFont val="Calibri"/>
      </rPr>
      <t xml:space="preserve">
</t>
    </r>
    <r>
      <rPr>
        <sz val="11"/>
        <color rgb="FF000000"/>
        <rFont val="Calibri"/>
      </rPr>
      <t>snmp-server user TRAP_NMS1 TRAP_GROUP  v3 auth sha trap_nms1_pw priv aes trap_nms1_key</t>
    </r>
    <r>
      <rPr>
        <sz val="11"/>
        <color rgb="FF000000"/>
        <rFont val="Calibri"/>
      </rPr>
      <t xml:space="preserve">
</t>
    </r>
    <r>
      <rPr>
        <sz val="11"/>
        <color rgb="FF000000"/>
        <rFont val="Calibri"/>
      </rPr>
      <t>The show snmp user command would depict the configured users as follows:</t>
    </r>
    <r>
      <rPr>
        <sz val="11"/>
        <color rgb="FF000000"/>
        <rFont val="Calibri"/>
      </rPr>
      <t xml:space="preserve">
</t>
    </r>
    <r>
      <rPr>
        <sz val="11"/>
        <color rgb="FF000000"/>
        <rFont val="Calibri"/>
      </rPr>
      <t>Device#show snmp user</t>
    </r>
    <r>
      <rPr>
        <sz val="11"/>
        <color rgb="FF000000"/>
        <rFont val="Calibri"/>
      </rPr>
      <t xml:space="preserve">
</t>
    </r>
    <r>
      <rPr>
        <sz val="11"/>
        <color rgb="FF000000"/>
        <rFont val="Calibri"/>
      </rPr>
      <t>User name: HP_OV</t>
    </r>
    <r>
      <rPr>
        <sz val="11"/>
        <color rgb="FF000000"/>
        <rFont val="Calibri"/>
      </rPr>
      <t xml:space="preserve">
</t>
    </r>
    <r>
      <rPr>
        <sz val="11"/>
        <color rgb="FF000000"/>
        <rFont val="Calibri"/>
      </rPr>
      <t>Engine ID: AB12CD34EF56</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NOC</t>
    </r>
    <r>
      <rPr>
        <sz val="11"/>
        <color rgb="FF000000"/>
        <rFont val="Calibri"/>
      </rPr>
      <t xml:space="preserve">
</t>
    </r>
    <r>
      <rPr>
        <sz val="11"/>
        <color rgb="FF000000"/>
        <rFont val="Calibri"/>
      </rPr>
      <t>User name: Admin1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Admin2</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MD5</t>
    </r>
    <r>
      <rPr>
        <sz val="11"/>
        <color rgb="FF000000"/>
        <rFont val="Calibri"/>
      </rPr>
      <t xml:space="preserve">
</t>
    </r>
    <r>
      <rPr>
        <sz val="11"/>
        <color rgb="FF000000"/>
        <rFont val="Calibri"/>
      </rPr>
      <t>Privacy Protocol: 3DES</t>
    </r>
    <r>
      <rPr>
        <sz val="11"/>
        <color rgb="FF000000"/>
        <rFont val="Calibri"/>
      </rPr>
      <t xml:space="preserve">
</t>
    </r>
    <r>
      <rPr>
        <sz val="11"/>
        <color rgb="FF000000"/>
        <rFont val="Calibri"/>
      </rPr>
      <t>Group-name: ADMIN_GROUP</t>
    </r>
    <r>
      <rPr>
        <sz val="11"/>
        <color rgb="FF000000"/>
        <rFont val="Calibri"/>
      </rPr>
      <t xml:space="preserve">
</t>
    </r>
    <r>
      <rPr>
        <sz val="11"/>
        <color rgb="FF000000"/>
        <rFont val="Calibri"/>
      </rPr>
      <t>User name: TRAP_NMS1</t>
    </r>
    <r>
      <rPr>
        <sz val="11"/>
        <color rgb="FF000000"/>
        <rFont val="Calibri"/>
      </rPr>
      <t xml:space="preserve">
</t>
    </r>
    <r>
      <rPr>
        <sz val="11"/>
        <color rgb="FF000000"/>
        <rFont val="Calibri"/>
      </rPr>
      <t>Engine ID: 800000090300C20013080000</t>
    </r>
    <r>
      <rPr>
        <sz val="11"/>
        <color rgb="FF000000"/>
        <rFont val="Calibri"/>
      </rPr>
      <t xml:space="preserve">
</t>
    </r>
    <r>
      <rPr>
        <sz val="11"/>
        <color rgb="FF000000"/>
        <rFont val="Calibri"/>
      </rPr>
      <t>storage-type: nonvolatile        active</t>
    </r>
    <r>
      <rPr>
        <sz val="11"/>
        <color rgb="FF000000"/>
        <rFont val="Calibri"/>
      </rPr>
      <t xml:space="preserve">
</t>
    </r>
    <r>
      <rPr>
        <sz val="11"/>
        <color rgb="FF000000"/>
        <rFont val="Calibri"/>
      </rPr>
      <t>Authentication Protocol: SHA</t>
    </r>
    <r>
      <rPr>
        <sz val="11"/>
        <color rgb="FF000000"/>
        <rFont val="Calibri"/>
      </rPr>
      <t xml:space="preserve">
</t>
    </r>
    <r>
      <rPr>
        <sz val="11"/>
        <color rgb="FF000000"/>
        <rFont val="Calibri"/>
      </rPr>
      <t>Privacy Protocol: AES256</t>
    </r>
    <r>
      <rPr>
        <sz val="11"/>
        <color rgb="FF000000"/>
        <rFont val="Calibri"/>
      </rPr>
      <t xml:space="preserve">
</t>
    </r>
    <r>
      <rPr>
        <sz val="11"/>
        <color rgb="FF000000"/>
        <rFont val="Calibri"/>
      </rPr>
      <t>Group-name: TRAP_GROUP</t>
    </r>
  </si>
  <si>
    <t>V-3971</t>
  </si>
  <si>
    <r>
      <rPr>
        <sz val="11"/>
        <rFont val="Calibri"/>
      </rPr>
      <t>VLAN 1 must not be used for user VLANs.</t>
    </r>
  </si>
  <si>
    <t>L3 Switch Secure Technical Implementation Guide - Cisco; L3 Switch</t>
  </si>
  <si>
    <r>
      <rPr>
        <sz val="11"/>
        <color rgb="FF000000"/>
        <rFont val="Calibri"/>
      </rPr>
      <t>Best practices for VLAN-based networks is to prune unnecessary ports from gaining access to VLAN 1 as well as the management VLAN, and to separate in-band management, device protocol, and data traffic.</t>
    </r>
  </si>
  <si>
    <r>
      <rPr>
        <sz val="11"/>
        <color rgb="FF000000"/>
        <rFont val="Calibri"/>
      </rPr>
      <t>In a VLAN-based network, switches use VLAN 1 as the default VLAN for in-band management and to communicate with other networking devices using Spanning-Tree Protocol (STP), Cisco Discovery Protocol (CDP), Dynamic Trunking Protocol (DTP), VLAN Trunking Protocol (VTP), and Port Aggregation Protocol (PAgP)--all untagged traffic. As a consequence, VLAN 1 may unwisely span the entire network if not appropriately pruned. If its scope is large enough, the risk of compromise can increase significantly.</t>
    </r>
  </si>
  <si>
    <r>
      <rPr>
        <sz val="11"/>
        <color rgb="FF000000"/>
        <rFont val="Calibri"/>
      </rPr>
      <t>Review the device configuration and verify that access ports have not been assigned membership to the VLAN 1.</t>
    </r>
    <r>
      <rPr>
        <sz val="11"/>
        <color rgb="FF000000"/>
        <rFont val="Calibri"/>
      </rPr>
      <t xml:space="preserve">
</t>
    </r>
    <r>
      <rPr>
        <sz val="11"/>
        <color rgb="FF000000"/>
        <rFont val="Calibri"/>
      </rPr>
      <t>If any access ports are found in VLAN 1, this is a finding.</t>
    </r>
  </si>
  <si>
    <t>V-3972</t>
  </si>
  <si>
    <r>
      <rPr>
        <sz val="11"/>
        <rFont val="Calibri"/>
      </rPr>
      <t>VLAN 1 must be pruned from all trunk and access ports that do not require it.</t>
    </r>
  </si>
  <si>
    <r>
      <rPr>
        <sz val="11"/>
        <color rgb="FF000000"/>
        <rFont val="Calibri"/>
      </rPr>
      <t>Best practice for VLAN-based networks is to prune unnecessary ports from gaining access to VLAN 1 and insure that it does not traverse trunks not requiring VLAN 1 traffic.</t>
    </r>
  </si>
  <si>
    <r>
      <rPr>
        <sz val="11"/>
        <color rgb="FF000000"/>
        <rFont val="Calibri"/>
      </rPr>
      <t>VLAN 1 is a special VLAN that tags and handles most of the control plane traffic such as Spanning-Tree Protocol (STP), Cisco Discovery Protocol (CDP), Dynamic Trunking Protocol (DTP), VLAN Trunking Protocol (VTP), and Port Aggregation Protocol (PAgP) all VLAN 1 tagged traffic. VLAN 1 is enabled on all trunks and ports by default. With larger campus networks, care needs to be taken about the diameter of the VLAN 1 STP domain; instability in one part of the network could affect VLAN 1, thereby influencing control-plane stability and therefore STP stability for all other VLANs.</t>
    </r>
  </si>
  <si>
    <r>
      <rPr>
        <sz val="11"/>
        <color rgb="FF000000"/>
        <rFont val="Calibri"/>
      </rPr>
      <t>Review the device configuration to determine if VLAN 1 is pruned from all trunk and access switch ports.</t>
    </r>
    <r>
      <rPr>
        <sz val="11"/>
        <color rgb="FF000000"/>
        <rFont val="Calibri"/>
      </rPr>
      <t xml:space="preserve">
</t>
    </r>
    <r>
      <rPr>
        <sz val="11"/>
        <color rgb="FF000000"/>
        <rFont val="Calibri"/>
      </rPr>
      <t>If VLAN 1 is not pruned from trunk or access switch ports where it's not required, this is a finding.</t>
    </r>
  </si>
  <si>
    <t>V-3973</t>
  </si>
  <si>
    <r>
      <rPr>
        <sz val="11"/>
        <rFont val="Calibri"/>
      </rPr>
      <t>Disabled switch ports must be placed in an unused VLAN (do not use VLAN1).</t>
    </r>
  </si>
  <si>
    <r>
      <rPr>
        <sz val="11"/>
        <color rgb="FF000000"/>
        <rFont val="Calibri"/>
      </rPr>
      <t>Assign all disabled ports to an unused VLAN. Do not use VLAN1.</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</si>
  <si>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</si>
  <si>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Review the device configuration to determine if all disabled ports have been placed into an unused VLAN. The VLAN must not be VLAN 1.</t>
    </r>
    <r>
      <rPr>
        <sz val="11"/>
        <color rgb="FF000000"/>
        <rFont val="Calibri"/>
      </rPr>
      <t xml:space="preserve">
</t>
    </r>
    <r>
      <rPr>
        <sz val="11"/>
        <color rgb="FF000000"/>
        <rFont val="Calibri"/>
      </rPr>
      <t>If disabled ports are not assigned to an unused VLAN or have been placed into VLAN 1, this is a finding.</t>
    </r>
  </si>
  <si>
    <t>V-3984</t>
  </si>
  <si>
    <r>
      <rPr>
        <sz val="11"/>
        <rFont val="Calibri"/>
      </rPr>
      <t>Access switchports must not be assigned to the native VLAN.</t>
    </r>
  </si>
  <si>
    <r>
      <rPr>
        <sz val="11"/>
        <color rgb="FF000000"/>
        <rFont val="Calibri"/>
      </rPr>
      <t>To insure the integrity of the trunk link and prevent unauthorized access, the native VLAN of the trunk port should be changed from the default VLAN 1 to its own unique VLAN. Access switchports must never be assigned to the native VLAN.</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</si>
  <si>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VLAN 1) is stripped off by the switch, and the inner tag that will have the victim's VLAN ID is used by the switch as the next hop and sent out the trunk port.</t>
    </r>
  </si>
  <si>
    <r>
      <rPr>
        <sz val="11"/>
        <color rgb="FF000000"/>
        <rFont val="Calibri"/>
      </rPr>
      <t>Review the switch configurations and examine all access ports. Verify that they do not belong to the native VLAN.</t>
    </r>
    <r>
      <rPr>
        <sz val="11"/>
        <color rgb="FF000000"/>
        <rFont val="Calibri"/>
      </rPr>
      <t xml:space="preserve">
</t>
    </r>
    <r>
      <rPr>
        <sz val="11"/>
        <color rgb="FF000000"/>
        <rFont val="Calibri"/>
      </rPr>
      <t>If any access switch ports are assigned to the native VLAN, it is a finding.</t>
    </r>
  </si>
  <si>
    <t>V-4582</t>
  </si>
  <si>
    <r>
      <rPr>
        <sz val="11"/>
        <rFont val="Calibri"/>
      </rPr>
      <t>The network device must require authentication for console access.</t>
    </r>
  </si>
  <si>
    <r>
      <rPr>
        <sz val="11"/>
        <color rgb="FF000000"/>
        <rFont val="Calibri"/>
      </rPr>
      <t>Configure authentication for console access on the network device.</t>
    </r>
  </si>
  <si>
    <r>
      <rPr>
        <sz val="11"/>
        <color rgb="FF000000"/>
        <rFont val="Calibri"/>
      </rPr>
      <t>Network devices with no password for administrative access via the console provide the opportunity for anyone with physical access to the device to make configuration changes enabling them to disrupt network operations resulting in a network outage.</t>
    </r>
  </si>
  <si>
    <r>
      <rPr>
        <sz val="11"/>
        <color rgb="FF000000"/>
        <rFont val="Calibri"/>
      </rPr>
      <t xml:space="preserve">Review the network device's configuration and verify authentication is required for console access. </t>
    </r>
    <r>
      <rPr>
        <sz val="11"/>
        <color rgb="FF000000"/>
        <rFont val="Calibri"/>
      </rPr>
      <t xml:space="preserve">
</t>
    </r>
    <r>
      <rPr>
        <sz val="11"/>
        <color rgb="FF000000"/>
        <rFont val="Calibri"/>
      </rPr>
      <t xml:space="preserve">If the device is accessed via the aux port, then verify that this port also requires authentication. If it is not used, then it must be disabled. The console port and the disabled aux port should look similar to the configuration example below that references an authentication list configured as AUTH_LIST. </t>
    </r>
    <r>
      <rPr>
        <sz val="11"/>
        <color rgb="FF000000"/>
        <rFont val="Calibri"/>
      </rPr>
      <t xml:space="preserve">
</t>
    </r>
    <r>
      <rPr>
        <sz val="11"/>
        <color rgb="FF000000"/>
        <rFont val="Calibri"/>
      </rPr>
      <t>aaa authentication login AUTH_LIST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login authentication AUTH_LIST</t>
    </r>
    <r>
      <rPr>
        <sz val="11"/>
        <color rgb="FF000000"/>
        <rFont val="Calibri"/>
      </rPr>
      <t xml:space="preserve">
</t>
    </r>
    <r>
      <rPr>
        <sz val="11"/>
        <color rgb="FF000000"/>
        <rFont val="Calibri"/>
      </rPr>
      <t xml:space="preserve"> exec-timeout 10 0</t>
    </r>
    <r>
      <rPr>
        <sz val="11"/>
        <color rgb="FF000000"/>
        <rFont val="Calibri"/>
      </rPr>
      <t xml:space="preserve">
</t>
    </r>
    <r>
      <rPr>
        <sz val="11"/>
        <color rgb="FF000000"/>
        <rFont val="Calibri"/>
      </rPr>
      <t>Or using the default method list as shown in the example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aaa authentication login default group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line con 0</t>
    </r>
    <r>
      <rPr>
        <sz val="11"/>
        <color rgb="FF000000"/>
        <rFont val="Calibri"/>
      </rPr>
      <t xml:space="preserve">
</t>
    </r>
    <r>
      <rPr>
        <sz val="11"/>
        <color rgb="FF000000"/>
        <rFont val="Calibri"/>
      </rPr>
      <t xml:space="preserve"> exec-timeout 10 0</t>
    </r>
  </si>
  <si>
    <t>V-4583</t>
  </si>
  <si>
    <r>
      <rPr>
        <sz val="11"/>
        <rFont val="Calibri"/>
      </rPr>
      <t>The router administrator will ensure a password is required to gain access to the router</t>
    </r>
    <r>
      <rPr>
        <sz val="11"/>
        <color rgb="FF000000"/>
        <rFont val="Calibri"/>
      </rPr>
      <t>'</t>
    </r>
    <r>
      <rPr>
        <sz val="11"/>
        <color rgb="FF000000"/>
        <rFont val="Calibri"/>
      </rPr>
      <t>s diagnostics port.</t>
    </r>
  </si>
  <si>
    <t>Router Security Technical Implementation Guide Juniper</t>
  </si>
  <si>
    <r>
      <rPr>
        <sz val="11"/>
        <color rgb="FF000000"/>
        <rFont val="Calibri"/>
      </rPr>
      <t>The router administrator will ensure that a password is required to access the routers diagnostic port.</t>
    </r>
  </si>
  <si>
    <r>
      <rPr>
        <sz val="11"/>
        <color rgb="FF000000"/>
        <rFont val="Calibri"/>
      </rPr>
      <t>If unauthorized users gain access to the routers diagnostic port, it is possible to disrupt service.</t>
    </r>
  </si>
  <si>
    <r>
      <rPr>
        <sz val="11"/>
        <color rgb="FF000000"/>
        <rFont val="Calibri"/>
      </rPr>
      <t>IOS Procedure: N/A   A Cisco router does not have a diagnostics port.</t>
    </r>
    <r>
      <rPr>
        <sz val="11"/>
        <color rgb="FF000000"/>
        <rFont val="Calibri"/>
      </rPr>
      <t xml:space="preserve">
</t>
    </r>
    <r>
      <rPr>
        <sz val="11"/>
        <color rgb="FF000000"/>
        <rFont val="Calibri"/>
      </rPr>
      <t>JUNOS Procedure: Review the router configuration to ensure a password is required when gaining access to the diagnostics port similar to the following:</t>
    </r>
    <r>
      <rPr>
        <sz val="11"/>
        <color rgb="FF000000"/>
        <rFont val="Calibri"/>
      </rPr>
      <t xml:space="preserve">
</t>
    </r>
    <r>
      <rPr>
        <sz val="11"/>
        <color rgb="FF000000"/>
        <rFont val="Calibri"/>
      </rPr>
      <t xml:space="preserve">[edit system]     </t>
    </r>
    <r>
      <rPr>
        <sz val="11"/>
        <color rgb="FF000000"/>
        <rFont val="Calibri"/>
      </rPr>
      <t xml:space="preserve">
</t>
    </r>
    <r>
      <rPr>
        <sz val="11"/>
        <color rgb="FF000000"/>
        <rFont val="Calibri"/>
      </rPr>
      <t>diag-port-authentication {</t>
    </r>
    <r>
      <rPr>
        <sz val="11"/>
        <color rgb="FF000000"/>
        <rFont val="Calibri"/>
      </rPr>
      <t xml:space="preserve">
</t>
    </r>
    <r>
      <rPr>
        <sz val="11"/>
        <color rgb="FF000000"/>
        <rFont val="Calibri"/>
      </rPr>
      <t xml:space="preserve">  encrypted-password "xxxxxxxxxxxxx"; # SECRET-DATA     </t>
    </r>
    <r>
      <rPr>
        <sz val="11"/>
        <color rgb="FF000000"/>
        <rFont val="Calibri"/>
      </rPr>
      <t xml:space="preserve">
</t>
    </r>
    <r>
      <rPr>
        <sz val="11"/>
        <color rgb="FF000000"/>
        <rFont val="Calibri"/>
      </rPr>
      <t>}</t>
    </r>
  </si>
  <si>
    <t>V-4584</t>
  </si>
  <si>
    <r>
      <rPr>
        <sz val="11"/>
        <rFont val="Calibri"/>
      </rPr>
      <t>The network element must log all messages except debugging and send all log data to a syslog server.</t>
    </r>
  </si>
  <si>
    <r>
      <rPr>
        <sz val="11"/>
        <color rgb="FF000000"/>
        <rFont val="Calibri"/>
      </rPr>
      <t>Configure the network device to log all messages except debugging and send all log data to a syslog server.</t>
    </r>
  </si>
  <si>
    <r>
      <rPr>
        <sz val="11"/>
        <color rgb="FF000000"/>
        <rFont val="Calibri"/>
      </rPr>
      <t>Logging is a critical part of router security. Maintaining an audit trail of system activity logs (syslog) can help identify configuration errors, understand past intrusions, troubleshoot service disruptions, and react to probes and scans of the network. Syslog levels 0-6 are the levels required to collect the necessary information to help in the recovery process.</t>
    </r>
  </si>
  <si>
    <r>
      <rPr>
        <sz val="11"/>
        <color rgb="FF000000"/>
        <rFont val="Calibri"/>
      </rPr>
      <t xml:space="preserve">Cisco IOS routers and switches use level 6 (informational) when logging packets that are dropped via access control list. (%SEC-6-IPACCESSLOGNP: list 1 denied 0 1.1.1.2 -&gt; 1.1.1.1, 1 packet). Hence, it is imperative that log messages at level 6 are captured for further analysis and incident reporting. However, these messages do not need to go to the console, but must go to the syslog server. </t>
    </r>
    <r>
      <rPr>
        <sz val="11"/>
        <color rgb="FF000000"/>
        <rFont val="Calibri"/>
      </rPr>
      <t xml:space="preserve">
</t>
    </r>
    <r>
      <rPr>
        <sz val="11"/>
        <color rgb="FF000000"/>
        <rFont val="Calibri"/>
      </rPr>
      <t>To avoid being locked out of the console in the event of an intensive log message generation such as when a large number of packets are being dropped, you can implement any of the following:</t>
    </r>
    <r>
      <rPr>
        <sz val="11"/>
        <color rgb="FF000000"/>
        <rFont val="Calibri"/>
      </rPr>
      <t xml:space="preserve">
</t>
    </r>
    <r>
      <rPr>
        <sz val="11"/>
        <color rgb="FF000000"/>
        <rFont val="Calibri"/>
      </rPr>
      <t xml:space="preserve">1.  Limit the amount of logging based on same packet matching via the access-list log-update threshold command. The configured threshold specifies how often syslog messages are generated and sent after the initial packet match on a per flow basis. </t>
    </r>
    <r>
      <rPr>
        <sz val="11"/>
        <color rgb="FF000000"/>
        <rFont val="Calibri"/>
      </rPr>
      <t xml:space="preserve">
</t>
    </r>
    <r>
      <rPr>
        <sz val="11"/>
        <color rgb="FF000000"/>
        <rFont val="Calibri"/>
      </rPr>
      <t>2.  Rate-limit messages at specific severity levels destined to be logged at the console via logging rate-limit command.</t>
    </r>
    <r>
      <rPr>
        <sz val="11"/>
        <color rgb="FF000000"/>
        <rFont val="Calibri"/>
      </rPr>
      <t xml:space="preserve">
</t>
    </r>
    <r>
      <rPr>
        <sz val="11"/>
        <color rgb="FF000000"/>
        <rFont val="Calibri"/>
      </rPr>
      <t xml:space="preserve">3.  Have only messages at levels 0-5 (or 0-4) go to the console and messages at level 0-6 go to the syslog server. </t>
    </r>
    <r>
      <rPr>
        <sz val="11"/>
        <color rgb="FF000000"/>
        <rFont val="Calibri"/>
      </rPr>
      <t xml:space="preserve">
</t>
    </r>
    <r>
      <rPr>
        <sz val="11"/>
        <color rgb="FF000000"/>
        <rFont val="Calibri"/>
      </rPr>
      <t>The buffer could be set to notification level or altered to a different level when required (i.e. debugging).</t>
    </r>
    <r>
      <rPr>
        <sz val="11"/>
        <color rgb="FF000000"/>
        <rFont val="Calibri"/>
      </rPr>
      <t xml:space="preserve">
</t>
    </r>
    <r>
      <rPr>
        <sz val="11"/>
        <color rgb="FF000000"/>
        <rFont val="Calibri"/>
      </rPr>
      <t>Following would be an example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buffered 4096 informational</t>
    </r>
    <r>
      <rPr>
        <sz val="11"/>
        <color rgb="FF000000"/>
        <rFont val="Calibri"/>
      </rPr>
      <t xml:space="preserve">
</t>
    </r>
    <r>
      <rPr>
        <sz val="11"/>
        <color rgb="FF000000"/>
        <rFont val="Calibri"/>
      </rPr>
      <t>logging console notifications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logging trap debugging </t>
    </r>
    <r>
      <rPr>
        <sz val="11"/>
        <color rgb="FF000000"/>
        <rFont val="Calibri"/>
      </rPr>
      <t xml:space="preserve">
</t>
    </r>
    <r>
      <rPr>
        <sz val="11"/>
        <color rgb="FF000000"/>
        <rFont val="Calibri"/>
      </rPr>
      <t>logging host 1.1.1.1</t>
    </r>
    <r>
      <rPr>
        <sz val="11"/>
        <color rgb="FF000000"/>
        <rFont val="Calibri"/>
      </rPr>
      <t xml:space="preserve">
</t>
    </r>
    <r>
      <rPr>
        <sz val="11"/>
        <color rgb="FF000000"/>
        <rFont val="Calibri"/>
      </rPr>
      <t>!</t>
    </r>
    <r>
      <rPr>
        <sz val="11"/>
        <color rgb="FF000000"/>
        <rFont val="Calibri"/>
      </rPr>
      <t xml:space="preserve">
</t>
    </r>
    <r>
      <rPr>
        <sz val="11"/>
        <color rgb="FF000000"/>
        <rFont val="Calibri"/>
      </rPr>
      <t>The default state for logging is on and the default for the syslog server is informational (i.e. logging trap informational). Hence, the commands logging on and logging trap informational will not be shown via show run command. Hence, have the operator issue a show logging command to verify logging is on and the level for the syslog server (i.e. trap).</t>
    </r>
    <r>
      <rPr>
        <sz val="11"/>
        <color rgb="FF000000"/>
        <rFont val="Calibri"/>
      </rPr>
      <t xml:space="preserve">
</t>
    </r>
    <r>
      <rPr>
        <sz val="11"/>
        <color rgb="FF000000"/>
        <rFont val="Calibri"/>
      </rPr>
      <t>R1#show logging</t>
    </r>
    <r>
      <rPr>
        <sz val="11"/>
        <color rgb="FF000000"/>
        <rFont val="Calibri"/>
      </rPr>
      <t xml:space="preserve">
</t>
    </r>
    <r>
      <rPr>
        <sz val="11"/>
        <color rgb="FF000000"/>
        <rFont val="Calibri"/>
      </rPr>
      <t>Syslog logging: enabled (12 messages dropped, 0 messages rate-limited,</t>
    </r>
    <r>
      <rPr>
        <sz val="11"/>
        <color rgb="FF000000"/>
        <rFont val="Calibri"/>
      </rPr>
      <t xml:space="preserve">
</t>
    </r>
    <r>
      <rPr>
        <sz val="11"/>
        <color rgb="FF000000"/>
        <rFont val="Calibri"/>
      </rPr>
      <t xml:space="preserve">                0 flushes, 0 overruns, xml disabled, filtering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Console logging: level notifications, 56 messages logged, xml disabled,</t>
    </r>
    <r>
      <rPr>
        <sz val="11"/>
        <color rgb="FF000000"/>
        <rFont val="Calibri"/>
      </rPr>
      <t xml:space="preserve">
</t>
    </r>
    <r>
      <rPr>
        <sz val="11"/>
        <color rgb="FF000000"/>
        <rFont val="Calibri"/>
      </rPr>
      <t xml:space="preserve">                     filtering disabled</t>
    </r>
    <r>
      <rPr>
        <sz val="11"/>
        <color rgb="FF000000"/>
        <rFont val="Calibri"/>
      </rPr>
      <t xml:space="preserve">
</t>
    </r>
    <r>
      <rPr>
        <sz val="11"/>
        <color rgb="FF000000"/>
        <rFont val="Calibri"/>
      </rPr>
      <t xml:space="preserve">    Monitor logging: level debugging, 0 messages logged, xml disabled,</t>
    </r>
    <r>
      <rPr>
        <sz val="11"/>
        <color rgb="FF000000"/>
        <rFont val="Calibri"/>
      </rPr>
      <t xml:space="preserve">
</t>
    </r>
    <r>
      <rPr>
        <sz val="11"/>
        <color rgb="FF000000"/>
        <rFont val="Calibri"/>
      </rPr>
      <t xml:space="preserve">                     filtering disabled</t>
    </r>
    <r>
      <rPr>
        <sz val="11"/>
        <color rgb="FF000000"/>
        <rFont val="Calibri"/>
      </rPr>
      <t xml:space="preserve">
</t>
    </r>
    <r>
      <rPr>
        <sz val="11"/>
        <color rgb="FF000000"/>
        <rFont val="Calibri"/>
      </rPr>
      <t xml:space="preserve">    Buffer logging:  level informational, 6 messages logged, xml disabled,</t>
    </r>
    <r>
      <rPr>
        <sz val="11"/>
        <color rgb="FF000000"/>
        <rFont val="Calibri"/>
      </rPr>
      <t xml:space="preserve">
</t>
    </r>
    <r>
      <rPr>
        <sz val="11"/>
        <color rgb="FF000000"/>
        <rFont val="Calibri"/>
      </rPr>
      <t xml:space="preserve">                     filtering disabled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Trap logging: level informational, 73 message lines logged</t>
    </r>
    <r>
      <rPr>
        <sz val="11"/>
        <color rgb="FF000000"/>
        <rFont val="Calibri"/>
      </rPr>
      <t xml:space="preserve">
</t>
    </r>
    <r>
      <rPr>
        <sz val="11"/>
        <color rgb="FF000000"/>
        <rFont val="Calibri"/>
      </rPr>
      <t xml:space="preserve">        Logging to 1.1.1.1  (udp port 514,  audit disabled,</t>
    </r>
    <r>
      <rPr>
        <sz val="11"/>
        <color rgb="FF000000"/>
        <rFont val="Calibri"/>
      </rPr>
      <t xml:space="preserve">
</t>
    </r>
    <r>
      <rPr>
        <sz val="11"/>
        <color rgb="FF000000"/>
        <rFont val="Calibri"/>
      </rPr>
      <t xml:space="preserve">              authentication disabled, encryption disabled, link up),</t>
    </r>
    <r>
      <rPr>
        <sz val="11"/>
        <color rgb="FF000000"/>
        <rFont val="Calibri"/>
      </rPr>
      <t xml:space="preserve">
</t>
    </r>
    <r>
      <rPr>
        <sz val="11"/>
        <color rgb="FF000000"/>
        <rFont val="Calibri"/>
      </rPr>
      <t xml:space="preserve">              37 message lines logged, </t>
    </r>
    <r>
      <rPr>
        <sz val="11"/>
        <color rgb="FF000000"/>
        <rFont val="Calibri"/>
      </rPr>
      <t xml:space="preserve">
</t>
    </r>
    <r>
      <rPr>
        <sz val="11"/>
        <color rgb="FF000000"/>
        <rFont val="Calibri"/>
      </rPr>
      <t xml:space="preserve">              0 message lines rate-limited, </t>
    </r>
    <r>
      <rPr>
        <sz val="11"/>
        <color rgb="FF000000"/>
        <rFont val="Calibri"/>
      </rPr>
      <t xml:space="preserve">
</t>
    </r>
    <r>
      <rPr>
        <sz val="11"/>
        <color rgb="FF000000"/>
        <rFont val="Calibri"/>
      </rPr>
      <t xml:space="preserve">              0 message lines dropped-by-MD, </t>
    </r>
    <r>
      <rPr>
        <sz val="11"/>
        <color rgb="FF000000"/>
        <rFont val="Calibri"/>
      </rPr>
      <t xml:space="preserve">
</t>
    </r>
    <r>
      <rPr>
        <sz val="11"/>
        <color rgb="FF000000"/>
        <rFont val="Calibri"/>
      </rPr>
      <t xml:space="preserve">              xml disabled, sequence number disabled</t>
    </r>
    <r>
      <rPr>
        <sz val="11"/>
        <color rgb="FF000000"/>
        <rFont val="Calibri"/>
      </rPr>
      <t xml:space="preserve">
</t>
    </r>
    <r>
      <rPr>
        <sz val="11"/>
        <color rgb="FF000000"/>
        <rFont val="Calibri"/>
      </rPr>
      <t xml:space="preserve">              filtering disabled          </t>
    </r>
    <r>
      <rPr>
        <sz val="11"/>
        <color rgb="FF000000"/>
        <rFont val="Calibri"/>
      </rPr>
      <t xml:space="preserve">
</t>
    </r>
    <r>
      <rPr>
        <sz val="11"/>
        <color rgb="FF000000"/>
        <rFont val="Calibri"/>
      </rPr>
      <t>The table below lists the severity levels and message types for all log data.</t>
    </r>
    <r>
      <rPr>
        <sz val="11"/>
        <color rgb="FF000000"/>
        <rFont val="Calibri"/>
      </rPr>
      <t xml:space="preserve">
</t>
    </r>
    <r>
      <rPr>
        <sz val="11"/>
        <color rgb="FF000000"/>
        <rFont val="Calibri"/>
      </rPr>
      <t xml:space="preserve">Severity </t>
    </r>
    <r>
      <rPr>
        <sz val="11"/>
        <color rgb="FF000000"/>
        <rFont val="Calibri"/>
      </rPr>
      <t xml:space="preserve">
</t>
    </r>
    <r>
      <rPr>
        <sz val="11"/>
        <color rgb="FF000000"/>
        <rFont val="Calibri"/>
      </rPr>
      <t>Level                   Message Type</t>
    </r>
    <r>
      <rPr>
        <sz val="11"/>
        <color rgb="FF000000"/>
        <rFont val="Calibri"/>
      </rPr>
      <t xml:space="preserve">
</t>
    </r>
    <r>
      <rPr>
        <sz val="11"/>
        <color rgb="FF000000"/>
        <rFont val="Calibri"/>
      </rPr>
      <t>0                           Emergencies</t>
    </r>
    <r>
      <rPr>
        <sz val="11"/>
        <color rgb="FF000000"/>
        <rFont val="Calibri"/>
      </rPr>
      <t xml:space="preserve">
</t>
    </r>
    <r>
      <rPr>
        <sz val="11"/>
        <color rgb="FF000000"/>
        <rFont val="Calibri"/>
      </rPr>
      <t>1                           Alerts</t>
    </r>
    <r>
      <rPr>
        <sz val="11"/>
        <color rgb="FF000000"/>
        <rFont val="Calibri"/>
      </rPr>
      <t xml:space="preserve">
</t>
    </r>
    <r>
      <rPr>
        <sz val="11"/>
        <color rgb="FF000000"/>
        <rFont val="Calibri"/>
      </rPr>
      <t>2                           Critical</t>
    </r>
    <r>
      <rPr>
        <sz val="11"/>
        <color rgb="FF000000"/>
        <rFont val="Calibri"/>
      </rPr>
      <t xml:space="preserve">
</t>
    </r>
    <r>
      <rPr>
        <sz val="11"/>
        <color rgb="FF000000"/>
        <rFont val="Calibri"/>
      </rPr>
      <t>3                           Errors</t>
    </r>
    <r>
      <rPr>
        <sz val="11"/>
        <color rgb="FF000000"/>
        <rFont val="Calibri"/>
      </rPr>
      <t xml:space="preserve">
</t>
    </r>
    <r>
      <rPr>
        <sz val="11"/>
        <color rgb="FF000000"/>
        <rFont val="Calibri"/>
      </rPr>
      <t>4                           Warning</t>
    </r>
    <r>
      <rPr>
        <sz val="11"/>
        <color rgb="FF000000"/>
        <rFont val="Calibri"/>
      </rPr>
      <t xml:space="preserve">
</t>
    </r>
    <r>
      <rPr>
        <sz val="11"/>
        <color rgb="FF000000"/>
        <rFont val="Calibri"/>
      </rPr>
      <t>5                           Notifications</t>
    </r>
    <r>
      <rPr>
        <sz val="11"/>
        <color rgb="FF000000"/>
        <rFont val="Calibri"/>
      </rPr>
      <t xml:space="preserve">
</t>
    </r>
    <r>
      <rPr>
        <sz val="11"/>
        <color rgb="FF000000"/>
        <rFont val="Calibri"/>
      </rPr>
      <t>6                           Informational</t>
    </r>
    <r>
      <rPr>
        <sz val="11"/>
        <color rgb="FF000000"/>
        <rFont val="Calibri"/>
      </rPr>
      <t xml:space="preserve">
</t>
    </r>
    <r>
      <rPr>
        <sz val="11"/>
        <color rgb="FF000000"/>
        <rFont val="Calibri"/>
      </rPr>
      <t>7                           Debugging</t>
    </r>
  </si>
  <si>
    <t>V-5611</t>
  </si>
  <si>
    <r>
      <rPr>
        <sz val="11"/>
        <rFont val="Calibri"/>
      </rPr>
      <t>The network element must only allow management connections for administrative access from hosts residing in to the management network.</t>
    </r>
  </si>
  <si>
    <r>
      <rPr>
        <sz val="11"/>
        <color rgb="FF000000"/>
        <rFont val="Calibri"/>
      </rPr>
      <t>Configure an ACL or filter to restrict management access to the device from only the management network.</t>
    </r>
  </si>
  <si>
    <r>
      <rPr>
        <sz val="11"/>
        <color rgb="FF000000"/>
        <rFont val="Calibri"/>
      </rPr>
      <t>Remote administration is inherently dangerous because anyone with a sniffer and access to the right LAN segment, could acquire the device account and password information. With this intercepted information they could gain access to the infrastructure and cause denial of service attacks, intercept sensitive information, or perform other destructive actions.</t>
    </r>
  </si>
  <si>
    <r>
      <rPr>
        <sz val="11"/>
        <color rgb="FF000000"/>
        <rFont val="Calibri"/>
      </rPr>
      <t>Review the configuration and verify that management access to the device is allowed only from the management network address space. The configuration should look similar to the following:</t>
    </r>
    <r>
      <rPr>
        <sz val="11"/>
        <color rgb="FF000000"/>
        <rFont val="Calibri"/>
      </rPr>
      <t xml:space="preserve">
</t>
    </r>
    <r>
      <rPr>
        <sz val="11"/>
        <color rgb="FF000000"/>
        <rFont val="Calibri"/>
      </rPr>
      <t>access-list 3 permit 192.168.1.10 log</t>
    </r>
    <r>
      <rPr>
        <sz val="11"/>
        <color rgb="FF000000"/>
        <rFont val="Calibri"/>
      </rPr>
      <t xml:space="preserve">
</t>
    </r>
    <r>
      <rPr>
        <sz val="11"/>
        <color rgb="FF000000"/>
        <rFont val="Calibri"/>
      </rPr>
      <t>access-list 3 permit 192.168.1.11 log</t>
    </r>
    <r>
      <rPr>
        <sz val="11"/>
        <color rgb="FF000000"/>
        <rFont val="Calibri"/>
      </rPr>
      <t xml:space="preserve">
</t>
    </r>
    <r>
      <rPr>
        <sz val="11"/>
        <color rgb="FF000000"/>
        <rFont val="Calibri"/>
      </rPr>
      <t>access-list 3 deny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line vty 0 4</t>
    </r>
    <r>
      <rPr>
        <sz val="11"/>
        <color rgb="FF000000"/>
        <rFont val="Calibri"/>
      </rPr>
      <t xml:space="preserve">
</t>
    </r>
    <r>
      <rPr>
        <sz val="11"/>
        <color rgb="FF000000"/>
        <rFont val="Calibri"/>
      </rPr>
      <t xml:space="preserve"> access-class 3 in</t>
    </r>
    <r>
      <rPr>
        <sz val="11"/>
        <color rgb="FF000000"/>
        <rFont val="Calibri"/>
      </rPr>
      <t xml:space="preserve">
</t>
    </r>
    <r>
      <rPr>
        <sz val="11"/>
        <color rgb="FF000000"/>
        <rFont val="Calibri"/>
      </rPr>
      <t>If management access can be gained from outside of the authorized management network, this is a finding.</t>
    </r>
  </si>
  <si>
    <t>V-5612</t>
  </si>
  <si>
    <r>
      <rPr>
        <sz val="11"/>
        <rFont val="Calibri"/>
      </rPr>
      <t>The network element must be configured to timeout after 60 seconds or less for incomplete or broken SSH sessions.</t>
    </r>
  </si>
  <si>
    <r>
      <rPr>
        <sz val="11"/>
        <color rgb="FF000000"/>
        <rFont val="Calibri"/>
      </rPr>
      <t>Configure the network devices so it will require a secure shell timeout of 60 seconds or less.</t>
    </r>
  </si>
  <si>
    <r>
      <rPr>
        <sz val="11"/>
        <color rgb="FF000000"/>
        <rFont val="Calibri"/>
      </rPr>
      <t>An attacker may attempt to connect to the device using SSH by guessing the authentication method, encryption algorithm, and keys. Limiting the amount of time allowed for authenticating and negotiating the SSH session reduces the window of opportunity for the malicious user attempting to make a connection to the network element.</t>
    </r>
  </si>
  <si>
    <r>
      <rPr>
        <sz val="11"/>
        <color rgb="FF000000"/>
        <rFont val="Calibri"/>
      </rPr>
      <t>Review the configuration and verify the timeout is set for 60 seconds or less. The SSH service terminates the connection if protocol negotiation (that includes user authentication) is not complete within this timeout period.</t>
    </r>
    <r>
      <rPr>
        <sz val="11"/>
        <color rgb="FF000000"/>
        <rFont val="Calibri"/>
      </rPr>
      <t xml:space="preserve">
</t>
    </r>
    <r>
      <rPr>
        <sz val="11"/>
        <color rgb="FF000000"/>
        <rFont val="Calibri"/>
      </rPr>
      <t>ip ssh time-out 60</t>
    </r>
  </si>
  <si>
    <t>V-5613</t>
  </si>
  <si>
    <r>
      <rPr>
        <sz val="11"/>
        <rFont val="Calibri"/>
      </rPr>
      <t>The network element must be configured for a maximum number of unsuccessful SSH login attempts set at 3 before resetting the interface.</t>
    </r>
  </si>
  <si>
    <r>
      <rPr>
        <sz val="11"/>
        <color rgb="FF000000"/>
        <rFont val="Calibri"/>
      </rPr>
      <t>Configure the network device to require a maximum number of unsuccessful SSH logon attempts at 3.</t>
    </r>
  </si>
  <si>
    <r>
      <rPr>
        <sz val="11"/>
        <color rgb="FF000000"/>
        <rFont val="Calibri"/>
      </rPr>
      <t>An attacker may attempt to connect to the device using SSH by guessing the authentication method and authentication key or shared secret. Setting the authentication retry to 3 or less strengthens against a Brute Force attack.</t>
    </r>
  </si>
  <si>
    <r>
      <rPr>
        <sz val="11"/>
        <color rgb="FF000000"/>
        <rFont val="Calibri"/>
      </rPr>
      <t>Review the configuration and verify the number of unsuccessful SSH login attempts is set at 3.</t>
    </r>
    <r>
      <rPr>
        <sz val="11"/>
        <color rgb="FF000000"/>
        <rFont val="Calibri"/>
      </rPr>
      <t xml:space="preserve">
</t>
    </r>
    <r>
      <rPr>
        <sz val="11"/>
        <color rgb="FF000000"/>
        <rFont val="Calibri"/>
      </rPr>
      <t>ip ssh authentication-retries 3</t>
    </r>
  </si>
  <si>
    <t>V-5614</t>
  </si>
  <si>
    <r>
      <rPr>
        <sz val="11"/>
        <rFont val="Calibri"/>
      </rPr>
      <t>Network devices must have the PAD service disabled.</t>
    </r>
  </si>
  <si>
    <r>
      <rPr>
        <sz val="11"/>
        <color rgb="FF000000"/>
        <rFont val="Calibri"/>
      </rPr>
      <t>Configure the device to disable the PAD service.</t>
    </r>
  </si>
  <si>
    <r>
      <rPr>
        <sz val="11"/>
        <color rgb="FF000000"/>
        <rFont val="Calibri"/>
      </rPr>
      <t>Packet Assembler Disassembler (PAD) is an X.25 component seldom used.  It collects the data transmissions from the terminals and gathers them into a X.25 data stream and vice versa.  PAD acts like a multiplexer for the terminals.  If enabled, it can render the device open to attacks. Some voice vendors use PAD on internal routers.</t>
    </r>
  </si>
  <si>
    <r>
      <rPr>
        <sz val="11"/>
        <color rgb="FF000000"/>
        <rFont val="Calibri"/>
      </rPr>
      <t>Review the device configuration to determine if the PAD service is enabled.</t>
    </r>
    <r>
      <rPr>
        <sz val="11"/>
        <color rgb="FF000000"/>
        <rFont val="Calibri"/>
      </rPr>
      <t xml:space="preserve">
</t>
    </r>
    <r>
      <rPr>
        <sz val="11"/>
        <color rgb="FF000000"/>
        <rFont val="Calibri"/>
      </rPr>
      <t>If the PAD service is enabled, this is a finding.</t>
    </r>
  </si>
  <si>
    <t>V-5615</t>
  </si>
  <si>
    <r>
      <rPr>
        <sz val="11"/>
        <rFont val="Calibri"/>
      </rPr>
      <t>Network devices must have TCP Keep-Alives enabled for TCP sessions.</t>
    </r>
  </si>
  <si>
    <r>
      <rPr>
        <sz val="11"/>
        <color rgb="FF000000"/>
        <rFont val="Calibri"/>
      </rPr>
      <t>Configure the device to enable TCP Keep-Alives.</t>
    </r>
  </si>
  <si>
    <r>
      <rPr>
        <sz val="11"/>
        <color rgb="FF000000"/>
        <rFont val="Calibri"/>
      </rPr>
      <t>Idle TCP sessions can be susceptible to unauthorized access and hijacking attacks. By default, routers do not continually test whether a previously connected TCP endpoint is still reachable. If one end of a TCP connection idles out or terminates abnormally, the opposite end of the connection may still believe the session is available. These "orphaned" sessions use up valuable router resources and can also be hijacked by an attacker. To mitigate this risk, routers must be configured to send periodic keepalive messages to check that the remote end of a session is still connected. If the remote device fails to respond to the keepalive message, the sending router will clear the connection and free resources allocated to the session.</t>
    </r>
  </si>
  <si>
    <r>
      <rPr>
        <sz val="11"/>
        <color rgb="FF000000"/>
        <rFont val="Calibri"/>
      </rPr>
      <t>Review the device configuration to verify the "service tcp-keepalives-in" command is configured.</t>
    </r>
    <r>
      <rPr>
        <sz val="11"/>
        <color rgb="FF000000"/>
        <rFont val="Calibri"/>
      </rPr>
      <t xml:space="preserve">
</t>
    </r>
    <r>
      <rPr>
        <sz val="11"/>
        <color rgb="FF000000"/>
        <rFont val="Calibri"/>
      </rPr>
      <t>If TCP Keep-Alives are not enabled, this is a finding.</t>
    </r>
  </si>
  <si>
    <t>V-5616</t>
  </si>
  <si>
    <r>
      <rPr>
        <sz val="11"/>
        <rFont val="Calibri"/>
      </rPr>
      <t>Network devices must have identification support disabled.</t>
    </r>
  </si>
  <si>
    <r>
      <rPr>
        <sz val="11"/>
        <color rgb="FF000000"/>
        <rFont val="Calibri"/>
      </rPr>
      <t>Configure the device to disable identification support.</t>
    </r>
  </si>
  <si>
    <r>
      <rPr>
        <sz val="11"/>
        <color rgb="FF000000"/>
        <rFont val="Calibri"/>
      </rPr>
      <t>Identification support allows one to query a TCP port for identification.  This feature enables an unsecured protocol to report the identity of a client initiating a TCP connection and a host responding to the connection.  Identification support can connect a TCP port on a host, issue a simple text string to request information, and receive a simple text-string reply.  This is another mechanism to learn the router vendor, model number, and software version being run.</t>
    </r>
  </si>
  <si>
    <r>
      <rPr>
        <sz val="11"/>
        <color rgb="FF000000"/>
        <rFont val="Calibri"/>
      </rPr>
      <t xml:space="preserve">Review the device configuration to verify that identification support is not enabled via "ip identd" global command. It is disabled by default. </t>
    </r>
    <r>
      <rPr>
        <sz val="11"/>
        <color rgb="FF000000"/>
        <rFont val="Calibri"/>
      </rPr>
      <t xml:space="preserve">
</t>
    </r>
    <r>
      <rPr>
        <sz val="11"/>
        <color rgb="FF000000"/>
        <rFont val="Calibri"/>
      </rPr>
      <t>If identifications support is enabled, this is a finding.</t>
    </r>
  </si>
  <si>
    <t>V-5618</t>
  </si>
  <si>
    <r>
      <rPr>
        <sz val="11"/>
        <rFont val="Calibri"/>
      </rPr>
      <t>Gratuitous ARP must be disabled.</t>
    </r>
  </si>
  <si>
    <r>
      <rPr>
        <sz val="11"/>
        <color rgb="FF000000"/>
        <rFont val="Calibri"/>
      </rPr>
      <t>Disable gratuitous ARP on the device.</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</si>
  <si>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</si>
  <si>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t>
    </r>
    <r>
      <rPr>
        <sz val="11"/>
        <color rgb="FF000000"/>
        <rFont val="Calibri"/>
      </rPr>
      <t xml:space="preserve">
</t>
    </r>
    <r>
      <rPr>
        <sz val="11"/>
        <color rgb="FF000000"/>
        <rFont val="Calibri"/>
      </rPr>
      <t>If gratuitous ARP is enabled, this is a finding.</t>
    </r>
  </si>
  <si>
    <t>V-5622</t>
  </si>
  <si>
    <r>
      <rPr>
        <sz val="11"/>
        <rFont val="Calibri"/>
      </rPr>
      <t>The native VLAN must be assigned to a VLAN ID other than the default VLAN for all 802.1q trunk links.</t>
    </r>
  </si>
  <si>
    <r>
      <rPr>
        <sz val="11"/>
        <color rgb="FF000000"/>
        <rFont val="Calibri"/>
      </rPr>
      <t>To ensure the integrity of the trunk link and prevent unauthorized access, the native VLAN of the trunk port should be changed from the default VLAN 1 to its own unique VLAN.  The native VLAN must be the same on both ends of the trunk link; otherwise traffic could accidently leak between broadcast domains.</t>
    </r>
  </si>
  <si>
    <r>
      <rPr>
        <sz val="11"/>
        <color rgb="FF000000"/>
        <rFont val="Calibri"/>
      </rPr>
      <t>VLAN hopping can be initiated by an attacker who has access to a switch port belonging to the same VLAN as the native VLAN of the trunk link connecting to another switch in which the victim is connected to. If the attacker knows the victim's MAC address, it can forge a frame with two 802.1q tags and a layer 2 header with the destination address of the victim. Since the frame will ingress the switch from a port belonging to its native VLAN, the trunk port connecting to victim's switch will simply remove the outer tag because native VLAN traffic is to be untagged. The switch will forward the frame unto the trunk link unaware of the inner tag with a VLAN ID for which the victim's switchport is a member of.</t>
    </r>
  </si>
  <si>
    <r>
      <rPr>
        <sz val="11"/>
        <color rgb="FF000000"/>
        <rFont val="Calibri"/>
      </rPr>
      <t>Review the device configuration and examine all trunk links. Verify the native VLAN has been configured to a VLAN other than the default VLAN 1.</t>
    </r>
    <r>
      <rPr>
        <sz val="11"/>
        <color rgb="FF000000"/>
        <rFont val="Calibri"/>
      </rPr>
      <t xml:space="preserve">
</t>
    </r>
    <r>
      <rPr>
        <sz val="11"/>
        <color rgb="FF000000"/>
        <rFont val="Calibri"/>
      </rPr>
      <t>If the native VLAN has been configured to VLAN 1, this is a finding.</t>
    </r>
  </si>
  <si>
    <t>V-5623</t>
  </si>
  <si>
    <r>
      <rPr>
        <sz val="11"/>
        <rFont val="Calibri"/>
      </rPr>
      <t>Port trunking must be disabled on all access ports (do not configure trunk on, desirable, non-negotiate, or auto--only off).</t>
    </r>
  </si>
  <si>
    <r>
      <rPr>
        <sz val="11"/>
        <color rgb="FF000000"/>
        <rFont val="Calibri"/>
      </rPr>
      <t>Disable trunking on all access ports.</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</si>
  <si>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VLAN 1) is stripped off by the switch, and the inner tag that will have the victims VLAN ID is used by the switch as the next hop and sent out the trunk port.</t>
    </r>
  </si>
  <si>
    <r>
      <rPr>
        <sz val="11"/>
        <color rgb="FF000000"/>
        <rFont val="Calibri"/>
      </rPr>
      <t>Review the device configuration to determine if trunking has been disabled on access ports.</t>
    </r>
    <r>
      <rPr>
        <sz val="11"/>
        <color rgb="FF000000"/>
        <rFont val="Calibri"/>
      </rPr>
      <t xml:space="preserve">
</t>
    </r>
    <r>
      <rPr>
        <sz val="11"/>
        <color rgb="FF000000"/>
        <rFont val="Calibri"/>
      </rPr>
      <t>If trunking is enabled on any access port, this is a finding.</t>
    </r>
  </si>
  <si>
    <t>V-5626</t>
  </si>
  <si>
    <r>
      <rPr>
        <sz val="11"/>
        <rFont val="Calibri"/>
      </rPr>
      <t>The switch must be configured to use 802.1x authentication on host facing access switch ports.</t>
    </r>
  </si>
  <si>
    <r>
      <rPr>
        <sz val="11"/>
        <color rgb="FF000000"/>
        <rFont val="Calibri"/>
      </rPr>
      <t>Configure 802.1 x authentication on all access switch ports connecting to LAN outlets (i.e., RJ-45 wall plates) or devices not located in the telecom room, wiring closets, or equipment rooms. Configure MAB on those switch ports connected to devices that do not support an 802.1x supplicant.</t>
    </r>
  </si>
  <si>
    <r>
      <rPr>
        <sz val="11"/>
        <color rgb="FF000000"/>
        <rFont val="Calibri"/>
      </rPr>
      <t>The IEEE 802.1x standard is a client-server based access control and authentication protocol that restricts unauthorized clients from connecting to a local area network through host facing switch ports.  The authentication server authenticates each client connected to to a switch port before making any services available to the client from the LAN.  Unless the client is successfully authenticated, 802.1x access control allows only Extensible Authentication Protocol over LAN (EAPOL) traffic through the port to which the client is connected.  After authentication is successful, normal traffic can pass through the port.  Without the use of 802.1x, a malicious user could use the switch port to connect an unauthorized piece of computer or other network device to inject or steal data from the network without detection.</t>
    </r>
  </si>
  <si>
    <r>
      <rPr>
        <sz val="11"/>
        <color rgb="FF000000"/>
        <rFont val="Calibri"/>
      </rPr>
      <t>Verify if the switch configuration has 802.1x authentication implemented for all access switch ports connecting to LAN outlets (i.e., RJ-45 wall plates) or devices not located in the telecom room, wiring closets, or equipment rooms using the following procedure:</t>
    </r>
    <r>
      <rPr>
        <sz val="11"/>
        <color rgb="FF000000"/>
        <rFont val="Calibri"/>
      </rPr>
      <t xml:space="preserve">
</t>
    </r>
    <r>
      <rPr>
        <sz val="11"/>
        <color rgb="FF000000"/>
        <rFont val="Calibri"/>
      </rPr>
      <t>Step 1: Verify that an 802.1x authentication server has been configured similar to the following example:</t>
    </r>
    <r>
      <rPr>
        <sz val="11"/>
        <color rgb="FF000000"/>
        <rFont val="Calibri"/>
      </rPr>
      <t xml:space="preserve">
</t>
    </r>
    <r>
      <rPr>
        <sz val="11"/>
        <color rgb="FF000000"/>
        <rFont val="Calibri"/>
      </rPr>
      <t xml:space="preserve">radius-server host x.x.x.x auth-port 1813 key xxxxxxxxxxxxx </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Step 2: Verify 802.1x authentication has been enabled globally on the network device similar to the following example:</t>
    </r>
    <r>
      <rPr>
        <sz val="11"/>
        <color rgb="FF000000"/>
        <rFont val="Calibri"/>
      </rPr>
      <t xml:space="preserve">
</t>
    </r>
    <r>
      <rPr>
        <sz val="11"/>
        <color rgb="FF000000"/>
        <rFont val="Calibri"/>
      </rPr>
      <t>dot1x system-auth-control</t>
    </r>
    <r>
      <rPr>
        <sz val="11"/>
        <color rgb="FF000000"/>
        <rFont val="Calibri"/>
      </rPr>
      <t xml:space="preserve">
</t>
    </r>
    <r>
      <rPr>
        <sz val="11"/>
        <color rgb="FF000000"/>
        <rFont val="Calibri"/>
      </rPr>
      <t>Step 3: Verify that all host-facing access switchports are configured to use 802.1x similar to the examples below:</t>
    </r>
    <r>
      <rPr>
        <sz val="11"/>
        <color rgb="FF000000"/>
        <rFont val="Calibri"/>
      </rPr>
      <t xml:space="preserve">
</t>
    </r>
    <r>
      <rPr>
        <sz val="11"/>
        <color rgb="FF000000"/>
        <rFont val="Calibri"/>
      </rPr>
      <t>interface fastethernet0/2</t>
    </r>
    <r>
      <rPr>
        <sz val="11"/>
        <color rgb="FF000000"/>
        <rFont val="Calibri"/>
      </rPr>
      <t xml:space="preserve">
</t>
    </r>
    <r>
      <rPr>
        <sz val="11"/>
        <color rgb="FF000000"/>
        <rFont val="Calibri"/>
      </rPr>
      <t>switchport mode access</t>
    </r>
    <r>
      <rPr>
        <sz val="11"/>
        <color rgb="FF000000"/>
        <rFont val="Calibri"/>
      </rPr>
      <t xml:space="preserve">
</t>
    </r>
    <r>
      <rPr>
        <sz val="11"/>
        <color rgb="FF000000"/>
        <rFont val="Calibri"/>
      </rPr>
      <t>dot1x port-control auto</t>
    </r>
    <r>
      <rPr>
        <sz val="11"/>
        <color rgb="FF000000"/>
        <rFont val="Calibri"/>
      </rPr>
      <t xml:space="preserve">
</t>
    </r>
    <r>
      <rPr>
        <sz val="11"/>
        <color rgb="FF000000"/>
        <rFont val="Calibri"/>
      </rPr>
      <t>Note: The “force-authorized” attribute must not be configured in leu of “auto” on the “dot1x port-control” command as this will bypass authentication and enable the switchport in an authorized state.</t>
    </r>
    <r>
      <rPr>
        <sz val="11"/>
        <color rgb="FF000000"/>
        <rFont val="Calibri"/>
      </rPr>
      <t xml:space="preserve">
</t>
    </r>
    <r>
      <rPr>
        <sz val="11"/>
        <color rgb="FF000000"/>
        <rFont val="Calibri"/>
      </rPr>
      <t>Note: MAC Authentication Bypass (MAB) must be configured on those switch ports connected to devices that do not support an 802.1x supplicant as shown in the following example:</t>
    </r>
    <r>
      <rPr>
        <sz val="11"/>
        <color rgb="FF000000"/>
        <rFont val="Calibri"/>
      </rPr>
      <t xml:space="preserve">
</t>
    </r>
    <r>
      <rPr>
        <sz val="11"/>
        <color rgb="FF000000"/>
        <rFont val="Calibri"/>
      </rPr>
      <t>interface fastethernet0/2</t>
    </r>
    <r>
      <rPr>
        <sz val="11"/>
        <color rgb="FF000000"/>
        <rFont val="Calibri"/>
      </rPr>
      <t xml:space="preserve">
</t>
    </r>
    <r>
      <rPr>
        <sz val="11"/>
        <color rgb="FF000000"/>
        <rFont val="Calibri"/>
      </rPr>
      <t>switchport mode access</t>
    </r>
    <r>
      <rPr>
        <sz val="11"/>
        <color rgb="FF000000"/>
        <rFont val="Calibri"/>
      </rPr>
      <t xml:space="preserve">
</t>
    </r>
    <r>
      <rPr>
        <sz val="11"/>
        <color rgb="FF000000"/>
        <rFont val="Calibri"/>
      </rPr>
      <t>dot1x mac-auth-bypass</t>
    </r>
    <r>
      <rPr>
        <sz val="11"/>
        <color rgb="FF000000"/>
        <rFont val="Calibri"/>
      </rPr>
      <t xml:space="preserve">
</t>
    </r>
    <r>
      <rPr>
        <sz val="11"/>
        <color rgb="FF000000"/>
        <rFont val="Calibri"/>
      </rPr>
      <t>If 802.1x authentication or MAB is not configured on all access switch ports connecting to LAN outlets or devices not located in the telecom room, wiring closets, or equipment rooms, this is a finding.</t>
    </r>
  </si>
  <si>
    <t>V-5628</t>
  </si>
  <si>
    <r>
      <rPr>
        <sz val="11"/>
        <rFont val="Calibri"/>
      </rPr>
      <t>A dedicated management VLAN or VLANs must be configured to keep management traffic separate from user data and control plane traffic.</t>
    </r>
  </si>
  <si>
    <r>
      <rPr>
        <sz val="11"/>
        <color rgb="FF000000"/>
        <rFont val="Calibri"/>
      </rPr>
      <t>Best practices for VLAN-based networks is create a dedicated management VLAN, prune unnecessary ports from gaining access to VLAN 1 as well as the management VLAN, and to separate in-band management, device protocol, and data traffic.</t>
    </r>
  </si>
  <si>
    <r>
      <rPr>
        <sz val="11"/>
        <color rgb="FF000000"/>
        <rFont val="Calibri"/>
      </rPr>
      <t>All ports, including the internal sc0 interface, are configured by default to be members of VLAN 1. In a VLAN-based network, switches use VLAN 1 as the default VLAN for in-band management and to communicate with other networking devices using Spanning-Tree Protocol (STP), Cisco Discovery Protocol (CDP), Dynamic Trunking Protocol (DTP), VLAN Trunking Protocol (VTP), and Port Aggregation Protocol (PAgP) all untagged traffic. As a consequence, VLAN 1 may unwisely span the entire network if not appropriately pruned. If its scope is large enough, the risk of compromise can increase significantly.</t>
    </r>
  </si>
  <si>
    <r>
      <rPr>
        <sz val="11"/>
        <color rgb="FF000000"/>
        <rFont val="Calibri"/>
      </rPr>
      <t>Review the device configurations to determine if a dedicated VLAN(s) have been implemented for the management network. VLAN 1 must not be used.</t>
    </r>
    <r>
      <rPr>
        <sz val="11"/>
        <color rgb="FF000000"/>
        <rFont val="Calibri"/>
      </rPr>
      <t xml:space="preserve">
</t>
    </r>
    <r>
      <rPr>
        <sz val="11"/>
        <color rgb="FF000000"/>
        <rFont val="Calibri"/>
      </rPr>
      <t>If a dedicated VLAN or VLANs have not been established for the management network, this is a finding.</t>
    </r>
    <r>
      <rPr>
        <sz val="11"/>
        <color rgb="FF000000"/>
        <rFont val="Calibri"/>
      </rPr>
      <t xml:space="preserve">
</t>
    </r>
    <r>
      <rPr>
        <sz val="11"/>
        <color rgb="FF000000"/>
        <rFont val="Calibri"/>
      </rPr>
      <t>If VLAN 1 is used for management, this is also a finding.</t>
    </r>
  </si>
  <si>
    <t>V-5645</t>
  </si>
  <si>
    <r>
      <rPr>
        <sz val="11"/>
        <rFont val="Calibri"/>
      </rPr>
      <t>Cisco Express Forwarding (CEF) must be enabled on all supported Cisco Layer 3 IP devices.</t>
    </r>
  </si>
  <si>
    <r>
      <rPr>
        <sz val="11"/>
        <color rgb="FF000000"/>
        <rFont val="Calibri"/>
      </rPr>
      <t>1. If the Cisco Layer 3 IP device is not enabled by default, enable Distributed CEF Mode globally.</t>
    </r>
    <r>
      <rPr>
        <sz val="11"/>
        <color rgb="FF000000"/>
        <rFont val="Calibri"/>
      </rPr>
      <t xml:space="preserve">
</t>
    </r>
    <r>
      <rPr>
        <sz val="11"/>
        <color rgb="FF000000"/>
        <rFont val="Calibri"/>
      </rPr>
      <t>Router(config)# ip cef distributed</t>
    </r>
    <r>
      <rPr>
        <sz val="11"/>
        <color rgb="FF000000"/>
        <rFont val="Calibri"/>
      </rPr>
      <t xml:space="preserve">
</t>
    </r>
    <r>
      <rPr>
        <sz val="11"/>
        <color rgb="FF000000"/>
        <rFont val="Calibri"/>
      </rPr>
      <t>2. If Distributed CEF Mode is not supported, enable Centralized CEF Mode globally.</t>
    </r>
    <r>
      <rPr>
        <sz val="11"/>
        <color rgb="FF000000"/>
        <rFont val="Calibri"/>
      </rPr>
      <t xml:space="preserve">
</t>
    </r>
    <r>
      <rPr>
        <sz val="11"/>
        <color rgb="FF000000"/>
        <rFont val="Calibri"/>
      </rPr>
      <t>Router(config)# ip cef</t>
    </r>
    <r>
      <rPr>
        <sz val="11"/>
        <color rgb="FF000000"/>
        <rFont val="Calibri"/>
      </rPr>
      <t xml:space="preserve">
</t>
    </r>
    <r>
      <rPr>
        <sz val="11"/>
        <color rgb="FF000000"/>
        <rFont val="Calibri"/>
      </rPr>
      <t>3. If CEF is not supported in any capacity on the device, this finding is NA.</t>
    </r>
  </si>
  <si>
    <r>
      <rPr>
        <sz val="11"/>
        <color rgb="FF000000"/>
        <rFont val="Calibri"/>
      </rPr>
      <t>The Cisco Express Forwarding (CEF) switching mode replaces the traditional Cisco routing cache with a data structure that mirrors the entire system routing table. Because there is no need to build cache entries when traffic starts arriving for new destinations, CEF behaves more predictably when presented with large volumes of traffic addressed to many destinations such as a SYN flood attacks. Because many SYN flood attacks use randomized source addresses to which the hosts under attack will reply to, there can be a substantial amount of traffic for a large number of destinations that the router will have to handle. Consequently, routers configured for CEF will perform better under SYN floods directed at hosts inside the network than routers using the traditional cache.</t>
    </r>
  </si>
  <si>
    <r>
      <rPr>
        <sz val="11"/>
        <color rgb="FF000000"/>
        <rFont val="Calibri"/>
      </rPr>
      <t>Determine if the Cisco Layer 3 device supports the use of CEF switching mode. If the current IOS version available for the device does not support CEF in any capacity, this requirement will be NA.</t>
    </r>
    <r>
      <rPr>
        <sz val="11"/>
        <color rgb="FF000000"/>
        <rFont val="Calibri"/>
      </rPr>
      <t xml:space="preserve">
</t>
    </r>
    <r>
      <rPr>
        <sz val="11"/>
        <color rgb="FF000000"/>
        <rFont val="Calibri"/>
      </rPr>
      <t xml:space="preserve">Most Cisco Layer 3 devices will support CEF in either Distributed or Central Mode. </t>
    </r>
    <r>
      <rPr>
        <sz val="11"/>
        <color rgb="FF000000"/>
        <rFont val="Calibri"/>
      </rPr>
      <t xml:space="preserve">
</t>
    </r>
    <r>
      <rPr>
        <sz val="11"/>
        <color rgb="FF000000"/>
        <rFont val="Calibri"/>
      </rPr>
      <t>1. If the device supports Distributed CEF Mode (dCEF), verify that it has been globally enabled.</t>
    </r>
    <r>
      <rPr>
        <sz val="11"/>
        <color rgb="FF000000"/>
        <rFont val="Calibri"/>
      </rPr>
      <t xml:space="preserve">
</t>
    </r>
    <r>
      <rPr>
        <sz val="11"/>
        <color rgb="FF000000"/>
        <rFont val="Calibri"/>
      </rPr>
      <t xml:space="preserve">2. If the device only supports Central CEF Mode (CEF), verify the function has been globally enabled. </t>
    </r>
    <r>
      <rPr>
        <sz val="11"/>
        <color rgb="FF000000"/>
        <rFont val="Calibri"/>
      </rPr>
      <t xml:space="preserve">
</t>
    </r>
    <r>
      <rPr>
        <sz val="11"/>
        <color rgb="FF000000"/>
        <rFont val="Calibri"/>
      </rPr>
      <t>Many of the devices have CEF enabled by default and many of the configurations will not show if CEF functionality is enabled. To verify CEF is running on a Cisco Layer 3 device with IOS run the following command:</t>
    </r>
    <r>
      <rPr>
        <sz val="11"/>
        <color rgb="FF000000"/>
        <rFont val="Calibri"/>
      </rPr>
      <t xml:space="preserve">
</t>
    </r>
    <r>
      <rPr>
        <sz val="11"/>
        <color rgb="FF000000"/>
        <rFont val="Calibri"/>
      </rPr>
      <t>router#show ip cef</t>
    </r>
    <r>
      <rPr>
        <sz val="11"/>
        <color rgb="FF000000"/>
        <rFont val="Calibri"/>
      </rPr>
      <t xml:space="preserve">
</t>
    </r>
    <r>
      <rPr>
        <sz val="11"/>
        <color rgb="FF000000"/>
        <rFont val="Calibri"/>
      </rPr>
      <t>%CEF not running</t>
    </r>
    <r>
      <rPr>
        <sz val="11"/>
        <color rgb="FF000000"/>
        <rFont val="Calibri"/>
      </rPr>
      <t xml:space="preserve">
</t>
    </r>
    <r>
      <rPr>
        <sz val="11"/>
        <color rgb="FF000000"/>
        <rFont val="Calibri"/>
      </rPr>
      <t>If CEF is shown to be not running, this is a finding.</t>
    </r>
  </si>
  <si>
    <t>V-5646</t>
  </si>
  <si>
    <r>
      <rPr>
        <sz val="11"/>
        <rFont val="Calibri"/>
      </rPr>
      <t>The network device must drop half-open TCP connections through filtering thresholds or timeout periods.</t>
    </r>
  </si>
  <si>
    <r>
      <rPr>
        <sz val="11"/>
        <color rgb="FF000000"/>
        <rFont val="Calibri"/>
      </rPr>
      <t>Configure the device to drop half-open TCP connections through threshold filtering or timeout periods.</t>
    </r>
  </si>
  <si>
    <r>
      <rPr>
        <sz val="11"/>
        <color rgb="FF000000"/>
        <rFont val="Calibri"/>
      </rPr>
      <t>A TCP connection consists of a three-way handshake message sequence. A connection request is transmitted by the originator, an acknowledgement is returned from the receiver, and then an acceptance of that acknowledgement is sent by the originator.</t>
    </r>
    <r>
      <rPr>
        <sz val="11"/>
        <color rgb="FF000000"/>
        <rFont val="Calibri"/>
      </rPr>
      <t xml:space="preserve">
</t>
    </r>
    <r>
      <rPr>
        <sz val="11"/>
        <color rgb="FF000000"/>
        <rFont val="Calibri"/>
      </rPr>
      <t>An attacker’s goal in this scenario is to cause a denial of service to the network or device by initiating a high volume of TCP packets, then never sending an acknowledgement, leaving connections in a half-opened state.  Without the device having a connection or time threshold for these half-opened sessions, the device risks being a victim of a denial of service attack.  Setting a TCP timeout threshold will instruct the device to shut down any incomplete connections. Services such as SSH, BGP, SNMP, LDP, etc. are some services that may be prone to these types of denial of service attacks. If the router does not have any BGP connections with BGP neighbors across WAN links, values could be set to even tighter constraints.</t>
    </r>
  </si>
  <si>
    <r>
      <rPr>
        <sz val="11"/>
        <color rgb="FF000000"/>
        <rFont val="Calibri"/>
      </rPr>
      <t>Review the device configuration to validate threshold filters or timeout periods are set for dropping excessive half-open TCP connections.</t>
    </r>
    <r>
      <rPr>
        <sz val="11"/>
        <color rgb="FF000000"/>
        <rFont val="Calibri"/>
      </rPr>
      <t xml:space="preserve">
</t>
    </r>
    <r>
      <rPr>
        <sz val="11"/>
        <color rgb="FF000000"/>
        <rFont val="Calibri"/>
      </rPr>
      <t>For timeout periods, the time should be set to 10 seconds or less.  If the device can not be configured for 10 seconds or less, it should be set to the least amount of time allowable in the configuration.  Threshold filters will need to be determined by the organization for optimal filtering.</t>
    </r>
    <r>
      <rPr>
        <sz val="11"/>
        <color rgb="FF000000"/>
        <rFont val="Calibri"/>
      </rPr>
      <t xml:space="preserve">
</t>
    </r>
    <r>
      <rPr>
        <sz val="11"/>
        <color rgb="FF000000"/>
        <rFont val="Calibri"/>
      </rPr>
      <t xml:space="preserve">IOS Configuration Example: </t>
    </r>
    <r>
      <rPr>
        <sz val="11"/>
        <color rgb="FF000000"/>
        <rFont val="Calibri"/>
      </rPr>
      <t xml:space="preserve">
</t>
    </r>
    <r>
      <rPr>
        <sz val="11"/>
        <color rgb="FF000000"/>
        <rFont val="Calibri"/>
      </rPr>
      <t>ip tcp synwait-time 10</t>
    </r>
  </si>
  <si>
    <t>V-7009</t>
  </si>
  <si>
    <r>
      <rPr>
        <sz val="11"/>
        <rFont val="Calibri"/>
      </rPr>
      <t>An Infinite Lifetime key must be set to never expire. The lifetime of the key will be configured as infinite for route authentication, if supported by the current approved router software version.</t>
    </r>
  </si>
  <si>
    <r>
      <rPr>
        <sz val="11"/>
        <color rgb="FF000000"/>
        <rFont val="Calibri"/>
      </rPr>
      <t>This check is in place to ensure keys do not expire creating a DOS due to adjacencies being dropped and routes being aged out. The recommendation is to use two rotating six month keys with a third key set as infinite lifetime. The lifetime key should be changed 7 days after the rotating keys have expired and redefined.</t>
    </r>
  </si>
  <si>
    <r>
      <rPr>
        <sz val="11"/>
        <color rgb="FF000000"/>
        <rFont val="Calibri"/>
      </rPr>
      <t>Only Interior Gateway Protocols (IGPs) use key chains. When configuring authentication for routing protocols that provide key chains, configure two rotating keys with overlapping expiration dates--both with a 180-day or less lifetime. A third key must also be defined with an infinite lifetime. Both of these steps ensure there will always be a key that can be placed into service by all peers. If a time period occurs during which no key is activated, authentication cannot occur; hence, route updates will not occur. The lifetime key should be changed 7 days after successful key rotation and synchronization has occurred with all peers.</t>
    </r>
  </si>
  <si>
    <r>
      <rPr>
        <sz val="11"/>
        <color rgb="FF000000"/>
        <rFont val="Calibri"/>
      </rPr>
      <t>Review the running configuration to determine if key authentication has been defined with an infinite lifetime.</t>
    </r>
    <r>
      <rPr>
        <sz val="11"/>
        <color rgb="FF000000"/>
        <rFont val="Calibri"/>
      </rPr>
      <t xml:space="preserve">
</t>
    </r>
    <r>
      <rPr>
        <sz val="11"/>
        <color rgb="FF000000"/>
        <rFont val="Calibri"/>
      </rPr>
      <t>If an infinite key has not been configured, this is a finding.</t>
    </r>
    <r>
      <rPr>
        <sz val="11"/>
        <color rgb="FF000000"/>
        <rFont val="Calibri"/>
      </rPr>
      <t xml:space="preserve">
</t>
    </r>
    <r>
      <rPr>
        <sz val="11"/>
        <color rgb="FF000000"/>
        <rFont val="Calibri"/>
      </rPr>
      <t>OSPFv2 Example</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ip address 10.1.12.2 255.255.255.0</t>
    </r>
    <r>
      <rPr>
        <sz val="11"/>
        <color rgb="FF000000"/>
        <rFont val="Calibri"/>
      </rPr>
      <t xml:space="preserve">
</t>
    </r>
    <r>
      <rPr>
        <sz val="11"/>
        <color rgb="FF000000"/>
        <rFont val="Calibri"/>
      </rPr>
      <t xml:space="preserve">  ip ospf authentication key-chain OSPF_KEY</t>
    </r>
    <r>
      <rPr>
        <sz val="11"/>
        <color rgb="FF000000"/>
        <rFont val="Calibri"/>
      </rPr>
      <t xml:space="preserve">
</t>
    </r>
    <r>
      <rPr>
        <sz val="11"/>
        <color rgb="FF000000"/>
        <rFont val="Calibri"/>
      </rPr>
      <t>key chain OSPF_KEY</t>
    </r>
    <r>
      <rPr>
        <sz val="11"/>
        <color rgb="FF000000"/>
        <rFont val="Calibri"/>
      </rPr>
      <t xml:space="preserve">
</t>
    </r>
    <r>
      <rPr>
        <sz val="11"/>
        <color rgb="FF000000"/>
        <rFont val="Calibri"/>
      </rPr>
      <t>key 1</t>
    </r>
    <r>
      <rPr>
        <sz val="11"/>
        <color rgb="FF000000"/>
        <rFont val="Calibri"/>
      </rPr>
      <t xml:space="preserve">
</t>
    </r>
    <r>
      <rPr>
        <sz val="11"/>
        <color rgb="FF000000"/>
        <rFont val="Calibri"/>
      </rPr>
      <t xml:space="preserve">  key-string WWWWW </t>
    </r>
    <r>
      <rPr>
        <sz val="11"/>
        <color rgb="FF000000"/>
        <rFont val="Calibri"/>
      </rPr>
      <t xml:space="preserve">
</t>
    </r>
    <r>
      <rPr>
        <sz val="11"/>
        <color rgb="FF000000"/>
        <rFont val="Calibri"/>
      </rPr>
      <t xml:space="preserve">    send-lifetime 16:00:00 Feb 22 2017 16:00:00 Aug 22 2017</t>
    </r>
    <r>
      <rPr>
        <sz val="11"/>
        <color rgb="FF000000"/>
        <rFont val="Calibri"/>
      </rPr>
      <t xml:space="preserve">
</t>
    </r>
    <r>
      <rPr>
        <sz val="11"/>
        <color rgb="FF000000"/>
        <rFont val="Calibri"/>
      </rPr>
      <t xml:space="preserve">    accept-lifetime 16:00:00 Feb 22 2017 16:00:00 Aug 22 2017</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 xml:space="preserve">  key-string XXXXX </t>
    </r>
    <r>
      <rPr>
        <sz val="11"/>
        <color rgb="FF000000"/>
        <rFont val="Calibri"/>
      </rPr>
      <t xml:space="preserve">
</t>
    </r>
    <r>
      <rPr>
        <sz val="11"/>
        <color rgb="FF000000"/>
        <rFont val="Calibri"/>
      </rPr>
      <t xml:space="preserve">    send-lifetime 16:00:00 Aug 21 2017 16:00:00 Feb 20 2018</t>
    </r>
    <r>
      <rPr>
        <sz val="11"/>
        <color rgb="FF000000"/>
        <rFont val="Calibri"/>
      </rPr>
      <t xml:space="preserve">
</t>
    </r>
    <r>
      <rPr>
        <sz val="11"/>
        <color rgb="FF000000"/>
        <rFont val="Calibri"/>
      </rPr>
      <t xml:space="preserve">    accept-lifetime 16:00:00 Aug 21 2017 16:00:00 Feb 20 2018</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key 99999</t>
    </r>
    <r>
      <rPr>
        <sz val="11"/>
        <color rgb="FF000000"/>
        <rFont val="Calibri"/>
      </rPr>
      <t xml:space="preserve">
</t>
    </r>
    <r>
      <rPr>
        <sz val="11"/>
        <color rgb="FF000000"/>
        <rFont val="Calibri"/>
      </rPr>
      <t xml:space="preserve"> key-string YYYYY </t>
    </r>
    <r>
      <rPr>
        <sz val="11"/>
        <color rgb="FF000000"/>
        <rFont val="Calibri"/>
      </rPr>
      <t xml:space="preserve">
</t>
    </r>
    <r>
      <rPr>
        <sz val="11"/>
        <color rgb="FF000000"/>
        <rFont val="Calibri"/>
      </rPr>
      <t xml:space="preserve">    send-lifetime 15:59:00 Feb 20 2018 infinite</t>
    </r>
    <r>
      <rPr>
        <sz val="11"/>
        <color rgb="FF000000"/>
        <rFont val="Calibri"/>
      </rPr>
      <t xml:space="preserve">
</t>
    </r>
    <r>
      <rPr>
        <sz val="11"/>
        <color rgb="FF000000"/>
        <rFont val="Calibri"/>
      </rPr>
      <t xml:space="preserve">    accept-lifetime 15:59:00 Feb 20 2018 infinite</t>
    </r>
    <r>
      <rPr>
        <sz val="11"/>
        <color rgb="FF000000"/>
        <rFont val="Calibri"/>
      </rPr>
      <t xml:space="preserve">
</t>
    </r>
    <r>
      <rPr>
        <sz val="11"/>
        <color rgb="FF000000"/>
        <rFont val="Calibri"/>
      </rPr>
      <t xml:space="preserve">  cryptographic-algorithm hmac-sha-256 </t>
    </r>
    <r>
      <rPr>
        <sz val="11"/>
        <color rgb="FF000000"/>
        <rFont val="Calibri"/>
      </rPr>
      <t xml:space="preserve">
</t>
    </r>
    <r>
      <rPr>
        <sz val="11"/>
        <color rgb="FF000000"/>
        <rFont val="Calibri"/>
      </rPr>
      <t>Notes: Note: Only Interior Gateway Protocols (IGPs) use key chains.</t>
    </r>
    <r>
      <rPr>
        <sz val="11"/>
        <color rgb="FF000000"/>
        <rFont val="Calibri"/>
      </rPr>
      <t xml:space="preserve">
</t>
    </r>
    <r>
      <rPr>
        <sz val="11"/>
        <color rgb="FF000000"/>
        <rFont val="Calibri"/>
      </rPr>
      <t>Notes: When using authentication keys, it is imperative the site is in compliance with the NTP policies. The router has to know the time!</t>
    </r>
    <r>
      <rPr>
        <sz val="11"/>
        <color rgb="FF000000"/>
        <rFont val="Calibri"/>
      </rPr>
      <t xml:space="preserve">
</t>
    </r>
    <r>
      <rPr>
        <sz val="11"/>
        <color rgb="FF000000"/>
        <rFont val="Calibri"/>
      </rPr>
      <t>Notes: Must make this a high number to ensure you have plenty of room to put keys in before it. All subsequent keys will be decremented by one (9998, 9997...).</t>
    </r>
  </si>
  <si>
    <t>V-7011</t>
  </si>
  <si>
    <r>
      <rPr>
        <sz val="11"/>
        <rFont val="Calibri"/>
      </rPr>
      <t>The network element’s auxiliary port must be disabled unless it is connected to a secured modem providing encryption and authentication.</t>
    </r>
  </si>
  <si>
    <r>
      <rPr>
        <sz val="11"/>
        <color rgb="FF000000"/>
        <rFont val="Calibri"/>
      </rPr>
      <t>Disable the auxiliary port. If used for out-of-band administrative access, the port must be connected to a secured modem providing encryption and authentication.</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</si>
  <si>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 key fob and granted access to the appropriate maintenance port, thus the technician will gain access to the managed device (router, switch, etc.).  The token provides a method of strong (two-factor) user authentication.  The token works in conjunction with a server to generate one-time user passwords that will change values at second intervals.  The user must know a personal identification number (PIN) and possess the token to be allowed access to the device.</t>
    </r>
  </si>
  <si>
    <r>
      <rPr>
        <sz val="11"/>
        <color rgb="FF000000"/>
        <rFont val="Calibri"/>
      </rPr>
      <t>Review the configuration and verify that the auxiliary port is disabled unless a secured modem providing encryption and authentication is connected to it. The following configuration disables the Cisco IOS auxiliary 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line aux 0</t>
    </r>
    <r>
      <rPr>
        <sz val="11"/>
        <color rgb="FF000000"/>
        <rFont val="Calibri"/>
      </rPr>
      <t xml:space="preserve">
</t>
    </r>
    <r>
      <rPr>
        <sz val="11"/>
        <color rgb="FF000000"/>
        <rFont val="Calibri"/>
      </rPr>
      <t xml:space="preserve"> no exec</t>
    </r>
    <r>
      <rPr>
        <sz val="11"/>
        <color rgb="FF000000"/>
        <rFont val="Calibri"/>
      </rPr>
      <t xml:space="preserve">
</t>
    </r>
    <r>
      <rPr>
        <sz val="11"/>
        <color rgb="FF000000"/>
        <rFont val="Calibri"/>
      </rPr>
      <t>Note: The command transport input none must be configured under the line aux 0. However, this is the default and will not be shown in the running configuration.</t>
    </r>
  </si>
  <si>
    <t>V-14667</t>
  </si>
  <si>
    <r>
      <rPr>
        <sz val="11"/>
        <rFont val="Calibri"/>
      </rPr>
      <t>Network devices must be configured with rotating keys used for authenticating IGP peers that have a duration of 180 days or less.</t>
    </r>
  </si>
  <si>
    <r>
      <rPr>
        <sz val="11"/>
        <color rgb="FF000000"/>
        <rFont val="Calibri"/>
      </rPr>
      <t>Configure the device so rotating keys expire at 180 days or less.</t>
    </r>
  </si>
  <si>
    <r>
      <rPr>
        <sz val="11"/>
        <color rgb="FF000000"/>
        <rFont val="Calibri"/>
      </rPr>
      <t>If the keys used for routing protocol authentication are guessed, the malicious user could create havoc within the network by advertising incorrect routes and redirecting traffic. Changing the keys frequently reduces the risk of them eventually being guessed. When configuring authentication for routing protocols that provide key chains, configure two rotating keys with overlapping expiration dates, both with 180-day or less expirations.</t>
    </r>
  </si>
  <si>
    <r>
      <rPr>
        <sz val="11"/>
        <color rgb="FF000000"/>
        <rFont val="Calibri"/>
      </rPr>
      <t>Review device configuration for key expirations of 180 days or less.</t>
    </r>
    <r>
      <rPr>
        <sz val="11"/>
        <color rgb="FF000000"/>
        <rFont val="Calibri"/>
      </rPr>
      <t xml:space="preserve">
</t>
    </r>
    <r>
      <rPr>
        <sz val="11"/>
        <color rgb="FF000000"/>
        <rFont val="Calibri"/>
      </rPr>
      <t>If rotating keys are not configured to expire at 180 days or less, this is a finding.</t>
    </r>
  </si>
  <si>
    <t>V-14668</t>
  </si>
  <si>
    <r>
      <rPr>
        <sz val="11"/>
        <rFont val="Calibri"/>
      </rPr>
      <t>FTP servers on the device must be disabled.</t>
    </r>
  </si>
  <si>
    <t>L3 Switch; Router Security Technical Implementation Guide Juniper; Router</t>
  </si>
  <si>
    <r>
      <rPr>
        <sz val="11"/>
        <color rgb="FF000000"/>
        <rFont val="Calibri"/>
      </rPr>
      <t>Disable FTP server services on the device.</t>
    </r>
  </si>
  <si>
    <r>
      <rPr>
        <sz val="11"/>
        <color rgb="FF000000"/>
        <rFont val="Calibri"/>
      </rPr>
      <t>The additional services enabled on a router increases the risk for an attack since the router will listen for these services. In addition, these services provide an unsecured method for an attacker to gain access to the router.</t>
    </r>
  </si>
  <si>
    <r>
      <rPr>
        <sz val="11"/>
        <color rgb="FF000000"/>
        <rFont val="Calibri"/>
      </rPr>
      <t>Review the device configuration to determine if the device has been setup to be an FTP server.</t>
    </r>
    <r>
      <rPr>
        <sz val="11"/>
        <color rgb="FF000000"/>
        <rFont val="Calibri"/>
      </rPr>
      <t xml:space="preserve">
</t>
    </r>
    <r>
      <rPr>
        <sz val="11"/>
        <color rgb="FF000000"/>
        <rFont val="Calibri"/>
      </rPr>
      <t>If the device has been configured to be an FTP server, this is a finding.</t>
    </r>
  </si>
  <si>
    <t>V-14669</t>
  </si>
  <si>
    <r>
      <rPr>
        <sz val="11"/>
        <rFont val="Calibri"/>
      </rPr>
      <t>The administrator must ensure BSD r command services are disabled.</t>
    </r>
  </si>
  <si>
    <r>
      <rPr>
        <sz val="11"/>
        <color rgb="FF000000"/>
        <rFont val="Calibri"/>
      </rPr>
      <t>Configure the device to disable BSDr command services.</t>
    </r>
  </si>
  <si>
    <r>
      <rPr>
        <sz val="11"/>
        <color rgb="FF000000"/>
        <rFont val="Calibri"/>
      </rPr>
      <t>Berkeley Software Distribution (BSD) “r” commands allow users to execute commands on remote systems using a variety of protocols.  The BSD "r" commands (e.g., rsh, rlogin, rcp, rdump, rrestore, and rdist) are designed to provide convenient remote access without passwords to services such as remote command execution (rsh), remote login (rlogin), and remote file copy (rcp and rdist).  The difficulty with these commands is that they use address-based authentication.  An attacker who convinces a server that he is coming from a "trusted" machine can essentially get complete and unrestricted access to a system.  The attacker can convince the server by impersonating a trusted machine and using IP address, by confusing DNS so that DNS thinks that the attacker's IP address maps to a trusted machine's name, or by any of a number of other methods</t>
    </r>
  </si>
  <si>
    <r>
      <rPr>
        <sz val="11"/>
        <color rgb="FF000000"/>
        <rFont val="Calibri"/>
      </rPr>
      <t>Verify that the following BSDr global commands are not defined in the configuration:</t>
    </r>
    <r>
      <rPr>
        <sz val="11"/>
        <color rgb="FF000000"/>
        <rFont val="Calibri"/>
      </rPr>
      <t xml:space="preserve">
</t>
    </r>
    <r>
      <rPr>
        <sz val="11"/>
        <color rgb="FF000000"/>
        <rFont val="Calibri"/>
      </rPr>
      <t xml:space="preserve">     ip rcmd rcp-enable</t>
    </r>
    <r>
      <rPr>
        <sz val="11"/>
        <color rgb="FF000000"/>
        <rFont val="Calibri"/>
      </rPr>
      <t xml:space="preserve">
</t>
    </r>
    <r>
      <rPr>
        <sz val="11"/>
        <color rgb="FF000000"/>
        <rFont val="Calibri"/>
      </rPr>
      <t xml:space="preserve">     ip rcmd rsh-enable</t>
    </r>
    <r>
      <rPr>
        <sz val="11"/>
        <color rgb="FF000000"/>
        <rFont val="Calibri"/>
      </rPr>
      <t xml:space="preserve">
</t>
    </r>
    <r>
      <rPr>
        <sz val="11"/>
        <color rgb="FF000000"/>
        <rFont val="Calibri"/>
      </rPr>
      <t>These commands have been disabled by default in IOS since version 12.0.</t>
    </r>
  </si>
  <si>
    <t>V-14670</t>
  </si>
  <si>
    <r>
      <rPr>
        <sz val="11"/>
        <rFont val="Calibri"/>
      </rPr>
      <t>The router administrator will ensure ICMPv6 unreachable notifications, and redirects are disabled on all external interfaces of the premise router.</t>
    </r>
  </si>
  <si>
    <r>
      <rPr>
        <sz val="11"/>
        <color rgb="FF000000"/>
        <rFont val="Calibri"/>
      </rPr>
      <t>The network element configuration must be changed to ensure ICMPv6 unreachables and redirects are disabled at all external interfaces.</t>
    </r>
  </si>
  <si>
    <r>
      <rPr>
        <sz val="11"/>
        <color rgb="FF000000"/>
        <rFont val="Calibri"/>
      </rPr>
      <t>The Internet Control Message Protocol version 6 (ICMPv6) supports IPv6 traffic by relaying information about paths, routes, and network conditions. Routers automatically send ICMPv6 messages under a wide variety of conditions. ICMPv6 messages are commonly used by attackers for network mapping and diagnosis: Host unreachable, and Redirect.</t>
    </r>
  </si>
  <si>
    <r>
      <rPr>
        <sz val="11"/>
        <color rgb="FF000000"/>
        <rFont val="Calibri"/>
      </rPr>
      <t>Review the active configuration to determine if controls have been defined to ensure router has ICMPv6 unreachables or redirects disabled any external interfaces.</t>
    </r>
  </si>
  <si>
    <t>V-14671</t>
  </si>
  <si>
    <r>
      <rPr>
        <sz val="11"/>
        <rFont val="Calibri"/>
      </rPr>
      <t>The network element must authenticate all NTP messages received from NTP servers and peers.</t>
    </r>
  </si>
  <si>
    <r>
      <rPr>
        <sz val="11"/>
        <color rgb="FF000000"/>
        <rFont val="Calibri"/>
      </rPr>
      <t>Configure the device to authenticate all received NTP messages using a FIPS-approved message authentication code algorithm.</t>
    </r>
  </si>
  <si>
    <r>
      <rPr>
        <sz val="11"/>
        <color rgb="FF000000"/>
        <rFont val="Calibri"/>
      </rPr>
      <t xml:space="preserve">Since NTP is used to ensure accurate log file time stamp information, NTP could pose a security risk if a malicious user were able to falsify NTP information. To launch an attack on the NTP infrastructure, a hacker could inject time that would be accepted by NTP clients by spoofing the IP address of a valid NTP server. To mitigate this risk, the time messages must be authenticated by the client before accepting them as a time source. </t>
    </r>
    <r>
      <rPr>
        <sz val="11"/>
        <color rgb="FF000000"/>
        <rFont val="Calibri"/>
      </rPr>
      <t xml:space="preserve">
</t>
    </r>
    <r>
      <rPr>
        <sz val="11"/>
        <color rgb="FF000000"/>
        <rFont val="Calibri"/>
      </rPr>
      <t>Two NTP-enabled devices can communicate in either client-server mode or peer-to-peer mode (aka "symmetric mode"). The peering mode is configured manually on the device and indicated in the outgoing NTP packets. The fundamental difference is the synchronization behavior: an NTP server can synchronize to a peer with better stratum, whereas it will never synchronize to its client regardless of the client's stratum. From a protocol perspective, NTP clients are no different from the NTP servers. The NTP client can synchronize to multiple NTP servers, select the best server and synchronize with it, or synchronize to the averaged value returned by the servers.</t>
    </r>
    <r>
      <rPr>
        <sz val="11"/>
        <color rgb="FF000000"/>
        <rFont val="Calibri"/>
      </rPr>
      <t xml:space="preserve">
</t>
    </r>
    <r>
      <rPr>
        <sz val="11"/>
        <color rgb="FF000000"/>
        <rFont val="Calibri"/>
      </rPr>
      <t xml:space="preserve">A hierarchical model can be used to improve scalability. With this implementation, an NTP client can also become an NTP server providing time to downstream clients at a higher stratum level and of decreasing accuracy than that of its upstream server. To increase availability, NTP peering can be used between NTP servers. In the event the device loses connectivity to its upstream NTP server, it will be able to choose time from one of its peers. </t>
    </r>
    <r>
      <rPr>
        <sz val="11"/>
        <color rgb="FF000000"/>
        <rFont val="Calibri"/>
      </rPr>
      <t xml:space="preserve">
</t>
    </r>
    <r>
      <rPr>
        <sz val="11"/>
        <color rgb="FF000000"/>
        <rFont val="Calibri"/>
      </rPr>
      <t>The NTP authentication model is opposite of the typical client-server authentication model. NTP authentication enables an NTP client or peer to authenticate time received from their servers and peers. It is not used to authenticate NTP clients because NTP servers do not care about the authenticity of their clients, as they never accept any time from them.</t>
    </r>
  </si>
  <si>
    <r>
      <rPr>
        <sz val="11"/>
        <color rgb="FF000000"/>
        <rFont val="Calibri"/>
      </rPr>
      <t>Review the network element configuration and verify that it is authenticating NTP messages received from the NTP server or peer using a FIPS-approved message authentication code algorithm. 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t>
    </r>
    <r>
      <rPr>
        <sz val="11"/>
        <color rgb="FF000000"/>
        <rFont val="Calibri"/>
      </rPr>
      <t xml:space="preserve">
</t>
    </r>
    <r>
      <rPr>
        <sz val="11"/>
        <color rgb="FF000000"/>
        <rFont val="Calibri"/>
      </rPr>
      <t>Downgrade:</t>
    </r>
    <r>
      <rPr>
        <sz val="11"/>
        <color rgb="FF000000"/>
        <rFont val="Calibri"/>
      </rPr>
      <t xml:space="preserve">
</t>
    </r>
    <r>
      <rPr>
        <sz val="11"/>
        <color rgb="FF000000"/>
        <rFont val="Calibri"/>
      </rPr>
      <t>If the network device is not capable of authenticating the NTP server or peer using a FIPS-approved message authentication code algorithm, then MD5 can be utilized for NTP message authentication and the finding can be downgraded to a CAT III.</t>
    </r>
    <r>
      <rPr>
        <sz val="11"/>
        <color rgb="FF000000"/>
        <rFont val="Calibri"/>
      </rPr>
      <t xml:space="preserve">
</t>
    </r>
    <r>
      <rPr>
        <sz val="11"/>
        <color rgb="FF000000"/>
        <rFont val="Calibri"/>
      </rPr>
      <t>If the network element is not configured to authenticate received NTP messages using a FIPS-approved message authentication code algorithm, this is a finding. A downgrade can be determined based on the criteria above.</t>
    </r>
  </si>
  <si>
    <t>V-14672</t>
  </si>
  <si>
    <r>
      <rPr>
        <sz val="11"/>
        <rFont val="Calibri"/>
      </rPr>
      <t>The router must use its loopback or OOB management interface address as the source address when originating TACACS+ or RADIUS traffic.</t>
    </r>
  </si>
  <si>
    <r>
      <rPr>
        <sz val="11"/>
        <color rgb="FF000000"/>
        <rFont val="Calibri"/>
      </rPr>
      <t>Configure the device to use its loopback or OOB management interface address as the source address when originating authentication services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</si>
  <si>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TACACS+, RADIUS messages sent to management servers should use the loopback address as the source address.</t>
    </r>
  </si>
  <si>
    <r>
      <rPr>
        <sz val="11"/>
        <color rgb="FF000000"/>
        <rFont val="Calibri"/>
      </rPr>
      <t>Review the configuration and verify the loopback interface address is used as the source address when originating TACACS+ or RADIUS traffic. If the device is managed from an OOB management network, the OOB interface must be used instead. Verify that a loopback address has been configured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ip tacacs source-interface Loopback0</t>
    </r>
    <r>
      <rPr>
        <sz val="11"/>
        <color rgb="FF000000"/>
        <rFont val="Calibri"/>
      </rPr>
      <t xml:space="preserve">
</t>
    </r>
    <r>
      <rPr>
        <sz val="11"/>
        <color rgb="FF000000"/>
        <rFont val="Calibri"/>
      </rPr>
      <t>ip radius source-interface Loopback0</t>
    </r>
    <r>
      <rPr>
        <sz val="11"/>
        <color rgb="FF000000"/>
        <rFont val="Calibri"/>
      </rPr>
      <t xml:space="preserve">
</t>
    </r>
    <r>
      <rPr>
        <sz val="11"/>
        <color rgb="FF000000"/>
        <rFont val="Calibri"/>
      </rPr>
      <t>Note: IOS allows multiple loopback interfaces to be defined.</t>
    </r>
  </si>
  <si>
    <t>V-14673</t>
  </si>
  <si>
    <r>
      <rPr>
        <sz val="11"/>
        <rFont val="Calibri"/>
      </rPr>
      <t>The router must use its loopback or OOB management interface address as the source address when originating syslog traffic.</t>
    </r>
  </si>
  <si>
    <r>
      <rPr>
        <sz val="11"/>
        <color rgb="FF000000"/>
        <rFont val="Calibri"/>
      </rPr>
      <t>Configure the device to use its loopback or OOB management interface address as the source address when originating syslog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</si>
  <si>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Syslog messages sent to management servers should use the loopback address as the source address.</t>
    </r>
  </si>
  <si>
    <r>
      <rPr>
        <sz val="11"/>
        <color rgb="FF000000"/>
        <rFont val="Calibri"/>
      </rPr>
      <t>Review the configuration and verify the loopback interface address is used as the source address when originating syslog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on</t>
    </r>
    <r>
      <rPr>
        <sz val="11"/>
        <color rgb="FF000000"/>
        <rFont val="Calibri"/>
      </rPr>
      <t xml:space="preserve">
</t>
    </r>
    <r>
      <rPr>
        <sz val="11"/>
        <color rgb="FF000000"/>
        <rFont val="Calibri"/>
      </rPr>
      <t>logging host 192.168.1.100</t>
    </r>
    <r>
      <rPr>
        <sz val="11"/>
        <color rgb="FF000000"/>
        <rFont val="Calibri"/>
      </rPr>
      <t xml:space="preserve">
</t>
    </r>
    <r>
      <rPr>
        <sz val="11"/>
        <color rgb="FF000000"/>
        <rFont val="Calibri"/>
      </rPr>
      <t>logging source-interface Loopback0</t>
    </r>
    <r>
      <rPr>
        <sz val="11"/>
        <color rgb="FF000000"/>
        <rFont val="Calibri"/>
      </rPr>
      <t xml:space="preserve">
</t>
    </r>
    <r>
      <rPr>
        <sz val="11"/>
        <color rgb="FF000000"/>
        <rFont val="Calibri"/>
      </rPr>
      <t>Note: IOS allows multiple loopback interfaces to be defined.</t>
    </r>
  </si>
  <si>
    <t>V-14674</t>
  </si>
  <si>
    <r>
      <rPr>
        <sz val="11"/>
        <rFont val="Calibri"/>
      </rPr>
      <t>The router must use its loopback or OOB management interface address as the source address when originating NTP traffic.</t>
    </r>
  </si>
  <si>
    <r>
      <rPr>
        <sz val="11"/>
        <color rgb="FF000000"/>
        <rFont val="Calibri"/>
      </rPr>
      <t>Configure the device to use its loopback or OOB management interface address as the source address when originating NTP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</si>
  <si>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NTP messages sent to management servers should use the loopback address as the source address.</t>
    </r>
  </si>
  <si>
    <r>
      <rPr>
        <sz val="11"/>
        <color rgb="FF000000"/>
        <rFont val="Calibri"/>
      </rPr>
      <t>Review the configuration and verify the loopback interface address is used as the source address when originating NTP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ntp server 129.237.32.2</t>
    </r>
    <r>
      <rPr>
        <sz val="11"/>
        <color rgb="FF000000"/>
        <rFont val="Calibri"/>
      </rPr>
      <t xml:space="preserve">
</t>
    </r>
    <r>
      <rPr>
        <sz val="11"/>
        <color rgb="FF000000"/>
        <rFont val="Calibri"/>
      </rPr>
      <t>ntp server 142.181.31.6</t>
    </r>
    <r>
      <rPr>
        <sz val="11"/>
        <color rgb="FF000000"/>
        <rFont val="Calibri"/>
      </rPr>
      <t xml:space="preserve">
</t>
    </r>
    <r>
      <rPr>
        <sz val="11"/>
        <color rgb="FF000000"/>
        <rFont val="Calibri"/>
      </rPr>
      <t>ntp source Loopback0</t>
    </r>
    <r>
      <rPr>
        <sz val="11"/>
        <color rgb="FF000000"/>
        <rFont val="Calibri"/>
      </rPr>
      <t xml:space="preserve">
</t>
    </r>
    <r>
      <rPr>
        <sz val="11"/>
        <color rgb="FF000000"/>
        <rFont val="Calibri"/>
      </rPr>
      <t>Note: IOS allows multiple loopback interfaces to be defined.</t>
    </r>
  </si>
  <si>
    <t>V-14675</t>
  </si>
  <si>
    <r>
      <rPr>
        <sz val="11"/>
        <rFont val="Calibri"/>
      </rPr>
      <t>The router must use its loopback or OOB management interface address as the source address when originating SNMP traffic.</t>
    </r>
  </si>
  <si>
    <r>
      <rPr>
        <sz val="11"/>
        <color rgb="FF000000"/>
        <rFont val="Calibri"/>
      </rPr>
      <t>Configure the device to use its loopback or OOB management interface address as the source address when originating SNMP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</si>
  <si>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SNMP messages sent to management servers should use the loopback address as the source address.</t>
    </r>
  </si>
  <si>
    <r>
      <rPr>
        <sz val="11"/>
        <color rgb="FF000000"/>
        <rFont val="Calibri"/>
      </rPr>
      <t>Review the configuration and verify the loopback interface address is used as the source address when originating SNMP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snmp-server trap-source Loopback0</t>
    </r>
    <r>
      <rPr>
        <sz val="11"/>
        <color rgb="FF000000"/>
        <rFont val="Calibri"/>
      </rPr>
      <t xml:space="preserve">
</t>
    </r>
    <r>
      <rPr>
        <sz val="11"/>
        <color rgb="FF000000"/>
        <rFont val="Calibri"/>
      </rPr>
      <t>Note: IOS allows multiple loopback interfaces to be defined.</t>
    </r>
  </si>
  <si>
    <t>V-14676</t>
  </si>
  <si>
    <r>
      <rPr>
        <sz val="11"/>
        <rFont val="Calibri"/>
      </rPr>
      <t>The router must use its loopback or OOB management interface address as the source address when originating NetFlow traffic.</t>
    </r>
  </si>
  <si>
    <r>
      <rPr>
        <sz val="11"/>
        <color rgb="FF000000"/>
        <rFont val="Calibri"/>
      </rPr>
      <t>Configure the router to use its loopback or OOB management interface address as the source address when originating NetFlow traffic.</t>
    </r>
  </si>
  <si>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Netflow messages sent to management servers should use the loopback address as the source address.</t>
    </r>
  </si>
  <si>
    <r>
      <rPr>
        <sz val="11"/>
        <color rgb="FF000000"/>
        <rFont val="Calibri"/>
      </rPr>
      <t>Review the configuration and verify the loopback interface address is used as the source address when originating NetFlow traffic. If the device is managed from an OOB management network, the OOB interface must be used instead. The configuration should look similar as shown in the following example:</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 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flow-sampling-mode packet-interval 100</t>
    </r>
    <r>
      <rPr>
        <sz val="11"/>
        <color rgb="FF000000"/>
        <rFont val="Calibri"/>
      </rPr>
      <t xml:space="preserve">
</t>
    </r>
    <r>
      <rPr>
        <sz val="11"/>
        <color rgb="FF000000"/>
        <rFont val="Calibri"/>
      </rPr>
      <t>ip flow-export destination 192.168.3.33 9991</t>
    </r>
    <r>
      <rPr>
        <sz val="11"/>
        <color rgb="FF000000"/>
        <rFont val="Calibri"/>
      </rPr>
      <t xml:space="preserve">
</t>
    </r>
    <r>
      <rPr>
        <sz val="11"/>
        <color rgb="FF000000"/>
        <rFont val="Calibri"/>
      </rPr>
      <t>ip flow-export source Loopback0</t>
    </r>
    <r>
      <rPr>
        <sz val="11"/>
        <color rgb="FF000000"/>
        <rFont val="Calibri"/>
      </rPr>
      <t xml:space="preserve">
</t>
    </r>
    <r>
      <rPr>
        <sz val="11"/>
        <color rgb="FF000000"/>
        <rFont val="Calibri"/>
      </rPr>
      <t>Note: IOS allows multiple loopback interfaces to be defined.</t>
    </r>
  </si>
  <si>
    <t>V-14677</t>
  </si>
  <si>
    <r>
      <rPr>
        <sz val="11"/>
        <rFont val="Calibri"/>
      </rPr>
      <t>The network device must use its loopback or OOB management interface address as the source address when originating TFTP or FTP traffic.</t>
    </r>
  </si>
  <si>
    <r>
      <rPr>
        <sz val="11"/>
        <color rgb="FF000000"/>
        <rFont val="Calibri"/>
      </rPr>
      <t>Configure the network device to use a loopback interface address as the source address when originating TFTP or FTP traffic.</t>
    </r>
    <r>
      <rPr>
        <sz val="11"/>
        <color rgb="FF000000"/>
        <rFont val="Calibri"/>
      </rPr>
      <t xml:space="preserve">
</t>
    </r>
    <r>
      <rPr>
        <sz val="11"/>
        <color rgb="FF000000"/>
        <rFont val="Calibri"/>
      </rPr>
      <t>Example:</t>
    </r>
    <r>
      <rPr>
        <sz val="11"/>
        <color rgb="FF000000"/>
        <rFont val="Calibri"/>
      </rPr>
      <t xml:space="preserve">
</t>
    </r>
    <r>
      <rPr>
        <sz val="11"/>
        <color rgb="FF000000"/>
        <rFont val="Calibri"/>
      </rPr>
      <t>Router(config)# interface loopback 0</t>
    </r>
    <r>
      <rPr>
        <sz val="11"/>
        <color rgb="FF000000"/>
        <rFont val="Calibri"/>
      </rPr>
      <t xml:space="preserve">
</t>
    </r>
    <r>
      <rPr>
        <sz val="11"/>
        <color rgb="FF000000"/>
        <rFont val="Calibri"/>
      </rPr>
      <t xml:space="preserve">Router(config-if)# ip address x.x.x.x 255.255.255.255       </t>
    </r>
    <r>
      <rPr>
        <sz val="11"/>
        <color rgb="FF000000"/>
        <rFont val="Calibri"/>
      </rPr>
      <t xml:space="preserve">
</t>
    </r>
    <r>
      <rPr>
        <sz val="11"/>
        <color rgb="FF000000"/>
        <rFont val="Calibri"/>
      </rPr>
      <t>Router(config)# ip ftp source-interface loopback0</t>
    </r>
    <r>
      <rPr>
        <sz val="11"/>
        <color rgb="FF000000"/>
        <rFont val="Calibri"/>
      </rPr>
      <t xml:space="preserve">
</t>
    </r>
    <r>
      <rPr>
        <sz val="11"/>
        <color rgb="FF000000"/>
        <rFont val="Calibri"/>
      </rPr>
      <t>Router(config)# ip tftp source-interface loopback0</t>
    </r>
    <r>
      <rPr>
        <sz val="11"/>
        <color rgb="FF000000"/>
        <rFont val="Calibri"/>
      </rPr>
      <t xml:space="preserve">
</t>
    </r>
    <r>
      <rPr>
        <sz val="11"/>
        <color rgb="FF000000"/>
        <rFont val="Calibri"/>
      </rPr>
      <t>If an OOB management interface is being used, configure the interface for TFTP or FTP traffic origination.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Router(config)# ip ftp source-interface fe0/0</t>
    </r>
    <r>
      <rPr>
        <sz val="11"/>
        <color rgb="FF000000"/>
        <rFont val="Calibri"/>
      </rPr>
      <t xml:space="preserve">
</t>
    </r>
    <r>
      <rPr>
        <sz val="11"/>
        <color rgb="FF000000"/>
        <rFont val="Calibri"/>
      </rPr>
      <t>Router(config)# ip tftp source-interface fe0/0</t>
    </r>
  </si>
  <si>
    <r>
      <rPr>
        <sz val="11"/>
        <color rgb="FF000000"/>
        <rFont val="Calibri"/>
      </rPr>
      <t>Using a loopback address as the source address offers a multitude of uses for security, access, management, and scalability of network devices. It is easier to construct appropriate ingress filters for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TFTP and FTP messages sent to management servers should use the loopback address as the source address.</t>
    </r>
  </si>
  <si>
    <r>
      <rPr>
        <sz val="11"/>
        <color rgb="FF000000"/>
        <rFont val="Calibri"/>
      </rPr>
      <t xml:space="preserve">Review the configuration and verify a loopback interface address is used as the source address when originating TFTP or FTP traffic.  </t>
    </r>
    <r>
      <rPr>
        <sz val="11"/>
        <color rgb="FF000000"/>
        <rFont val="Calibri"/>
      </rPr>
      <t xml:space="preserve">
</t>
    </r>
    <r>
      <rPr>
        <sz val="11"/>
        <color rgb="FF000000"/>
        <rFont val="Calibri"/>
      </rPr>
      <t>Router# show run</t>
    </r>
    <r>
      <rPr>
        <sz val="11"/>
        <color rgb="FF000000"/>
        <rFont val="Calibri"/>
      </rPr>
      <t xml:space="preserve">
</t>
    </r>
    <r>
      <rPr>
        <sz val="11"/>
        <color rgb="FF000000"/>
        <rFont val="Calibri"/>
      </rPr>
      <t>Building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description Loopback interface</t>
    </r>
    <r>
      <rPr>
        <sz val="11"/>
        <color rgb="FF000000"/>
        <rFont val="Calibri"/>
      </rPr>
      <t xml:space="preserve">
</t>
    </r>
    <r>
      <rPr>
        <sz val="11"/>
        <color rgb="FF000000"/>
        <rFont val="Calibri"/>
      </rPr>
      <t xml:space="preserve">  ip address x.x.x.x 255.255.255.255</t>
    </r>
    <r>
      <rPr>
        <sz val="11"/>
        <color rgb="FF000000"/>
        <rFont val="Calibri"/>
      </rPr>
      <t xml:space="preserve">
</t>
    </r>
    <r>
      <rPr>
        <sz val="11"/>
        <color rgb="FF000000"/>
        <rFont val="Calibri"/>
      </rPr>
      <t xml:space="preserve">  no ip directed-broadcast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telnet source-interface Loopback0</t>
    </r>
    <r>
      <rPr>
        <sz val="11"/>
        <color rgb="FF000000"/>
        <rFont val="Calibri"/>
      </rPr>
      <t xml:space="preserve">
</t>
    </r>
    <r>
      <rPr>
        <sz val="11"/>
        <color rgb="FF000000"/>
        <rFont val="Calibri"/>
      </rPr>
      <t>ip tftp source-interface Loopback0</t>
    </r>
    <r>
      <rPr>
        <sz val="11"/>
        <color rgb="FF000000"/>
        <rFont val="Calibri"/>
      </rPr>
      <t xml:space="preserve">
</t>
    </r>
    <r>
      <rPr>
        <sz val="11"/>
        <color rgb="FF000000"/>
        <rFont val="Calibri"/>
      </rPr>
      <t>ip ftp source-interface Loopback0</t>
    </r>
    <r>
      <rPr>
        <sz val="11"/>
        <color rgb="FF000000"/>
        <rFont val="Calibri"/>
      </rPr>
      <t xml:space="preserve">
</t>
    </r>
    <r>
      <rPr>
        <sz val="11"/>
        <color rgb="FF000000"/>
        <rFont val="Calibri"/>
      </rPr>
      <t>If the device is managed from an OOB management network, the OOB interface must be used instead.</t>
    </r>
    <r>
      <rPr>
        <sz val="11"/>
        <color rgb="FF000000"/>
        <rFont val="Calibri"/>
      </rPr>
      <t xml:space="preserve">
</t>
    </r>
    <r>
      <rPr>
        <sz val="11"/>
        <color rgb="FF000000"/>
        <rFont val="Calibri"/>
      </rPr>
      <t>Router# show run</t>
    </r>
    <r>
      <rPr>
        <sz val="11"/>
        <color rgb="FF000000"/>
        <rFont val="Calibri"/>
      </rPr>
      <t xml:space="preserve">
</t>
    </r>
    <r>
      <rPr>
        <sz val="11"/>
        <color rgb="FF000000"/>
        <rFont val="Calibri"/>
      </rPr>
      <t>Building 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tftp source-interface fe0/0</t>
    </r>
    <r>
      <rPr>
        <sz val="11"/>
        <color rgb="FF000000"/>
        <rFont val="Calibri"/>
      </rPr>
      <t xml:space="preserve">
</t>
    </r>
    <r>
      <rPr>
        <sz val="11"/>
        <color rgb="FF000000"/>
        <rFont val="Calibri"/>
      </rPr>
      <t>ip ftp source-interface fe0/0</t>
    </r>
  </si>
  <si>
    <t>V-14681</t>
  </si>
  <si>
    <r>
      <rPr>
        <sz val="11"/>
        <rFont val="Calibri"/>
      </rPr>
      <t>The router must use its loopback interface address as the source address for all iBGP peering sessions.</t>
    </r>
  </si>
  <si>
    <r>
      <rPr>
        <sz val="11"/>
        <color rgb="FF000000"/>
        <rFont val="Calibri"/>
      </rPr>
      <t>Configure the network device's loopback address as the source address for iBGP peering.</t>
    </r>
  </si>
  <si>
    <r>
      <rPr>
        <sz val="11"/>
        <color rgb="FF000000"/>
        <rFont val="Calibri"/>
      </rPr>
      <t>Using a loopback address as the source address offers a multitude of uses for security, access, management, and scalability. It is easier to construct appropriate filters for control plane traffic. Log information recorded by authentication and syslog servers will record the router’s loopback address instead of the numerous physical interface addresses.</t>
    </r>
  </si>
  <si>
    <r>
      <rPr>
        <sz val="11"/>
        <color rgb="FF000000"/>
        <rFont val="Calibri"/>
      </rPr>
      <t>Verify that the peering session with iBGP neighbors use the loopback address as the source address as shown in the example below:</t>
    </r>
    <r>
      <rPr>
        <sz val="11"/>
        <color rgb="FF000000"/>
        <rFont val="Calibri"/>
      </rPr>
      <t xml:space="preserve">
</t>
    </r>
    <r>
      <rPr>
        <sz val="11"/>
        <color rgb="FF000000"/>
        <rFont val="Calibri"/>
      </rPr>
      <t>interface loopback 0</t>
    </r>
    <r>
      <rPr>
        <sz val="11"/>
        <color rgb="FF000000"/>
        <rFont val="Calibri"/>
      </rPr>
      <t xml:space="preserve">
</t>
    </r>
    <r>
      <rPr>
        <sz val="11"/>
        <color rgb="FF000000"/>
        <rFont val="Calibri"/>
      </rPr>
      <t xml:space="preserve">ip address 10.10.2.1 255.255.255.255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100</t>
    </r>
    <r>
      <rPr>
        <sz val="11"/>
        <color rgb="FF000000"/>
        <rFont val="Calibri"/>
      </rPr>
      <t xml:space="preserve">
</t>
    </r>
    <r>
      <rPr>
        <sz val="11"/>
        <color rgb="FF000000"/>
        <rFont val="Calibri"/>
      </rPr>
      <t>neighbor 200.200.200.2 remote-as 200</t>
    </r>
    <r>
      <rPr>
        <sz val="11"/>
        <color rgb="FF000000"/>
        <rFont val="Calibri"/>
      </rPr>
      <t xml:space="preserve">
</t>
    </r>
    <r>
      <rPr>
        <sz val="11"/>
        <color rgb="FF000000"/>
        <rFont val="Calibri"/>
      </rPr>
      <t>neighbor 188.20.120.2 remote-as 144</t>
    </r>
    <r>
      <rPr>
        <sz val="11"/>
        <color rgb="FF000000"/>
        <rFont val="Calibri"/>
      </rPr>
      <t xml:space="preserve">
</t>
    </r>
    <r>
      <rPr>
        <sz val="11"/>
        <color rgb="FF000000"/>
        <rFont val="Calibri"/>
      </rPr>
      <t>neighbor 10.10.2.2 remote-as 100</t>
    </r>
    <r>
      <rPr>
        <sz val="11"/>
        <color rgb="FF000000"/>
        <rFont val="Calibri"/>
      </rPr>
      <t xml:space="preserve">
</t>
    </r>
    <r>
      <rPr>
        <sz val="11"/>
        <color rgb="FF000000"/>
        <rFont val="Calibri"/>
      </rPr>
      <t>neighbor 10.10.2.2 update-source Loopback0</t>
    </r>
    <r>
      <rPr>
        <sz val="11"/>
        <color rgb="FF000000"/>
        <rFont val="Calibri"/>
      </rPr>
      <t xml:space="preserve">
</t>
    </r>
    <r>
      <rPr>
        <sz val="11"/>
        <color rgb="FF000000"/>
        <rFont val="Calibri"/>
      </rPr>
      <t>neighbor 10.10.2.3 remote-as 100</t>
    </r>
    <r>
      <rPr>
        <sz val="11"/>
        <color rgb="FF000000"/>
        <rFont val="Calibri"/>
      </rPr>
      <t xml:space="preserve">
</t>
    </r>
    <r>
      <rPr>
        <sz val="11"/>
        <color rgb="FF000000"/>
        <rFont val="Calibri"/>
      </rPr>
      <t>neighbor 10.10.2.3 update-source Loopback0</t>
    </r>
  </si>
  <si>
    <t>V-14693</t>
  </si>
  <si>
    <r>
      <rPr>
        <sz val="11"/>
        <rFont val="Calibri"/>
      </rPr>
      <t>The network device must be configured to ensure IPv6 Site Local Unicast addresses are not defined in the enclave, (FEC0::/10). Note that this consist of all addresses that begin with FEC, FED, FEE and FEF.</t>
    </r>
  </si>
  <si>
    <r>
      <rPr>
        <sz val="11"/>
        <color rgb="FF000000"/>
        <rFont val="Calibri"/>
      </rPr>
      <t>Configure the device using authorized IP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</si>
  <si>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defined in RFC3513, i.e., 1111111011 binary or FEC0::/10.</t>
    </r>
  </si>
  <si>
    <r>
      <rPr>
        <sz val="11"/>
        <color rgb="FF000000"/>
        <rFont val="Calibri"/>
      </rPr>
      <t>Review the device configuration to ensure FEC0::/10 IP addresses are not defined.</t>
    </r>
    <r>
      <rPr>
        <sz val="11"/>
        <color rgb="FF000000"/>
        <rFont val="Calibri"/>
      </rPr>
      <t xml:space="preserve">
</t>
    </r>
    <r>
      <rPr>
        <sz val="11"/>
        <color rgb="FF000000"/>
        <rFont val="Calibri"/>
      </rPr>
      <t>If FEC0::/10 IP addresses are defined, this is a finding.</t>
    </r>
  </si>
  <si>
    <t>V-14705</t>
  </si>
  <si>
    <r>
      <rPr>
        <sz val="11"/>
        <rFont val="Calibri"/>
      </rPr>
      <t>The administrator will enable CEF to improve router stability during a SYN flood attack in an IPv6 enclave.</t>
    </r>
  </si>
  <si>
    <r>
      <rPr>
        <sz val="11"/>
        <color rgb="FF000000"/>
        <rFont val="Calibri"/>
      </rPr>
      <t>The IAO will ensure that the ipv6 cef command has been configured on Cisco routers.</t>
    </r>
  </si>
  <si>
    <r>
      <rPr>
        <sz val="11"/>
        <color rgb="FF000000"/>
        <rFont val="Calibri"/>
      </rPr>
      <t xml:space="preserve">The Cisco Express Forwarding (CEF) switching mode replaces the traditional Cisco routing cache with a data structure that mirrors the entire system routing table. Because there is no need to build cache entries when traffic starts arriving for new destinations, CEF behaves more predictably when presented with large volumes of traffic addressed to many destinations—such as a SYN flood attacks that. Because many SYN flood attacks use randomized source addresses to which the hosts under attack will reply to, there can be a substantial amount of traffic for a large number of destinations that the router will have to handle. Consequently, routers configured for CEF will perform better under SYN floods directed at hosts inside the network than routers using the traditional cache. </t>
    </r>
    <r>
      <rPr>
        <sz val="11"/>
        <color rgb="FF000000"/>
        <rFont val="Calibri"/>
      </rPr>
      <t xml:space="preserve">
</t>
    </r>
    <r>
      <rPr>
        <sz val="11"/>
        <color rgb="FF000000"/>
        <rFont val="Calibri"/>
      </rPr>
      <t>Note: Juniper’s FPC (Flexible PIC Concentrator) architecture with the integrated Packet Forwarding Engine provides similar functionality and capabilities and is far superior than the traditional routing cache that is vulnerable to a DoS attack described above. The forwarding plane on all Juniper M and T  Series platforms are built around this architecture and therefore is not configurable. The forwarding plane on all Juniper M and T Series platforms are built around the FPC (Flexible PIC Concentrator) architecture that has similar capabilities as CEF. FPC is not configurable and is totally integrated with the Packet Forwarding Engine; hence, this will always be not a finding.</t>
    </r>
  </si>
  <si>
    <r>
      <rPr>
        <sz val="11"/>
        <color rgb="FF000000"/>
        <rFont val="Calibri"/>
      </rPr>
      <t>IOS Procedure:  Review all Cisco routers to ensure that CEF has been enabled. The configuration should look similar to the following: ipv6 cef</t>
    </r>
  </si>
  <si>
    <t>V-14707</t>
  </si>
  <si>
    <r>
      <rPr>
        <sz val="11"/>
        <rFont val="Calibri"/>
      </rPr>
      <t>The network element must be configured from accepting any outbound IP packet that contains an illegitimate address in the source address field via egress ACL or by enabling Unicast Reverse Path Forwarding in an IPv6 enclave.</t>
    </r>
  </si>
  <si>
    <r>
      <rPr>
        <sz val="11"/>
        <color rgb="FF000000"/>
        <rFont val="Calibri"/>
      </rPr>
      <t>The network element must be configured to ensure that an ACL is configured to restrict the router from accepting any outbound IP packet that contains an external IP address in the source field.</t>
    </r>
  </si>
  <si>
    <r>
      <rPr>
        <sz val="11"/>
        <color rgb="FF000000"/>
        <rFont val="Calibri"/>
      </rPr>
      <t>Unicast Reverse Path Forwarding (uRPF) provides a mechanism for IP address spoof protection.  When uRPF is enabled on an interface, the router examines all packets received as input on that interface to make sure that the source address and source interface appear in the routing table and match the interface on which the packet was received.  If the packet was received from one of the best reverse path routes, the packet is forwarded as normal.  If there is no reverse path route on the same interface from which the packet was received, it might mean that the source address was modified.  If Unicast RPF does not find a reverse path for the packet, the packet is dropped.</t>
    </r>
    <r>
      <rPr>
        <sz val="11"/>
        <color rgb="FF000000"/>
        <rFont val="Calibri"/>
      </rPr>
      <t xml:space="preserve">
</t>
    </r>
    <r>
      <rPr>
        <sz val="11"/>
        <color rgb="FF000000"/>
        <rFont val="Calibri"/>
      </rPr>
      <t xml:space="preserve">If internal nodes automatically configure an address based on a prefix from a bogus Router Advertisement a dangerous situation may exist. An internal host may contact an internal server which responds with a packet that could be routed outside of the network via default routing (because the routers do not recognize the destination address as an internal address).  </t>
    </r>
    <r>
      <rPr>
        <sz val="11"/>
        <color rgb="FF000000"/>
        <rFont val="Calibri"/>
      </rPr>
      <t xml:space="preserve">
</t>
    </r>
    <r>
      <rPr>
        <sz val="11"/>
        <color rgb="FF000000"/>
        <rFont val="Calibri"/>
      </rPr>
      <t>To prevent this, filtering should be applied to network interfaces between internal host LANs and internal server LANs to insure that source addresses have valid prefixes.</t>
    </r>
  </si>
  <si>
    <r>
      <rPr>
        <sz val="11"/>
        <color rgb="FF000000"/>
        <rFont val="Calibri"/>
      </rPr>
      <t>Unicast Strict mode: Review the router configuration to ensure uRPF has been configured on all internal interfaces.</t>
    </r>
  </si>
  <si>
    <t>V-14717</t>
  </si>
  <si>
    <r>
      <rPr>
        <sz val="11"/>
        <rFont val="Calibri"/>
      </rPr>
      <t>The network element must not use SSH Version 1 for administrative access.</t>
    </r>
  </si>
  <si>
    <r>
      <rPr>
        <sz val="11"/>
        <color rgb="FF000000"/>
        <rFont val="Calibri"/>
      </rPr>
      <t>Configure the network device to use SSH version 2.</t>
    </r>
  </si>
  <si>
    <r>
      <rPr>
        <sz val="11"/>
        <color rgb="FF000000"/>
        <rFont val="Calibri"/>
      </rPr>
      <t>SSH Version 1 is a protocol that has never been defined in a standard.  Since SSH-1 has inherent design flaws which make it vulnerable to, e.g., man-in-the-middle attacks, it is now generally considered obsolete and should be avoided by explicitly disabling fallback to SSH-1.</t>
    </r>
  </si>
  <si>
    <r>
      <rPr>
        <sz val="11"/>
        <color rgb="FF000000"/>
        <rFont val="Calibri"/>
      </rPr>
      <t>If SSH is used for administrative access, then Version 2 must be configured as shown in the following example:</t>
    </r>
    <r>
      <rPr>
        <sz val="11"/>
        <color rgb="FF000000"/>
        <rFont val="Calibri"/>
      </rPr>
      <t xml:space="preserve">
</t>
    </r>
    <r>
      <rPr>
        <sz val="11"/>
        <color rgb="FF000000"/>
        <rFont val="Calibri"/>
      </rPr>
      <t>ip ssh version 2</t>
    </r>
  </si>
  <si>
    <t>V-15288</t>
  </si>
  <si>
    <r>
      <rPr>
        <sz val="11"/>
        <rFont val="Calibri"/>
      </rPr>
      <t>ISATAP tunnels must terminate at an interior router.</t>
    </r>
  </si>
  <si>
    <r>
      <rPr>
        <sz val="11"/>
        <color rgb="FF000000"/>
        <rFont val="Calibri"/>
      </rPr>
      <t>Terminate ISATAP tunnels at the infrastructure router to prohibit tunneled traffic from exiting the enclave perimeter prior to inspection by the IDS, IPS, or firewall.</t>
    </r>
  </si>
  <si>
    <r>
      <rPr>
        <sz val="11"/>
        <color rgb="FF000000"/>
        <rFont val="Calibri"/>
      </rPr>
      <t>ISATAP is an automatic tunnel mechanism that does not provide authentication such as IPSec.  As a result of this limitation, ISATAP is thought of as a tool that is used inside the enclave among trusted hosts, which would limit it to internal attacks.  ISATAP is a service versus a product, and is readily available to most users.  If a user knows the ISATAP router IP address, they can essentially get onto the IPv6 intranet.  To control the vulnerability of this tunnel mechanism, it is critical to control the use of protocol 41 and use IPv4 filters to control what IPv4 nodes can send protocol 41 packets to an ISATAP router interface.  Although the ISATAP tunneling mechanism is similar to other automatic tunneling mechanisms, such as IPv6 6to4 tunneling, ISATAP is designed for transporting IPv6 packets between sites within an enclave, not between enclaves.</t>
    </r>
  </si>
  <si>
    <r>
      <rPr>
        <sz val="11"/>
        <color rgb="FF000000"/>
        <rFont val="Calibri"/>
      </rPr>
      <t>Verify ISATAP tunnels are terminated on the infrastructure routers or L3 switches within the enclave.</t>
    </r>
    <r>
      <rPr>
        <sz val="11"/>
        <color rgb="FF000000"/>
        <rFont val="Calibri"/>
      </rPr>
      <t xml:space="preserve">
</t>
    </r>
    <r>
      <rPr>
        <sz val="11"/>
        <color rgb="FF000000"/>
        <rFont val="Calibri"/>
      </rPr>
      <t xml:space="preserve">Example configuration of an ISATAP tunnel endpoint: </t>
    </r>
    <r>
      <rPr>
        <sz val="11"/>
        <color rgb="FF000000"/>
        <rFont val="Calibri"/>
      </rPr>
      <t xml:space="preserve">
</t>
    </r>
    <r>
      <rPr>
        <sz val="11"/>
        <color rgb="FF000000"/>
        <rFont val="Calibri"/>
      </rPr>
      <t>interface tunnel 1</t>
    </r>
    <r>
      <rPr>
        <sz val="11"/>
        <color rgb="FF000000"/>
        <rFont val="Calibri"/>
      </rPr>
      <t xml:space="preserve">
</t>
    </r>
    <r>
      <rPr>
        <sz val="11"/>
        <color rgb="FF000000"/>
        <rFont val="Calibri"/>
      </rPr>
      <t>no ip address</t>
    </r>
    <r>
      <rPr>
        <sz val="11"/>
        <color rgb="FF000000"/>
        <rFont val="Calibri"/>
      </rPr>
      <t xml:space="preserve">
</t>
    </r>
    <r>
      <rPr>
        <sz val="11"/>
        <color rgb="FF000000"/>
        <rFont val="Calibri"/>
      </rPr>
      <t xml:space="preserve">no ip redirects </t>
    </r>
    <r>
      <rPr>
        <sz val="11"/>
        <color rgb="FF000000"/>
        <rFont val="Calibri"/>
      </rPr>
      <t xml:space="preserve">
</t>
    </r>
    <r>
      <rPr>
        <sz val="11"/>
        <color rgb="FF000000"/>
        <rFont val="Calibri"/>
      </rPr>
      <t>tunnel source ethernet 1</t>
    </r>
    <r>
      <rPr>
        <sz val="11"/>
        <color rgb="FF000000"/>
        <rFont val="Calibri"/>
      </rPr>
      <t xml:space="preserve">
</t>
    </r>
    <r>
      <rPr>
        <sz val="11"/>
        <color rgb="FF000000"/>
        <rFont val="Calibri"/>
      </rPr>
      <t xml:space="preserve"> tunnel mode ipv6ip isatap</t>
    </r>
    <r>
      <rPr>
        <sz val="11"/>
        <color rgb="FF000000"/>
        <rFont val="Calibri"/>
      </rPr>
      <t xml:space="preserve">
</t>
    </r>
    <r>
      <rPr>
        <sz val="11"/>
        <color rgb="FF000000"/>
        <rFont val="Calibri"/>
      </rPr>
      <t xml:space="preserve"> ipv6 address 2001:0DB8::/64 eui-64</t>
    </r>
    <r>
      <rPr>
        <sz val="11"/>
        <color rgb="FF000000"/>
        <rFont val="Calibri"/>
      </rPr>
      <t xml:space="preserve">
</t>
    </r>
    <r>
      <rPr>
        <sz val="11"/>
        <color rgb="FF000000"/>
        <rFont val="Calibri"/>
      </rPr>
      <t xml:space="preserve"> no ipv6 nd suppress-ra</t>
    </r>
  </si>
  <si>
    <t>V-15432</t>
  </si>
  <si>
    <r>
      <rPr>
        <sz val="11"/>
        <rFont val="Calibri"/>
      </rPr>
      <t>Network devices must use two or more authentication servers for the purpose of granting administrative access.</t>
    </r>
  </si>
  <si>
    <r>
      <rPr>
        <sz val="11"/>
        <color rgb="FF000000"/>
        <rFont val="Calibri"/>
      </rPr>
      <t>Configure the device to use two separate authentication servers.</t>
    </r>
  </si>
  <si>
    <r>
      <rPr>
        <sz val="11"/>
        <color rgb="FF000000"/>
        <rFont val="Calibri"/>
      </rPr>
      <t>The use of Authentication, Authorization, and Accounting (AAA) affords the best methods for controlling user access, authorization levels, and activity logging.  By enabling AAA on the routers in conjunction with an authentication server such as TACACS+ or RADIUS, the administrators can easily add or remove user accounts, add or remove command authorizations, and maintain a log of user activity.</t>
    </r>
    <r>
      <rPr>
        <sz val="11"/>
        <color rgb="FF000000"/>
        <rFont val="Calibri"/>
      </rPr>
      <t xml:space="preserve">
</t>
    </r>
    <r>
      <rPr>
        <sz val="11"/>
        <color rgb="FF000000"/>
        <rFont val="Calibri"/>
      </rPr>
      <t>The use of an authentication server provides the capability to assign router administrators to tiered groups that contain their privilege level that is used for authorization of specific commands.   For example, user mode would be authorized for all authenticated administrators while configuration or edit mode should only be granted to those administrators that are permitted to implement router configuration changes.</t>
    </r>
  </si>
  <si>
    <r>
      <rPr>
        <sz val="11"/>
        <color rgb="FF000000"/>
        <rFont val="Calibri"/>
      </rPr>
      <t>Verify an authentication server is required to access the device and that there are two or more authentication servers defined.</t>
    </r>
    <r>
      <rPr>
        <sz val="11"/>
        <color rgb="FF000000"/>
        <rFont val="Calibri"/>
      </rPr>
      <t xml:space="preserve">
</t>
    </r>
    <r>
      <rPr>
        <sz val="11"/>
        <color rgb="FF000000"/>
        <rFont val="Calibri"/>
      </rPr>
      <t>If the device is not configured for two separate authentication servers, this is a finding.</t>
    </r>
  </si>
  <si>
    <t>V-15434</t>
  </si>
  <si>
    <r>
      <rPr>
        <sz val="11"/>
        <rFont val="Calibri"/>
      </rPr>
      <t>The emergency administration account must be set to an appropriate authorization level to perform necessary administrative functions when the authentication server is not online.</t>
    </r>
  </si>
  <si>
    <r>
      <rPr>
        <sz val="11"/>
        <color rgb="FF000000"/>
        <rFont val="Calibri"/>
      </rPr>
      <t>Assign a privilege level to the emergency administration account to allow the administrator to perform necessary administrative functions when the authentication server is not online.</t>
    </r>
  </si>
  <si>
    <r>
      <rPr>
        <sz val="11"/>
        <color rgb="FF000000"/>
        <rFont val="Calibri"/>
      </rPr>
      <t>The emergency administration account is to be configured as a local account on the network devices. It is to be used only when the authentication server is offline or not reachable via the network. The emergency account must be set to an appropriate authorization level to perform necessary administrative functions during this time.</t>
    </r>
  </si>
  <si>
    <r>
      <rPr>
        <sz val="11"/>
        <color rgb="FF000000"/>
        <rFont val="Calibri"/>
      </rPr>
      <t>Review the emergency administration account configured on the network devices and verify that it has been assigned to a privilege level that will enable the administrator to perform necessary administrative functions when the authentication server is not online.</t>
    </r>
    <r>
      <rPr>
        <sz val="11"/>
        <color rgb="FF000000"/>
        <rFont val="Calibri"/>
      </rPr>
      <t xml:space="preserve">
</t>
    </r>
    <r>
      <rPr>
        <sz val="11"/>
        <color rgb="FF000000"/>
        <rFont val="Calibri"/>
      </rPr>
      <t>If the emergency administration account is configured for more access than needed to troubleshoot issues, this is a finding.</t>
    </r>
  </si>
  <si>
    <t>V-17754</t>
  </si>
  <si>
    <r>
      <rPr>
        <sz val="11"/>
        <rFont val="Calibri"/>
      </rPr>
      <t>IPSec tunnels used to transit management traffic must be restricted to only the authorized management packets based on destination and source IP address.</t>
    </r>
  </si>
  <si>
    <r>
      <rPr>
        <sz val="11"/>
        <color rgb="FF000000"/>
        <rFont val="Calibri"/>
      </rPr>
      <t>Configure filters based on source and destination IP address to restrict only authorized management traffic into IPSec tunnels used for transiting management data.</t>
    </r>
  </si>
  <si>
    <r>
      <rPr>
        <sz val="11"/>
        <color rgb="FF000000"/>
        <rFont val="Calibri"/>
      </rPr>
      <t>The Out-of-Band Management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NEs and the NOC.  This allows the use of paths separate from those used by the network being managed. Traffic from the managed network to the management network and vice-versa must be secured via IPSec encapsulation.</t>
    </r>
  </si>
  <si>
    <r>
      <rPr>
        <sz val="11"/>
        <color rgb="FF000000"/>
        <rFont val="Calibri"/>
      </rPr>
      <t>Review the device configuration to determine if IPSec tunnels used in transiting management traffic are filtered to only accept authorized traffic based on source and destination IP addresses of the management network.</t>
    </r>
    <r>
      <rPr>
        <sz val="11"/>
        <color rgb="FF000000"/>
        <rFont val="Calibri"/>
      </rPr>
      <t xml:space="preserve">
</t>
    </r>
    <r>
      <rPr>
        <sz val="11"/>
        <color rgb="FF000000"/>
        <rFont val="Calibri"/>
      </rPr>
      <t>If filters are not restricting only authorized management traffic into the IPSec tunnel, this is a finding.</t>
    </r>
  </si>
  <si>
    <t>V-17814</t>
  </si>
  <si>
    <r>
      <rPr>
        <sz val="11"/>
        <rFont val="Calibri"/>
      </rPr>
      <t>Gateway configuration at the remote VPN end-point is a not a mirror of the local gateway</t>
    </r>
  </si>
  <si>
    <r>
      <rPr>
        <sz val="11"/>
        <color rgb="FF000000"/>
        <rFont val="Calibri"/>
      </rPr>
      <t>Configure he crypto access-list used to identify the traffic to be protected so that it is a mirror (both IP source and destination address) of the crypto access list configured at the remote VPN peer.</t>
    </r>
  </si>
  <si>
    <r>
      <rPr>
        <sz val="11"/>
        <color rgb="FF000000"/>
        <rFont val="Calibri"/>
      </rPr>
      <t>The IPSec tunnel end points may be configured on the OOBM gateway routers connecting the managed network and the NOC. They may also be configured on a firewall or VPN concentrator located behind the gateway router. In either case, the crypto access-list used to identify the traffic to be protected must be a mirror (both IP source and destination address) of the crypto access list configured at the remote VPN peer.</t>
    </r>
  </si>
  <si>
    <r>
      <rPr>
        <sz val="11"/>
        <color rgb="FF000000"/>
        <rFont val="Calibri"/>
      </rPr>
      <t>Verify the configuration at the remote VPN end-point is a mirror configuration as that reviewed for the local end-point.</t>
    </r>
  </si>
  <si>
    <t>V-17815</t>
  </si>
  <si>
    <r>
      <rPr>
        <sz val="11"/>
        <rFont val="Calibri"/>
      </rPr>
      <t>IGP instances configured on the OOBM gateway router do not peer only with their appropriate routing domain</t>
    </r>
  </si>
  <si>
    <r>
      <rPr>
        <sz val="11"/>
        <color rgb="FF000000"/>
        <rFont val="Calibri"/>
      </rPr>
      <t>Ensure that multiple IGP instances configured on the OOBM gateway router peer only with their appropriate routing domain. Verify that the all interfaces are configured for the appropriate IGP instance.</t>
    </r>
  </si>
  <si>
    <r>
      <rPr>
        <sz val="11"/>
        <color rgb="FF000000"/>
        <rFont val="Calibri"/>
      </rPr>
      <t>If the gateway router is not a dedicated device for the OOBM network, several safeguards must be implemented for containment of management and production traffic boundaries. Since the managed network and the management network are separate routing domains, separate IGP routing instances must be configured on the router—one for the managed network and one for the OOBM network.</t>
    </r>
  </si>
  <si>
    <r>
      <rPr>
        <sz val="11"/>
        <color rgb="FF000000"/>
        <rFont val="Calibri"/>
      </rPr>
      <t>Verify that the OOBM interface is an adjacency only in the IGP routing domain for the management network. The following would be an example where EIGRP is run on the management network 10.0.0.0 and OSPF in the managed network 172.20.0.0. The network 10.1.20.0/24 is the OOBM backbone and 10.1.1.0 is the local management LAN connecting to the OOBM interfaces of the managed network (i.e., the private and service network) elements.</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10.1.1.1 255.255.255.0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interface Fastethernet 0/2</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12</t>
    </r>
    <r>
      <rPr>
        <sz val="11"/>
        <color rgb="FF000000"/>
        <rFont val="Calibri"/>
      </rPr>
      <t xml:space="preserve">
</t>
    </r>
    <r>
      <rPr>
        <sz val="11"/>
        <color rgb="FF000000"/>
        <rFont val="Calibri"/>
      </rPr>
      <t xml:space="preserve"> network 10.0.0.0</t>
    </r>
    <r>
      <rPr>
        <sz val="11"/>
        <color rgb="FF000000"/>
        <rFont val="Calibri"/>
      </rPr>
      <t xml:space="preserve">
</t>
    </r>
    <r>
      <rPr>
        <sz val="11"/>
        <color rgb="FF000000"/>
        <rFont val="Calibri"/>
      </rPr>
      <t xml:space="preserve"> passive-interface Fastethernet 0/1</t>
    </r>
    <r>
      <rPr>
        <sz val="11"/>
        <color rgb="FF000000"/>
        <rFont val="Calibri"/>
      </rPr>
      <t xml:space="preserve">
</t>
    </r>
    <r>
      <rPr>
        <sz val="11"/>
        <color rgb="FF000000"/>
        <rFont val="Calibri"/>
      </rPr>
      <t>Note: the passive-interface command is configured to avoid building an EIGRP adjacency with a managed router, while at the same time, enabling EIGRP to advertise the enclave’s management subnet to the EIGRP neighbors of the management network backbone.</t>
    </r>
    <r>
      <rPr>
        <sz val="11"/>
        <color rgb="FF000000"/>
        <rFont val="Calibri"/>
      </rPr>
      <t xml:space="preserve">
</t>
    </r>
    <r>
      <rPr>
        <sz val="11"/>
        <color rgb="FF000000"/>
        <rFont val="Calibri"/>
      </rPr>
      <t>If the non-dedicated OOBM gateway and the NOC gateway are not connected by an OOB backbone—that is, connectivity is provided over an IP backbone (i.e. NIPRNet)—and an IGP is used to advertise routes within the management network,  the IGP traffic must be encapsulated via  GRE so that it can traverse the IPsec tunnel. The configuration below is an example of GRE over IPSec. The IPSec policy is applied to the GRE traffic that will encapsulate IGP packets (notice the EIGRP network statement includes the GRE tunnel; hence, EIGRP will form adjacencies with neighbors on the other side of this tunnel.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Premise Router Configuration</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crypto isakmp key ourkey address 166.4.24.3</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transform-set VPN-trans esp-3des esp-md5-hmac</t>
    </r>
    <r>
      <rPr>
        <sz val="11"/>
        <color rgb="FF000000"/>
        <rFont val="Calibri"/>
      </rPr>
      <t xml:space="preserve">
</t>
    </r>
    <r>
      <rPr>
        <sz val="11"/>
        <color rgb="FF000000"/>
        <rFont val="Calibri"/>
      </rPr>
      <t>!</t>
    </r>
    <r>
      <rPr>
        <sz val="11"/>
        <color rgb="FF000000"/>
        <rFont val="Calibri"/>
      </rPr>
      <t xml:space="preserve">
</t>
    </r>
    <r>
      <rPr>
        <sz val="11"/>
        <color rgb="FF000000"/>
        <rFont val="Calibri"/>
      </rPr>
      <t>crypto map vpnmap 10 ipsec-isakmp</t>
    </r>
    <r>
      <rPr>
        <sz val="11"/>
        <color rgb="FF000000"/>
        <rFont val="Calibri"/>
      </rPr>
      <t xml:space="preserve">
</t>
    </r>
    <r>
      <rPr>
        <sz val="11"/>
        <color rgb="FF000000"/>
        <rFont val="Calibri"/>
      </rPr>
      <t xml:space="preserve"> set peer 166.4.24.3</t>
    </r>
    <r>
      <rPr>
        <sz val="11"/>
        <color rgb="FF000000"/>
        <rFont val="Calibri"/>
      </rPr>
      <t xml:space="preserve">
</t>
    </r>
    <r>
      <rPr>
        <sz val="11"/>
        <color rgb="FF000000"/>
        <rFont val="Calibri"/>
      </rPr>
      <t xml:space="preserve"> set transform-set VPN-trans</t>
    </r>
    <r>
      <rPr>
        <sz val="11"/>
        <color rgb="FF000000"/>
        <rFont val="Calibri"/>
      </rPr>
      <t xml:space="preserve">
</t>
    </r>
    <r>
      <rPr>
        <sz val="11"/>
        <color rgb="FF000000"/>
        <rFont val="Calibri"/>
      </rPr>
      <t xml:space="preserve"> match address 102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t>
    </r>
    <r>
      <rPr>
        <sz val="11"/>
        <color rgb="FF000000"/>
        <rFont val="Calibri"/>
      </rPr>
      <t xml:space="preserve">
</t>
    </r>
    <r>
      <rPr>
        <sz val="11"/>
        <color rgb="FF000000"/>
        <rFont val="Calibri"/>
      </rPr>
      <t xml:space="preserve"> ip address 10.1.1.1 255.255.255.0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t>
    </r>
    <r>
      <rPr>
        <sz val="11"/>
        <color rgb="FF000000"/>
        <rFont val="Calibri"/>
      </rPr>
      <t xml:space="preserve">
</t>
    </r>
    <r>
      <rPr>
        <sz val="11"/>
        <color rgb="FF000000"/>
        <rFont val="Calibri"/>
      </rPr>
      <t xml:space="preserve"> ip address 141.22.4.3 255.255.255.252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ip address 10.10.255.1 255.255.255.252</t>
    </r>
    <r>
      <rPr>
        <sz val="11"/>
        <color rgb="FF000000"/>
        <rFont val="Calibri"/>
      </rPr>
      <t xml:space="preserve">
</t>
    </r>
    <r>
      <rPr>
        <sz val="11"/>
        <color rgb="FF000000"/>
        <rFont val="Calibri"/>
      </rPr>
      <t xml:space="preserve"> ip mtu 1400</t>
    </r>
    <r>
      <rPr>
        <sz val="11"/>
        <color rgb="FF000000"/>
        <rFont val="Calibri"/>
      </rPr>
      <t xml:space="preserve">
</t>
    </r>
    <r>
      <rPr>
        <sz val="11"/>
        <color rgb="FF000000"/>
        <rFont val="Calibri"/>
      </rPr>
      <t xml:space="preserve"> tunnel source Serial0/0</t>
    </r>
    <r>
      <rPr>
        <sz val="11"/>
        <color rgb="FF000000"/>
        <rFont val="Calibri"/>
      </rPr>
      <t xml:space="preserve">
</t>
    </r>
    <r>
      <rPr>
        <sz val="11"/>
        <color rgb="FF000000"/>
        <rFont val="Calibri"/>
      </rPr>
      <t xml:space="preserve"> tunnel destination 166.4.24.3</t>
    </r>
    <r>
      <rPr>
        <sz val="11"/>
        <color rgb="FF000000"/>
        <rFont val="Calibri"/>
      </rPr>
      <t xml:space="preserve">
</t>
    </r>
    <r>
      <rPr>
        <sz val="11"/>
        <color rgb="FF000000"/>
        <rFont val="Calibri"/>
      </rPr>
      <t xml:space="preserve"> crypto map vpnmap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100</t>
    </r>
    <r>
      <rPr>
        <sz val="11"/>
        <color rgb="FF000000"/>
        <rFont val="Calibri"/>
      </rPr>
      <t xml:space="preserve">
</t>
    </r>
    <r>
      <rPr>
        <sz val="11"/>
        <color rgb="FF000000"/>
        <rFont val="Calibri"/>
      </rPr>
      <t xml:space="preserve"> network 10.0.0.0 0.0.0.255</t>
    </r>
    <r>
      <rPr>
        <sz val="11"/>
        <color rgb="FF000000"/>
        <rFont val="Calibri"/>
      </rPr>
      <t xml:space="preserve">
</t>
    </r>
    <r>
      <rPr>
        <sz val="11"/>
        <color rgb="FF000000"/>
        <rFont val="Calibri"/>
      </rPr>
      <t xml:space="preserve"> no auto-summary</t>
    </r>
    <r>
      <rPr>
        <sz val="11"/>
        <color rgb="FF000000"/>
        <rFont val="Calibri"/>
      </rPr>
      <t xml:space="preserve">
</t>
    </r>
    <r>
      <rPr>
        <sz val="11"/>
        <color rgb="FF000000"/>
        <rFont val="Calibri"/>
      </rPr>
      <t>!</t>
    </r>
    <r>
      <rPr>
        <sz val="11"/>
        <color rgb="FF000000"/>
        <rFont val="Calibri"/>
      </rPr>
      <t xml:space="preserve">
</t>
    </r>
    <r>
      <rPr>
        <sz val="11"/>
        <color rgb="FF000000"/>
        <rFont val="Calibri"/>
      </rPr>
      <t>ip route 0.0.0.0 0.0.0.0 141.22.4.1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102 permit gre host 141.22.4.3 host 166.4.24.3</t>
    </r>
    <r>
      <rPr>
        <sz val="11"/>
        <color rgb="FF000000"/>
        <rFont val="Calibri"/>
      </rPr>
      <t xml:space="preserve">
</t>
    </r>
    <r>
      <rPr>
        <sz val="11"/>
        <color rgb="FF000000"/>
        <rFont val="Calibri"/>
      </rPr>
      <t>OOBM VPN Gateway Configuration</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crypto isakmp key ourkey address 141.22.4.3</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ipsectransform-set VPN-trans esp-3des esp-md5-hmac</t>
    </r>
    <r>
      <rPr>
        <sz val="11"/>
        <color rgb="FF000000"/>
        <rFont val="Calibri"/>
      </rPr>
      <t xml:space="preserve">
</t>
    </r>
    <r>
      <rPr>
        <sz val="11"/>
        <color rgb="FF000000"/>
        <rFont val="Calibri"/>
      </rPr>
      <t>!</t>
    </r>
    <r>
      <rPr>
        <sz val="11"/>
        <color rgb="FF000000"/>
        <rFont val="Calibri"/>
      </rPr>
      <t xml:space="preserve">
</t>
    </r>
    <r>
      <rPr>
        <sz val="11"/>
        <color rgb="FF000000"/>
        <rFont val="Calibri"/>
      </rPr>
      <t>crypto map vpnmap 10 ipsec-isakmp</t>
    </r>
    <r>
      <rPr>
        <sz val="11"/>
        <color rgb="FF000000"/>
        <rFont val="Calibri"/>
      </rPr>
      <t xml:space="preserve">
</t>
    </r>
    <r>
      <rPr>
        <sz val="11"/>
        <color rgb="FF000000"/>
        <rFont val="Calibri"/>
      </rPr>
      <t xml:space="preserve"> set peer 141.22.4.3</t>
    </r>
    <r>
      <rPr>
        <sz val="11"/>
        <color rgb="FF000000"/>
        <rFont val="Calibri"/>
      </rPr>
      <t xml:space="preserve">
</t>
    </r>
    <r>
      <rPr>
        <sz val="11"/>
        <color rgb="FF000000"/>
        <rFont val="Calibri"/>
      </rPr>
      <t xml:space="preserve"> set transform-set VPN-trans</t>
    </r>
    <r>
      <rPr>
        <sz val="11"/>
        <color rgb="FF000000"/>
        <rFont val="Calibri"/>
      </rPr>
      <t xml:space="preserve">
</t>
    </r>
    <r>
      <rPr>
        <sz val="11"/>
        <color rgb="FF000000"/>
        <rFont val="Calibri"/>
      </rPr>
      <t xml:space="preserve"> match address 102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t>
    </r>
    <r>
      <rPr>
        <sz val="11"/>
        <color rgb="FF000000"/>
        <rFont val="Calibri"/>
      </rPr>
      <t xml:space="preserve">
</t>
    </r>
    <r>
      <rPr>
        <sz val="11"/>
        <color rgb="FF000000"/>
        <rFont val="Calibri"/>
      </rPr>
      <t xml:space="preserve"> ip address 10.1.2.1 255.255.255.0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t>
    </r>
    <r>
      <rPr>
        <sz val="11"/>
        <color rgb="FF000000"/>
        <rFont val="Calibri"/>
      </rPr>
      <t xml:space="preserve">
</t>
    </r>
    <r>
      <rPr>
        <sz val="11"/>
        <color rgb="FF000000"/>
        <rFont val="Calibri"/>
      </rPr>
      <t>ip address 166.4.24.3 255.255.255.252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ip address 10.10.255.2 255.255.255.252</t>
    </r>
    <r>
      <rPr>
        <sz val="11"/>
        <color rgb="FF000000"/>
        <rFont val="Calibri"/>
      </rPr>
      <t xml:space="preserve">
</t>
    </r>
    <r>
      <rPr>
        <sz val="11"/>
        <color rgb="FF000000"/>
        <rFont val="Calibri"/>
      </rPr>
      <t xml:space="preserve"> ip mtu 1400</t>
    </r>
    <r>
      <rPr>
        <sz val="11"/>
        <color rgb="FF000000"/>
        <rFont val="Calibri"/>
      </rPr>
      <t xml:space="preserve">
</t>
    </r>
    <r>
      <rPr>
        <sz val="11"/>
        <color rgb="FF000000"/>
        <rFont val="Calibri"/>
      </rPr>
      <t xml:space="preserve"> tunnel source Serial0/0</t>
    </r>
    <r>
      <rPr>
        <sz val="11"/>
        <color rgb="FF000000"/>
        <rFont val="Calibri"/>
      </rPr>
      <t xml:space="preserve">
</t>
    </r>
    <r>
      <rPr>
        <sz val="11"/>
        <color rgb="FF000000"/>
        <rFont val="Calibri"/>
      </rPr>
      <t xml:space="preserve"> tunnel destination 141.22.4.3</t>
    </r>
    <r>
      <rPr>
        <sz val="11"/>
        <color rgb="FF000000"/>
        <rFont val="Calibri"/>
      </rPr>
      <t xml:space="preserve">
</t>
    </r>
    <r>
      <rPr>
        <sz val="11"/>
        <color rgb="FF000000"/>
        <rFont val="Calibri"/>
      </rPr>
      <t xml:space="preserve"> crypto map vpnmap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100</t>
    </r>
    <r>
      <rPr>
        <sz val="11"/>
        <color rgb="FF000000"/>
        <rFont val="Calibri"/>
      </rPr>
      <t xml:space="preserve">
</t>
    </r>
    <r>
      <rPr>
        <sz val="11"/>
        <color rgb="FF000000"/>
        <rFont val="Calibri"/>
      </rPr>
      <t xml:space="preserve"> network 10.0.0.0 0.0.0.255</t>
    </r>
    <r>
      <rPr>
        <sz val="11"/>
        <color rgb="FF000000"/>
        <rFont val="Calibri"/>
      </rPr>
      <t xml:space="preserve">
</t>
    </r>
    <r>
      <rPr>
        <sz val="11"/>
        <color rgb="FF000000"/>
        <rFont val="Calibri"/>
      </rPr>
      <t xml:space="preserve"> no auto-summary</t>
    </r>
    <r>
      <rPr>
        <sz val="11"/>
        <color rgb="FF000000"/>
        <rFont val="Calibri"/>
      </rPr>
      <t xml:space="preserve">
</t>
    </r>
    <r>
      <rPr>
        <sz val="11"/>
        <color rgb="FF000000"/>
        <rFont val="Calibri"/>
      </rPr>
      <t>!</t>
    </r>
    <r>
      <rPr>
        <sz val="11"/>
        <color rgb="FF000000"/>
        <rFont val="Calibri"/>
      </rPr>
      <t xml:space="preserve">
</t>
    </r>
    <r>
      <rPr>
        <sz val="11"/>
        <color rgb="FF000000"/>
        <rFont val="Calibri"/>
      </rPr>
      <t>ip route 0.0.0.0 0.0.0.0 166.4.24.1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102 permit gre host 166.4.24.3 host 141.22.4.3</t>
    </r>
  </si>
  <si>
    <t>V-17816</t>
  </si>
  <si>
    <r>
      <rPr>
        <sz val="11"/>
        <rFont val="Calibri"/>
      </rPr>
      <t>The routes from the two IGP domains are redistributed to each other.</t>
    </r>
  </si>
  <si>
    <r>
      <rPr>
        <sz val="11"/>
        <color rgb="FF000000"/>
        <rFont val="Calibri"/>
      </rPr>
      <t>Ensure that the IGP instance used for the managed network does not redistribute routes into the IGP instance used for the management network and vice versa.</t>
    </r>
  </si>
  <si>
    <r>
      <rPr>
        <sz val="11"/>
        <color rgb="FF000000"/>
        <rFont val="Calibri"/>
      </rPr>
      <t>If the gateway router is not a dedicated device for the OOBM network, several safeguards must be implemented for containment of management and production traffic boundaries. Since the managed network and the management network are separate routing domains, separate IGP routing instances must be configured on the router—one for the managed network and one for the OOBM network. In addition, the routes from the two domains must not be redistributed to each other.</t>
    </r>
  </si>
  <si>
    <r>
      <rPr>
        <sz val="11"/>
        <color rgb="FF000000"/>
        <rFont val="Calibri"/>
      </rPr>
      <t>Verify that the IGP instance used for the managed network does not redistribute routes into the IGP instance used for the management network and vice versa.</t>
    </r>
    <r>
      <rPr>
        <sz val="11"/>
        <color rgb="FF000000"/>
        <rFont val="Calibri"/>
      </rPr>
      <t xml:space="preserve">
</t>
    </r>
    <r>
      <rPr>
        <sz val="11"/>
        <color rgb="FF000000"/>
        <rFont val="Calibri"/>
      </rPr>
      <t>Route advertisements between two the two routing domains such as OSPF and EIGRP can only be shared via redistribution. Verify that there are no redistribute commands configured under IGP domain for the management network that would enable distributing routes from the IGP domain of the managed network, or vice-versa. The following would be an example of redistributing routes from EIGRP into OSPF.</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 xml:space="preserve">   redistribute eigrp 12</t>
    </r>
    <r>
      <rPr>
        <sz val="11"/>
        <color rgb="FF000000"/>
        <rFont val="Calibri"/>
      </rPr>
      <t xml:space="preserve">
</t>
    </r>
    <r>
      <rPr>
        <sz val="11"/>
        <color rgb="FF000000"/>
        <rFont val="Calibri"/>
      </rPr>
      <t>IOS supports multiple instances of OSPF and EIGRP that are configured using a different process ID.  Each EIGRP or OSPF process will run only on the interfaces of the networks specified. Each EIGRP process maintains a separate topology database; likewise, each OSPF process maintains a separate link-state database. Route advertisements between two processes can only be shared via redistribution.  Verify that there are no redistribution commands that would distribute routes from the IGP routing domain for the management network into the IGP routing domain of the managed network, or vice-versa. The following would be an example of redistributing routes from one EIGRP into another EIGRP.</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15</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t>
    </r>
    <r>
      <rPr>
        <sz val="11"/>
        <color rgb="FF000000"/>
        <rFont val="Calibri"/>
      </rPr>
      <t xml:space="preserve">
</t>
    </r>
    <r>
      <rPr>
        <sz val="11"/>
        <color rgb="FF000000"/>
        <rFont val="Calibri"/>
      </rPr>
      <t>router eigrp 10</t>
    </r>
    <r>
      <rPr>
        <sz val="11"/>
        <color rgb="FF000000"/>
        <rFont val="Calibri"/>
      </rPr>
      <t xml:space="preserve">
</t>
    </r>
    <r>
      <rPr>
        <sz val="11"/>
        <color rgb="FF000000"/>
        <rFont val="Calibri"/>
      </rPr>
      <t xml:space="preserve"> network 10.0.0.0</t>
    </r>
    <r>
      <rPr>
        <sz val="11"/>
        <color rgb="FF000000"/>
        <rFont val="Calibri"/>
      </rPr>
      <t xml:space="preserve">
</t>
    </r>
    <r>
      <rPr>
        <sz val="11"/>
        <color rgb="FF000000"/>
        <rFont val="Calibri"/>
      </rPr>
      <t xml:space="preserve"> redistribute eigrp 15</t>
    </r>
    <r>
      <rPr>
        <sz val="11"/>
        <color rgb="FF000000"/>
        <rFont val="Calibri"/>
      </rPr>
      <t xml:space="preserve">
</t>
    </r>
    <r>
      <rPr>
        <sz val="11"/>
        <color rgb="FF000000"/>
        <rFont val="Calibri"/>
      </rPr>
      <t xml:space="preserve">As an alternative, static routes can be used to forward management traffic to the OOBM interface; however, this method may not scale well. </t>
    </r>
    <r>
      <rPr>
        <sz val="11"/>
        <color rgb="FF000000"/>
        <rFont val="Calibri"/>
      </rPr>
      <t xml:space="preserve">
</t>
    </r>
    <r>
      <rPr>
        <sz val="11"/>
        <color rgb="FF000000"/>
        <rFont val="Calibri"/>
      </rPr>
      <t>If static routes are used to forward management traffic to the OOB backbone network, verify that the OOBM interface is not an IGP adjacency and that the correct destination prefix has been configured to forward the management traffic to the correct next-hop and interface for the static route. In the following configuration examples, 10.1.1.0/24 is the management network and 10.1.20.4 is the interface address of the OOB backbone router that the OOB gateway router connects to. The network 10.1.20.0/24 is the OOBM backbone.</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t>
    </r>
    <r>
      <rPr>
        <sz val="11"/>
        <color rgb="FF000000"/>
        <rFont val="Calibri"/>
      </rPr>
      <t xml:space="preserve">
</t>
    </r>
    <r>
      <rPr>
        <sz val="11"/>
        <color rgb="FF000000"/>
        <rFont val="Calibri"/>
      </rPr>
      <t>!</t>
    </r>
    <r>
      <rPr>
        <sz val="11"/>
        <color rgb="FF000000"/>
        <rFont val="Calibri"/>
      </rPr>
      <t xml:space="preserve">
</t>
    </r>
    <r>
      <rPr>
        <sz val="11"/>
        <color rgb="FF000000"/>
        <rFont val="Calibri"/>
      </rPr>
      <t>ip route 10.1.1.0 255.255.255.0 10.1.20.4 Serial0/0</t>
    </r>
  </si>
  <si>
    <t>V-17817</t>
  </si>
  <si>
    <r>
      <rPr>
        <sz val="11"/>
        <rFont val="Calibri"/>
      </rPr>
      <t>Traffic from the managed network is able to access the OOBM gateway router</t>
    </r>
  </si>
  <si>
    <r>
      <rPr>
        <sz val="11"/>
        <color rgb="FF000000"/>
        <rFont val="Calibri"/>
      </rPr>
      <t>Ensure that traffic from the managed network is not able to access the OOBM gateway router using either receive path or interface ingress ACLs.</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</si>
  <si>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</si>
  <si>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Review the ACL or filters for the router’s receive path and verify that only traffic sourced from the management network is allowed to access the router. This would include both management and control plane traffic.</t>
    </r>
    <r>
      <rPr>
        <sz val="11"/>
        <color rgb="FF000000"/>
        <rFont val="Calibri"/>
      </rPr>
      <t xml:space="preserve">
</t>
    </r>
    <r>
      <rPr>
        <sz val="11"/>
        <color rgb="FF000000"/>
        <rFont val="Calibri"/>
      </rPr>
      <t>Step 1: Verify that the global ip receive acl statement has been configured as shown in the following example:</t>
    </r>
    <r>
      <rPr>
        <sz val="11"/>
        <color rgb="FF000000"/>
        <rFont val="Calibri"/>
      </rPr>
      <t xml:space="preserve">
</t>
    </r>
    <r>
      <rPr>
        <sz val="11"/>
        <color rgb="FF000000"/>
        <rFont val="Calibri"/>
      </rPr>
      <t>ip receive acl 199</t>
    </r>
    <r>
      <rPr>
        <sz val="11"/>
        <color rgb="FF000000"/>
        <rFont val="Calibri"/>
      </rPr>
      <t xml:space="preserve">
</t>
    </r>
    <r>
      <rPr>
        <sz val="11"/>
        <color rgb="FF000000"/>
        <rFont val="Calibri"/>
      </rPr>
      <t>Note: The IOS IP Receive ACL feature provides filtering capability for traffic that is destined for the router. The IP Receive ACL filtering occurs after any input ACL bound to the ingress interface. On distributed platforms (i.e., 12000 series), the IP receive ACL filters traffic on the distributed line cards before packets are received by the route processor; thereby preventing the flood from degrading the performance of the route processor.</t>
    </r>
    <r>
      <rPr>
        <sz val="11"/>
        <color rgb="FF000000"/>
        <rFont val="Calibri"/>
      </rPr>
      <t xml:space="preserve">
</t>
    </r>
    <r>
      <rPr>
        <sz val="11"/>
        <color rgb="FF000000"/>
        <rFont val="Calibri"/>
      </rPr>
      <t>Step 2: Determine the address block of the management network at the NOC. In the example configuration below, the 10.2.2.0/24 is the management network at the NOC.</t>
    </r>
    <r>
      <rPr>
        <sz val="11"/>
        <color rgb="FF000000"/>
        <rFont val="Calibri"/>
      </rPr>
      <t xml:space="preserve">
</t>
    </r>
    <r>
      <rPr>
        <sz val="11"/>
        <color rgb="FF000000"/>
        <rFont val="Calibri"/>
      </rPr>
      <t xml:space="preserve">Step 3: Verify that the ACL referenced by the ip receive acl statement restricts all management plane traffic to the validated network management address block at the NOC. Management traffic can include telnet, SSH, SNMP, TACACS, RADIUS, TFTP, FTP, and ICMP. Control plane traffic from OOBM backbone neighbors should also be allowed to access the router. The ACL configuration should look similar to the following: </t>
    </r>
    <r>
      <rPr>
        <sz val="11"/>
        <color rgb="FF000000"/>
        <rFont val="Calibri"/>
      </rPr>
      <t xml:space="preserve">
</t>
    </r>
    <r>
      <rPr>
        <sz val="11"/>
        <color rgb="FF000000"/>
        <rFont val="Calibri"/>
      </rPr>
      <t>access-list 199 deny ip any any fragments</t>
    </r>
    <r>
      <rPr>
        <sz val="11"/>
        <color rgb="FF000000"/>
        <rFont val="Calibri"/>
      </rPr>
      <t xml:space="preserve">
</t>
    </r>
    <r>
      <rPr>
        <sz val="11"/>
        <color rgb="FF000000"/>
        <rFont val="Calibri"/>
      </rPr>
      <t>access-list 199 permit ospf 10.1.20.0 0.0.0.255 any</t>
    </r>
    <r>
      <rPr>
        <sz val="11"/>
        <color rgb="FF000000"/>
        <rFont val="Calibri"/>
      </rPr>
      <t xml:space="preserve">
</t>
    </r>
    <r>
      <rPr>
        <sz val="11"/>
        <color rgb="FF000000"/>
        <rFont val="Calibri"/>
      </rPr>
      <t>access-list 199 permit tcp 10.2.2.0 0.0.0.255 any eq ssh</t>
    </r>
    <r>
      <rPr>
        <sz val="11"/>
        <color rgb="FF000000"/>
        <rFont val="Calibri"/>
      </rPr>
      <t xml:space="preserve">
</t>
    </r>
    <r>
      <rPr>
        <sz val="11"/>
        <color rgb="FF000000"/>
        <rFont val="Calibri"/>
      </rPr>
      <t>access-list 199 permit udp host 10.2.2.24 any eq snmp</t>
    </r>
    <r>
      <rPr>
        <sz val="11"/>
        <color rgb="FF000000"/>
        <rFont val="Calibri"/>
      </rPr>
      <t xml:space="preserve">
</t>
    </r>
    <r>
      <rPr>
        <sz val="11"/>
        <color rgb="FF000000"/>
        <rFont val="Calibri"/>
      </rPr>
      <t>access-list 199 permit udp host 10.2.2.25 any eq snmp</t>
    </r>
    <r>
      <rPr>
        <sz val="11"/>
        <color rgb="FF000000"/>
        <rFont val="Calibri"/>
      </rPr>
      <t xml:space="preserve">
</t>
    </r>
    <r>
      <rPr>
        <sz val="11"/>
        <color rgb="FF000000"/>
        <rFont val="Calibri"/>
      </rPr>
      <t>access-list 199 permit udp host 10.2.2.26 any eq ntp</t>
    </r>
    <r>
      <rPr>
        <sz val="11"/>
        <color rgb="FF000000"/>
        <rFont val="Calibri"/>
      </rPr>
      <t xml:space="preserve">
</t>
    </r>
    <r>
      <rPr>
        <sz val="11"/>
        <color rgb="FF000000"/>
        <rFont val="Calibri"/>
      </rPr>
      <t>access-list 199 permit udp host 10.2.2.27 any eq ntp</t>
    </r>
    <r>
      <rPr>
        <sz val="11"/>
        <color rgb="FF000000"/>
        <rFont val="Calibri"/>
      </rPr>
      <t xml:space="preserve">
</t>
    </r>
    <r>
      <rPr>
        <sz val="11"/>
        <color rgb="FF000000"/>
        <rFont val="Calibri"/>
      </rPr>
      <t>access-list 199 permit tcp host 10.2.2.30 eq tacacs any gt 1023 established</t>
    </r>
    <r>
      <rPr>
        <sz val="11"/>
        <color rgb="FF000000"/>
        <rFont val="Calibri"/>
      </rPr>
      <t xml:space="preserve">
</t>
    </r>
    <r>
      <rPr>
        <sz val="11"/>
        <color rgb="FF000000"/>
        <rFont val="Calibri"/>
      </rPr>
      <t>access-list 199 permit tcp host 10.2.2.77 eq ftp any gt 1023 established</t>
    </r>
    <r>
      <rPr>
        <sz val="11"/>
        <color rgb="FF000000"/>
        <rFont val="Calibri"/>
      </rPr>
      <t xml:space="preserve">
</t>
    </r>
    <r>
      <rPr>
        <sz val="11"/>
        <color rgb="FF000000"/>
        <rFont val="Calibri"/>
      </rPr>
      <t>access-list 199 permit tcp host 10.2.2.77 gt 1024 any eq ftp-data</t>
    </r>
    <r>
      <rPr>
        <sz val="11"/>
        <color rgb="FF000000"/>
        <rFont val="Calibri"/>
      </rPr>
      <t xml:space="preserve">
</t>
    </r>
    <r>
      <rPr>
        <sz val="11"/>
        <color rgb="FF000000"/>
        <rFont val="Calibri"/>
      </rPr>
      <t xml:space="preserve">access-list 199 permit icmp 10.2.2.0 0.0.0.255 any </t>
    </r>
    <r>
      <rPr>
        <sz val="11"/>
        <color rgb="FF000000"/>
        <rFont val="Calibri"/>
      </rPr>
      <t xml:space="preserve">
</t>
    </r>
    <r>
      <rPr>
        <sz val="11"/>
        <color rgb="FF000000"/>
        <rFont val="Calibri"/>
      </rPr>
      <t>access-list 199 deny ip any any log</t>
    </r>
    <r>
      <rPr>
        <sz val="11"/>
        <color rgb="FF000000"/>
        <rFont val="Calibri"/>
      </rPr>
      <t xml:space="preserve">
</t>
    </r>
    <r>
      <rPr>
        <sz val="11"/>
        <color rgb="FF000000"/>
        <rFont val="Calibri"/>
      </rPr>
      <t xml:space="preserve">In the example above, the OSPF neighbors would  be adjacencies with the OOBM backbone network 10.1.20.0/24. </t>
    </r>
    <r>
      <rPr>
        <sz val="11"/>
        <color rgb="FF000000"/>
        <rFont val="Calibri"/>
      </rPr>
      <t xml:space="preserve">
</t>
    </r>
    <r>
      <rPr>
        <sz val="11"/>
        <color rgb="FF000000"/>
        <rFont val="Calibri"/>
      </rPr>
      <t>If the platform does not support the receive path filter, then verify that all non-OOBM interfaces have an ingress ACL to restrict access to that interface address or any of the router’s loopback addresses to only traffic sourced from the management network. Exception would be to allow packets destined to these interfaces used for troubleshooting such as ping and traceroute.</t>
    </r>
  </si>
  <si>
    <t>V-17818</t>
  </si>
  <si>
    <r>
      <rPr>
        <sz val="11"/>
        <rFont val="Calibri"/>
      </rPr>
      <t>Traffic from the managed network will leak into the management network via the gateway router interface connected to the OOBM backbone.</t>
    </r>
  </si>
  <si>
    <r>
      <rPr>
        <sz val="11"/>
        <color rgb="FF000000"/>
        <rFont val="Calibri"/>
      </rPr>
      <t>Configure the OOBM gateway router interface ACLs to ensure traffic from the managed network does not leak into the management network.</t>
    </r>
  </si>
  <si>
    <r>
      <rPr>
        <sz val="11"/>
        <color rgb="FF000000"/>
        <rFont val="Calibri"/>
      </rPr>
      <t>If the gateway router is not a dedicated device for the OOBM network, several safeguards must be implemented for containment of management and production traffic boundaries such as using interface ACLs or filters at the boundaries between the two networks.</t>
    </r>
  </si>
  <si>
    <r>
      <rPr>
        <sz val="11"/>
        <color rgb="FF000000"/>
        <rFont val="Calibri"/>
      </rPr>
      <t>Examine the egress filter on the OOBM interface of the gateway router to verify that only traffic sourced from the management address space is allowed to transit the OOBM backbone. In the example configurations below, the 10.1.1.0/24 is the management network address space at the enclave or managed network and 10.2.2.0/24 is the management network address space at the NOC.</t>
    </r>
    <r>
      <rPr>
        <sz val="11"/>
        <color rgb="FF000000"/>
        <rFont val="Calibri"/>
      </rPr>
      <t xml:space="preserve">
</t>
    </r>
    <r>
      <rPr>
        <sz val="11"/>
        <color rgb="FF000000"/>
        <rFont val="Calibri"/>
      </rPr>
      <t>IOS</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10.1.1.1 255.255.255.0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101 permit ip 10.1.1.0 0.0.0.255 10.2.2.0 0.0.0.255</t>
    </r>
    <r>
      <rPr>
        <sz val="11"/>
        <color rgb="FF000000"/>
        <rFont val="Calibri"/>
      </rPr>
      <t xml:space="preserve">
</t>
    </r>
    <r>
      <rPr>
        <sz val="11"/>
        <color rgb="FF000000"/>
        <rFont val="Calibri"/>
      </rPr>
      <t>access-list 101 deny ip any any log</t>
    </r>
  </si>
  <si>
    <t>V-17819</t>
  </si>
  <si>
    <r>
      <rPr>
        <sz val="11"/>
        <rFont val="Calibri"/>
      </rPr>
      <t>Management network traffic is leaking into the managed network.</t>
    </r>
  </si>
  <si>
    <r>
      <rPr>
        <sz val="11"/>
        <color rgb="FF000000"/>
        <rFont val="Calibri"/>
      </rPr>
      <t>Configure access control lists or filters to block any traffic from the management network destined for the managed network's production address spaces.</t>
    </r>
  </si>
  <si>
    <r>
      <rPr>
        <sz val="11"/>
        <color rgb="FF000000"/>
        <rFont val="Calibri"/>
      </rPr>
      <t>If the gateway router is not a dedicated device for the OOBM network, several safeguards must be implemented for containment of management and production traffic boundaries. To provide separation, access control lists or filters must be configured to block any traffic from the management network destined for the managed network’s production address spaces.</t>
    </r>
  </si>
  <si>
    <r>
      <rPr>
        <sz val="11"/>
        <color rgb="FF000000"/>
        <rFont val="Calibri"/>
      </rPr>
      <t>Examine the ingress filter on the OOBM interface of the gateway router to verify that traffic is only destined to the local management address space. In the example configurations below, the 10.1.1.0/24 is the local management network address space at the enclave or managed network and 10.2.2.0/24 is the management network address space at the NOC.</t>
    </r>
    <r>
      <rPr>
        <sz val="11"/>
        <color rgb="FF000000"/>
        <rFont val="Calibri"/>
      </rPr>
      <t xml:space="preserve">
</t>
    </r>
    <r>
      <rPr>
        <sz val="11"/>
        <color rgb="FF000000"/>
        <rFont val="Calibri"/>
      </rPr>
      <t>IOS</t>
    </r>
    <r>
      <rPr>
        <sz val="11"/>
        <color rgb="FF000000"/>
        <rFont val="Calibri"/>
      </rPr>
      <t xml:space="preserve">
</t>
    </r>
    <r>
      <rPr>
        <sz val="11"/>
        <color rgb="FF000000"/>
        <rFont val="Calibri"/>
      </rPr>
      <t>interface Serial0/0</t>
    </r>
    <r>
      <rPr>
        <sz val="11"/>
        <color rgb="FF000000"/>
        <rFont val="Calibri"/>
      </rPr>
      <t xml:space="preserve">
</t>
    </r>
    <r>
      <rPr>
        <sz val="11"/>
        <color rgb="FF000000"/>
        <rFont val="Calibri"/>
      </rPr>
      <t xml:space="preserve"> description to_OOBM_Backbone</t>
    </r>
    <r>
      <rPr>
        <sz val="11"/>
        <color rgb="FF000000"/>
        <rFont val="Calibri"/>
      </rPr>
      <t xml:space="preserve">
</t>
    </r>
    <r>
      <rPr>
        <sz val="11"/>
        <color rgb="FF000000"/>
        <rFont val="Calibri"/>
      </rPr>
      <t xml:space="preserve"> ip address 10.1.20.3 255.255.255.0</t>
    </r>
    <r>
      <rPr>
        <sz val="11"/>
        <color rgb="FF000000"/>
        <rFont val="Calibri"/>
      </rPr>
      <t xml:space="preserve">
</t>
    </r>
    <r>
      <rPr>
        <sz val="11"/>
        <color rgb="FF000000"/>
        <rFont val="Calibri"/>
      </rPr>
      <t xml:space="preserve"> ip access-group 100 in </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10.1.1.2 255.255.255.0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interface Fastethernet 0/2</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100 permit ip 10.2.2.0 0.0.0.255 10.1.1.0 0.0.0.255</t>
    </r>
    <r>
      <rPr>
        <sz val="11"/>
        <color rgb="FF000000"/>
        <rFont val="Calibri"/>
      </rPr>
      <t xml:space="preserve">
</t>
    </r>
    <r>
      <rPr>
        <sz val="11"/>
        <color rgb="FF000000"/>
        <rFont val="Calibri"/>
      </rPr>
      <t>access-list 100 deny ip any any log</t>
    </r>
  </si>
  <si>
    <t>V-17821</t>
  </si>
  <si>
    <r>
      <rPr>
        <sz val="11"/>
        <rFont val="Calibri"/>
      </rPr>
      <t>The network element’s OOBM interface must be configured with an OOBM network address.</t>
    </r>
  </si>
  <si>
    <r>
      <rPr>
        <sz val="11"/>
        <color rgb="FF000000"/>
        <rFont val="Calibri"/>
      </rPr>
      <t>Configure the OOB management interface with an IP address from the address space belonging to the OOBM network.</t>
    </r>
  </si>
  <si>
    <r>
      <rPr>
        <sz val="11"/>
        <color rgb="FF000000"/>
        <rFont val="Calibri"/>
      </rPr>
      <t>The OOBM access switch will connect to the management interface of the managed network elements. The management interface of the managed network element will be directly connected to the OOBM network. 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OOBM interface does not have an IP address from the managed network address space, it will not have reachability from the NOC using scalable and normal control plane and forwarding mechanisms.</t>
    </r>
  </si>
  <si>
    <r>
      <rPr>
        <sz val="11"/>
        <color rgb="FF000000"/>
        <rFont val="Calibri"/>
      </rPr>
      <t>After determining which interface is connected to the OOBM access switch, review the managed device configuration and verify that the interface has been assigned an address from the local management address block. In this example, that is 10.1.1.0/24.</t>
    </r>
    <r>
      <rPr>
        <sz val="11"/>
        <color rgb="FF000000"/>
        <rFont val="Calibri"/>
      </rPr>
      <t xml:space="preserve">
</t>
    </r>
    <r>
      <rPr>
        <sz val="11"/>
        <color rgb="FF000000"/>
        <rFont val="Calibri"/>
      </rPr>
      <t>Cisco router</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Cisco Catalyst MLS  Switch</t>
    </r>
    <r>
      <rPr>
        <sz val="11"/>
        <color rgb="FF000000"/>
        <rFont val="Calibri"/>
      </rPr>
      <t xml:space="preserve">
</t>
    </r>
    <r>
      <rPr>
        <sz val="11"/>
        <color rgb="FF000000"/>
        <rFont val="Calibri"/>
      </rPr>
      <t>interface VLAN 101</t>
    </r>
    <r>
      <rPr>
        <sz val="11"/>
        <color rgb="FF000000"/>
        <rFont val="Calibri"/>
      </rPr>
      <t xml:space="preserve">
</t>
    </r>
    <r>
      <rPr>
        <sz val="11"/>
        <color rgb="FF000000"/>
        <rFont val="Calibri"/>
      </rPr>
      <t>description Management_VLAN</t>
    </r>
    <r>
      <rPr>
        <sz val="11"/>
        <color rgb="FF000000"/>
        <rFont val="Calibri"/>
      </rPr>
      <t xml:space="preserve">
</t>
    </r>
    <r>
      <rPr>
        <sz val="11"/>
        <color rgb="FF000000"/>
        <rFont val="Calibri"/>
      </rPr>
      <t xml:space="preserve">ip address 10.1.1.22 255.255.255.0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FastEthernet1/6</t>
    </r>
    <r>
      <rPr>
        <sz val="11"/>
        <color rgb="FF000000"/>
        <rFont val="Calibri"/>
      </rPr>
      <t xml:space="preserve">
</t>
    </r>
    <r>
      <rPr>
        <sz val="11"/>
        <color rgb="FF000000"/>
        <rFont val="Calibri"/>
      </rPr>
      <t xml:space="preserve"> switchport access vlan 101</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or</t>
    </r>
    <r>
      <rPr>
        <sz val="11"/>
        <color rgb="FF000000"/>
        <rFont val="Calibri"/>
      </rPr>
      <t xml:space="preserve">
</t>
    </r>
    <r>
      <rPr>
        <sz val="11"/>
        <color rgb="FF000000"/>
        <rFont val="Calibri"/>
      </rPr>
      <t>interface FastEthernet1/6</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Caveat: If the interface is configured as a routed interface as shown in the above configuration, the requirements specified in NOC180 must be implemented.</t>
    </r>
  </si>
  <si>
    <t>V-17822</t>
  </si>
  <si>
    <r>
      <rPr>
        <sz val="11"/>
        <rFont val="Calibri"/>
      </rPr>
      <t>The management interface is not configured with both an ingress and egress ACL.</t>
    </r>
  </si>
  <si>
    <r>
      <rPr>
        <sz val="11"/>
        <color rgb="FF000000"/>
        <rFont val="Calibri"/>
      </rPr>
      <t>If the management interface is a routed interface, it must be configured with both an ingress and egress ACL. The ingress ACL should block any transit traffic, while the egress ACL should block any traffic that was not originated by the managed network device.</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</si>
  <si>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</si>
  <si>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Step 1: Verify that the managed interface has an inbound and outbound ACL configured  as shown in the following example:</t>
    </r>
    <r>
      <rPr>
        <sz val="11"/>
        <color rgb="FF000000"/>
        <rFont val="Calibri"/>
      </rPr>
      <t xml:space="preserve">
</t>
    </r>
    <r>
      <rPr>
        <sz val="11"/>
        <color rgb="FF000000"/>
        <rFont val="Calibri"/>
      </rPr>
      <t>interface FastEthernet1/1</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 xml:space="preserve"> ip access-group 100 in </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Step 2: Verify that the ingress ACL blocks all transit traffic—that is, any traffic not destined to the router itself. In addition, traffic accessing the managed elements should be originated at the NOC. In the example the management network at the NOC is 10.2.2.0/24.</t>
    </r>
    <r>
      <rPr>
        <sz val="11"/>
        <color rgb="FF000000"/>
        <rFont val="Calibri"/>
      </rPr>
      <t xml:space="preserve">
</t>
    </r>
    <r>
      <rPr>
        <sz val="11"/>
        <color rgb="FF000000"/>
        <rFont val="Calibri"/>
      </rPr>
      <t>access-list 100 permit ip 10.2.2.0 0.0.0.255 host 10.1.1.22</t>
    </r>
    <r>
      <rPr>
        <sz val="11"/>
        <color rgb="FF000000"/>
        <rFont val="Calibri"/>
      </rPr>
      <t xml:space="preserve">
</t>
    </r>
    <r>
      <rPr>
        <sz val="11"/>
        <color rgb="FF000000"/>
        <rFont val="Calibri"/>
      </rPr>
      <t>access-list 100 deny ip any any log</t>
    </r>
    <r>
      <rPr>
        <sz val="11"/>
        <color rgb="FF000000"/>
        <rFont val="Calibri"/>
      </rPr>
      <t xml:space="preserve">
</t>
    </r>
    <r>
      <rPr>
        <sz val="11"/>
        <color rgb="FF000000"/>
        <rFont val="Calibri"/>
      </rPr>
      <t>Note that the destination used by any host within the management network to access the managed elements  must be via the management interface. The loopback should not be a valid address since these prefixes would not be advertised into the management network IGP domain. This could only be possible if the managed network Elements: had an IGP adjacency with the managed network, which should not be the case.</t>
    </r>
    <r>
      <rPr>
        <sz val="11"/>
        <color rgb="FF000000"/>
        <rFont val="Calibri"/>
      </rPr>
      <t xml:space="preserve">
</t>
    </r>
    <r>
      <rPr>
        <sz val="11"/>
        <color rgb="FF000000"/>
        <rFont val="Calibri"/>
      </rPr>
      <t xml:space="preserve">Step 3: Verify that the egress ACL blocks any traffic not originated by the managed element </t>
    </r>
    <r>
      <rPr>
        <sz val="11"/>
        <color rgb="FF000000"/>
        <rFont val="Calibri"/>
      </rPr>
      <t xml:space="preserve">
</t>
    </r>
    <r>
      <rPr>
        <sz val="11"/>
        <color rgb="FF000000"/>
        <rFont val="Calibri"/>
      </rPr>
      <t>access-list 101 deny ip any any log</t>
    </r>
    <r>
      <rPr>
        <sz val="11"/>
        <color rgb="FF000000"/>
        <rFont val="Calibri"/>
      </rPr>
      <t xml:space="preserve">
</t>
    </r>
    <r>
      <rPr>
        <sz val="11"/>
        <color rgb="FF000000"/>
        <rFont val="Calibri"/>
      </rPr>
      <t>Cisco router-generated packets are not inspected by outgoing access-lists. Hence, the above configuration would simply drop any packets not generated by the router itself and allow all local traffic. To filter local traffic, IOS provides a feature called local policy routing, which enables the administrator to apply a route-map to any local router-generated traffic. To prohibit outgoing traffic from the local router to any destination other than the NOC, the a configuration such as the following could be used:</t>
    </r>
    <r>
      <rPr>
        <sz val="11"/>
        <color rgb="FF000000"/>
        <rFont val="Calibri"/>
      </rPr>
      <t xml:space="preserve">
</t>
    </r>
    <r>
      <rPr>
        <sz val="11"/>
        <color rgb="FF000000"/>
        <rFont val="Calibri"/>
      </rPr>
      <t xml:space="preserve">! Do not drop traffic destined to 10.2.2.0/24. Hence, do not include it in </t>
    </r>
    <r>
      <rPr>
        <sz val="11"/>
        <color rgb="FF000000"/>
        <rFont val="Calibri"/>
      </rPr>
      <t xml:space="preserve">
</t>
    </r>
    <r>
      <rPr>
        <sz val="11"/>
        <color rgb="FF000000"/>
        <rFont val="Calibri"/>
      </rPr>
      <t>! the local policy route map, but include all other destinations.</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BLOCK_INVALID_DEST</t>
    </r>
    <r>
      <rPr>
        <sz val="11"/>
        <color rgb="FF000000"/>
        <rFont val="Calibri"/>
      </rPr>
      <t xml:space="preserve">
</t>
    </r>
    <r>
      <rPr>
        <sz val="11"/>
        <color rgb="FF000000"/>
        <rFont val="Calibri"/>
      </rPr>
      <t xml:space="preserve"> deny ip any 10.2.2.0 0.0.0.255</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LOCAL_POLICY 10</t>
    </r>
    <r>
      <rPr>
        <sz val="11"/>
        <color rgb="FF000000"/>
        <rFont val="Calibri"/>
      </rPr>
      <t xml:space="preserve">
</t>
    </r>
    <r>
      <rPr>
        <sz val="11"/>
        <color rgb="FF000000"/>
        <rFont val="Calibri"/>
      </rPr>
      <t xml:space="preserve"> match ip address BLOCK_INVALID_DEST</t>
    </r>
    <r>
      <rPr>
        <sz val="11"/>
        <color rgb="FF000000"/>
        <rFont val="Calibri"/>
      </rPr>
      <t xml:space="preserve">
</t>
    </r>
    <r>
      <rPr>
        <sz val="11"/>
        <color rgb="FF000000"/>
        <rFont val="Calibri"/>
      </rPr>
      <t xml:space="preserve"> set interface Null 0</t>
    </r>
    <r>
      <rPr>
        <sz val="11"/>
        <color rgb="FF000000"/>
        <rFont val="Calibri"/>
      </rPr>
      <t xml:space="preserve">
</t>
    </r>
    <r>
      <rPr>
        <sz val="11"/>
        <color rgb="FF000000"/>
        <rFont val="Calibri"/>
      </rPr>
      <t>!</t>
    </r>
    <r>
      <rPr>
        <sz val="11"/>
        <color rgb="FF000000"/>
        <rFont val="Calibri"/>
      </rPr>
      <t xml:space="preserve">
</t>
    </r>
    <r>
      <rPr>
        <sz val="11"/>
        <color rgb="FF000000"/>
        <rFont val="Calibri"/>
      </rPr>
      <t>ip local policy route-map LOCAL_POLICY</t>
    </r>
    <r>
      <rPr>
        <sz val="11"/>
        <color rgb="FF000000"/>
        <rFont val="Calibri"/>
      </rPr>
      <t xml:space="preserve">
</t>
    </r>
    <r>
      <rPr>
        <sz val="11"/>
        <color rgb="FF000000"/>
        <rFont val="Calibri"/>
      </rPr>
      <t>Alternative Solution: The IOS Management Plane Protection Feature</t>
    </r>
    <r>
      <rPr>
        <sz val="11"/>
        <color rgb="FF000000"/>
        <rFont val="Calibri"/>
      </rPr>
      <t xml:space="preserve">
</t>
    </r>
    <r>
      <rPr>
        <sz val="11"/>
        <color rgb="FF000000"/>
        <rFont val="Calibri"/>
      </rPr>
      <t>Cisco introduced the Management Plane Protection (MPP) feature with IOS 12.4(6)T which allows any physical in-band interface to be dedicated for OOB management. The MPP feature allows a network operator to designate one or more router interfaces as management interfaces. Management traffic is permitted to enter a device only through these management interfaces. All of the other in-band interfaces not enabled for MPP will automatically drop all ingress packets associated with any of the supported MPP protocols (FTP, HTTP, HTTPS, SCP, SSH, SNMP, Telnet, and TFTP). Hence, after MPP is enabled, no interfaces except management interfaces will accept network management traffic destined to the device. This feature also provides the capability to restrict which management protocols are allowed. This feature does not change the behavior of the console, auxiliary, and management Ethernet interfaces. The following configuration example depicts FastEthernet1/1 as being the designated management interface that will only allow ssh and snmp traffic.</t>
    </r>
    <r>
      <rPr>
        <sz val="11"/>
        <color rgb="FF000000"/>
        <rFont val="Calibri"/>
      </rPr>
      <t xml:space="preserve">
</t>
    </r>
    <r>
      <rPr>
        <sz val="11"/>
        <color rgb="FF000000"/>
        <rFont val="Calibri"/>
      </rPr>
      <t>control-plane host</t>
    </r>
    <r>
      <rPr>
        <sz val="11"/>
        <color rgb="FF000000"/>
        <rFont val="Calibri"/>
      </rPr>
      <t xml:space="preserve">
</t>
    </r>
    <r>
      <rPr>
        <sz val="11"/>
        <color rgb="FF000000"/>
        <rFont val="Calibri"/>
      </rPr>
      <t xml:space="preserve"> management-interface FastEthernet1/1 allow ssh snmp</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FastEthernet1/1</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t>
    </r>
  </si>
  <si>
    <t>V-17823</t>
  </si>
  <si>
    <r>
      <rPr>
        <sz val="11"/>
        <rFont val="Calibri"/>
      </rPr>
      <t>The network element’s management interface is not configured as passive for the IGP instance deployed in the managed network.</t>
    </r>
  </si>
  <si>
    <r>
      <rPr>
        <sz val="11"/>
        <color rgb="FF000000"/>
        <rFont val="Calibri"/>
      </rPr>
      <t>Configure the management interface as passive for the IGP instance configured for the managed network. Depending on the platform and routing protocol, this may simply require that the interface or its IP address is not included in the IGP configuration.</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</si>
  <si>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congestion or failures in the managed network do not affect the management of the device. If the device does not have an OOBM port, the interface functioning as the management interface must be configured so management traffic, both data plane and control plane, does not leak into the managed network and production traffic does not leak into the management network.</t>
    </r>
  </si>
  <si>
    <r>
      <rPr>
        <sz val="11"/>
        <color rgb="FF000000"/>
        <rFont val="Calibri"/>
      </rPr>
      <t>If the managed network element is a layer 3 device, review the configuration to verify the management interface is configured as passive for the IGP instance for the managed network. Depending on the platform and routing protocol, this may simply require that the interface or its IP address is not included in the IGP configuration.  The following configuration would be an example where  OSPF is only enabled on all interfaces except the management interface:</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10.1.1.22 255.255.255.0 </t>
    </r>
    <r>
      <rPr>
        <sz val="11"/>
        <color rgb="FF000000"/>
        <rFont val="Calibri"/>
      </rPr>
      <t xml:space="preserve">
</t>
    </r>
    <r>
      <rPr>
        <sz val="11"/>
        <color rgb="FF000000"/>
        <rFont val="Calibri"/>
      </rPr>
      <t xml:space="preserve"> ip access-group 100 in </t>
    </r>
    <r>
      <rPr>
        <sz val="11"/>
        <color rgb="FF000000"/>
        <rFont val="Calibri"/>
      </rPr>
      <t xml:space="preserve">
</t>
    </r>
    <r>
      <rPr>
        <sz val="11"/>
        <color rgb="FF000000"/>
        <rFont val="Calibri"/>
      </rPr>
      <t xml:space="preserve"> ip access-group 101 out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 xml:space="preserve"> description to_our_PrivateNet</t>
    </r>
    <r>
      <rPr>
        <sz val="11"/>
        <color rgb="FF000000"/>
        <rFont val="Calibri"/>
      </rPr>
      <t xml:space="preserve">
</t>
    </r>
    <r>
      <rPr>
        <sz val="11"/>
        <color rgb="FF000000"/>
        <rFont val="Calibri"/>
      </rPr>
      <t xml:space="preserve"> ip address 172.20.4.2 255.255.255.0 </t>
    </r>
    <r>
      <rPr>
        <sz val="11"/>
        <color rgb="FF000000"/>
        <rFont val="Calibri"/>
      </rPr>
      <t xml:space="preserve">
</t>
    </r>
    <r>
      <rPr>
        <sz val="11"/>
        <color rgb="FF000000"/>
        <rFont val="Calibri"/>
      </rPr>
      <t>interface Fastethernet 0/2</t>
    </r>
    <r>
      <rPr>
        <sz val="11"/>
        <color rgb="FF000000"/>
        <rFont val="Calibri"/>
      </rPr>
      <t xml:space="preserve">
</t>
    </r>
    <r>
      <rPr>
        <sz val="11"/>
        <color rgb="FF000000"/>
        <rFont val="Calibri"/>
      </rPr>
      <t xml:space="preserve"> description to_our_ServiceNet</t>
    </r>
    <r>
      <rPr>
        <sz val="11"/>
        <color rgb="FF000000"/>
        <rFont val="Calibri"/>
      </rPr>
      <t xml:space="preserve">
</t>
    </r>
    <r>
      <rPr>
        <sz val="11"/>
        <color rgb="FF000000"/>
        <rFont val="Calibri"/>
      </rPr>
      <t xml:space="preserve"> ip address 172.20.5.2 255.255.255.0 </t>
    </r>
    <r>
      <rPr>
        <sz val="11"/>
        <color rgb="FF000000"/>
        <rFont val="Calibri"/>
      </rPr>
      <t xml:space="preserve">
</t>
    </r>
    <r>
      <rPr>
        <sz val="11"/>
        <color rgb="FF000000"/>
        <rFont val="Calibri"/>
      </rPr>
      <t>interface Fastethernet 1/1</t>
    </r>
    <r>
      <rPr>
        <sz val="11"/>
        <color rgb="FF000000"/>
        <rFont val="Calibri"/>
      </rPr>
      <t xml:space="preserve">
</t>
    </r>
    <r>
      <rPr>
        <sz val="11"/>
        <color rgb="FF000000"/>
        <rFont val="Calibri"/>
      </rPr>
      <t xml:space="preserve"> description to_our_DMZ</t>
    </r>
    <r>
      <rPr>
        <sz val="11"/>
        <color rgb="FF000000"/>
        <rFont val="Calibri"/>
      </rPr>
      <t xml:space="preserve">
</t>
    </r>
    <r>
      <rPr>
        <sz val="11"/>
        <color rgb="FF000000"/>
        <rFont val="Calibri"/>
      </rPr>
      <t xml:space="preserve"> ip address 172.20.3.1 255.255.255.0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network 172.20.0.0 255.255.255.0 area 1</t>
    </r>
    <r>
      <rPr>
        <sz val="11"/>
        <color rgb="FF000000"/>
        <rFont val="Calibri"/>
      </rPr>
      <t xml:space="preserve">
</t>
    </r>
    <r>
      <rPr>
        <sz val="11"/>
        <color rgb="FF000000"/>
        <rFont val="Calibri"/>
      </rPr>
      <t>Note: The MPP feature has no effect on control plane traffic. Hence, the routing protocol must still be configured so that it is not enabled on the management interface.</t>
    </r>
  </si>
  <si>
    <t>V-17824</t>
  </si>
  <si>
    <r>
      <rPr>
        <sz val="11"/>
        <rFont val="Calibri"/>
      </rPr>
      <t>The management interface is an access switchport and has not been assigned to a separate management VLAN.</t>
    </r>
  </si>
  <si>
    <r>
      <rPr>
        <sz val="11"/>
        <color rgb="FF000000"/>
        <rFont val="Calibri"/>
      </rPr>
      <t>If the management interface is an access switchport, assign it to a separate management VLAN while the remainder of the access switchports can be assigned to user VLANs belonging to the managed network. This provides some level of separation between the management network and the managed network.</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</si>
  <si>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</si>
  <si>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 xml:space="preserve">Review the managed switch configuration and verify that the access port connected to the OOBM access switch has been assigned to the management VLAN. By default, the management VLAN is VLAN 1; however, the management VLAN must be configured to a different VLAN. As shown in the following configuration example, FastEthernet0/1 is the port connected to the OOBM access switch and VLAN 101 is the management VLAN. </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FastEthernet0/2</t>
    </r>
    <r>
      <rPr>
        <sz val="11"/>
        <color rgb="FF000000"/>
        <rFont val="Calibri"/>
      </rPr>
      <t xml:space="preserve">
</t>
    </r>
    <r>
      <rPr>
        <sz val="11"/>
        <color rgb="FF000000"/>
        <rFont val="Calibri"/>
      </rPr>
      <t xml:space="preserve"> switchport access vlan 2</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FastEthernet0/3</t>
    </r>
    <r>
      <rPr>
        <sz val="11"/>
        <color rgb="FF000000"/>
        <rFont val="Calibri"/>
      </rPr>
      <t xml:space="preserve">
</t>
    </r>
    <r>
      <rPr>
        <sz val="11"/>
        <color rgb="FF000000"/>
        <rFont val="Calibri"/>
      </rPr>
      <t xml:space="preserve"> switchport access vlan 2</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FastEthernet0/4</t>
    </r>
    <r>
      <rPr>
        <sz val="11"/>
        <color rgb="FF000000"/>
        <rFont val="Calibri"/>
      </rPr>
      <t xml:space="preserve">
</t>
    </r>
    <r>
      <rPr>
        <sz val="11"/>
        <color rgb="FF000000"/>
        <rFont val="Calibri"/>
      </rPr>
      <t xml:space="preserve"> switchport access vlan 2</t>
    </r>
    <r>
      <rPr>
        <sz val="11"/>
        <color rgb="FF000000"/>
        <rFont val="Calibri"/>
      </rPr>
      <t xml:space="preserve">
</t>
    </r>
    <r>
      <rPr>
        <sz val="11"/>
        <color rgb="FF000000"/>
        <rFont val="Calibri"/>
      </rPr>
      <t xml:space="preserve"> switchport mode access</t>
    </r>
    <r>
      <rPr>
        <sz val="11"/>
        <color rgb="FF000000"/>
        <rFont val="Calibri"/>
      </rPr>
      <t xml:space="preserve">
</t>
    </r>
    <r>
      <rPr>
        <sz val="11"/>
        <color rgb="FF000000"/>
        <rFont val="Calibri"/>
      </rPr>
      <t>This can also be verified by entering a Privileged EXEC show vlan command on the switch CLI as illustrated in the following example output of a Cisco 2950:</t>
    </r>
    <r>
      <rPr>
        <sz val="11"/>
        <color rgb="FF000000"/>
        <rFont val="Calibri"/>
      </rPr>
      <t xml:space="preserve">
</t>
    </r>
    <r>
      <rPr>
        <sz val="11"/>
        <color rgb="FF000000"/>
        <rFont val="Calibri"/>
      </rPr>
      <t xml:space="preserve">2950#show vlan </t>
    </r>
    <r>
      <rPr>
        <sz val="11"/>
        <color rgb="FF000000"/>
        <rFont val="Calibri"/>
      </rPr>
      <t xml:space="preserve">
</t>
    </r>
    <r>
      <rPr>
        <sz val="11"/>
        <color rgb="FF000000"/>
        <rFont val="Calibri"/>
      </rPr>
      <t xml:space="preserve">VLAN Name                     Status    Ports </t>
    </r>
    <r>
      <rPr>
        <sz val="11"/>
        <color rgb="FF000000"/>
        <rFont val="Calibri"/>
      </rPr>
      <t xml:space="preserve">
</t>
    </r>
    <r>
      <rPr>
        <sz val="11"/>
        <color rgb="FF000000"/>
        <rFont val="Calibri"/>
      </rPr>
      <t xml:space="preserve">---- ------------------------ --------- ------------------------------- </t>
    </r>
    <r>
      <rPr>
        <sz val="11"/>
        <color rgb="FF000000"/>
        <rFont val="Calibri"/>
      </rPr>
      <t xml:space="preserve">
</t>
    </r>
    <r>
      <rPr>
        <sz val="11"/>
        <color rgb="FF000000"/>
        <rFont val="Calibri"/>
      </rPr>
      <t xml:space="preserve">2     Production              active    Fa0/2, Fa0/3, Fa0/4, Fa0/5,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Fa0/21, Fa0/22, Fa0/23, Fa0/24</t>
    </r>
    <r>
      <rPr>
        <sz val="11"/>
        <color rgb="FF000000"/>
        <rFont val="Calibri"/>
      </rPr>
      <t xml:space="preserve">
</t>
    </r>
    <r>
      <rPr>
        <sz val="11"/>
        <color rgb="FF000000"/>
        <rFont val="Calibri"/>
      </rPr>
      <t>10    Management              active    Fa0/1</t>
    </r>
  </si>
  <si>
    <t>V-17825</t>
  </si>
  <si>
    <r>
      <rPr>
        <sz val="11"/>
        <rFont val="Calibri"/>
      </rPr>
      <t>An address has not been configured for the management VLAN from space belonging to the OOBM network assigned to that site.</t>
    </r>
  </si>
  <si>
    <r>
      <rPr>
        <sz val="11"/>
        <color rgb="FF000000"/>
        <rFont val="Calibri"/>
      </rPr>
      <t>Assign an IP address to the management VLAN from the address space belonging to the OOBM network.</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</si>
  <si>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t>
    </r>
  </si>
  <si>
    <r>
      <rPr>
        <sz val="11"/>
        <color rgb="FF000000"/>
        <rFont val="Calibri"/>
      </rPr>
      <t xml:space="preserve">Review the managed switch configuration and verify that an address has been configured for management VLAN from space belonging to the OOBM network that has been assigned to that site. </t>
    </r>
    <r>
      <rPr>
        <sz val="11"/>
        <color rgb="FF000000"/>
        <rFont val="Calibri"/>
      </rPr>
      <t xml:space="preserve">
</t>
    </r>
    <r>
      <rPr>
        <sz val="11"/>
        <color rgb="FF000000"/>
        <rFont val="Calibri"/>
      </rPr>
      <t>interface VLAN10</t>
    </r>
    <r>
      <rPr>
        <sz val="11"/>
        <color rgb="FF000000"/>
        <rFont val="Calibri"/>
      </rPr>
      <t xml:space="preserve">
</t>
    </r>
    <r>
      <rPr>
        <sz val="11"/>
        <color rgb="FF000000"/>
        <rFont val="Calibri"/>
      </rPr>
      <t xml:space="preserve"> ip address 10.1.1.10 255.255.255.0</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Note: The IP address of the switch can be accessed only by nodes connected to ports that belong to the management VLAN. </t>
    </r>
    <r>
      <rPr>
        <sz val="11"/>
        <color rgb="FF000000"/>
        <rFont val="Calibri"/>
      </rPr>
      <t xml:space="preserve">
</t>
    </r>
    <r>
      <rPr>
        <sz val="11"/>
        <color rgb="FF000000"/>
        <rFont val="Calibri"/>
      </rPr>
      <t>A default gateway address as shown below must be configured using the address of the OOBM gateway router interface connecting to the OOBM access switch. This will ensure that all management traffic is forwarded toward the NOC using the switchport attached to the OOBM access switch.</t>
    </r>
    <r>
      <rPr>
        <sz val="11"/>
        <color rgb="FF000000"/>
        <rFont val="Calibri"/>
      </rPr>
      <t xml:space="preserve">
</t>
    </r>
    <r>
      <rPr>
        <sz val="11"/>
        <color rgb="FF000000"/>
        <rFont val="Calibri"/>
      </rPr>
      <t>ip default-gateway 10.1.1.1</t>
    </r>
  </si>
  <si>
    <t>V-17826</t>
  </si>
  <si>
    <r>
      <rPr>
        <sz val="11"/>
        <rFont val="Calibri"/>
      </rPr>
      <t>The access switchport connecting to the OOBM access switch is not the only port with membership to the management VLAN.</t>
    </r>
  </si>
  <si>
    <r>
      <rPr>
        <sz val="11"/>
        <color rgb="FF000000"/>
        <rFont val="Calibri"/>
      </rPr>
      <t>Ensure that the access switchport connecting to the OOBM access switch  is the only port with membership to the management VLAN</t>
    </r>
  </si>
  <si>
    <r>
      <rPr>
        <sz val="11"/>
        <color rgb="FF000000"/>
        <rFont val="Calibri"/>
      </rPr>
      <t>The management VLAN must be pruned from any VLAN trunk links belonging to the managed network’s infrastructure. By default all the VLANs that exist on a switch are active on a trunk link. Since the switch is being managed via OOBM connection, management traffic should not traverse any trunk links. The following Catalyst IOS configuration is an example of a trunk link with the management VLAN (i.e. 10) pruned from a trunk.</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switchport trunk encapsulation dot1q</t>
    </r>
    <r>
      <rPr>
        <sz val="11"/>
        <color rgb="FF000000"/>
        <rFont val="Calibri"/>
      </rPr>
      <t xml:space="preserve">
</t>
    </r>
    <r>
      <rPr>
        <sz val="11"/>
        <color rgb="FF000000"/>
        <rFont val="Calibri"/>
      </rPr>
      <t xml:space="preserve"> switchport mode dynamic desirable</t>
    </r>
    <r>
      <rPr>
        <sz val="11"/>
        <color rgb="FF000000"/>
        <rFont val="Calibri"/>
      </rPr>
      <t xml:space="preserve">
</t>
    </r>
    <r>
      <rPr>
        <sz val="11"/>
        <color rgb="FF000000"/>
        <rFont val="Calibri"/>
      </rPr>
      <t xml:space="preserve"> switchport trunk native vlan 3</t>
    </r>
    <r>
      <rPr>
        <sz val="11"/>
        <color rgb="FF000000"/>
        <rFont val="Calibri"/>
      </rPr>
      <t xml:space="preserve">
</t>
    </r>
    <r>
      <rPr>
        <sz val="11"/>
        <color rgb="FF000000"/>
        <rFont val="Calibri"/>
      </rPr>
      <t xml:space="preserve"> switchport trunk allowed vlan 2-9</t>
    </r>
    <r>
      <rPr>
        <sz val="11"/>
        <color rgb="FF000000"/>
        <rFont val="Calibri"/>
      </rPr>
      <t xml:space="preserve">
</t>
    </r>
    <r>
      <rPr>
        <sz val="11"/>
        <color rgb="FF000000"/>
        <rFont val="Calibri"/>
      </rPr>
      <t>This can also be verified with the show interface trunk command as shown below:</t>
    </r>
    <r>
      <rPr>
        <sz val="11"/>
        <color rgb="FF000000"/>
        <rFont val="Calibri"/>
      </rPr>
      <t xml:space="preserve">
</t>
    </r>
    <r>
      <rPr>
        <sz val="11"/>
        <color rgb="FF000000"/>
        <rFont val="Calibri"/>
      </rPr>
      <t>Switch-A# show interface trunk</t>
    </r>
    <r>
      <rPr>
        <sz val="11"/>
        <color rgb="FF000000"/>
        <rFont val="Calibri"/>
      </rPr>
      <t xml:space="preserve">
</t>
    </r>
    <r>
      <rPr>
        <sz val="11"/>
        <color rgb="FF000000"/>
        <rFont val="Calibri"/>
      </rPr>
      <t>Port      Mode         Encapsulation  Status        Native vlan</t>
    </r>
    <r>
      <rPr>
        <sz val="11"/>
        <color rgb="FF000000"/>
        <rFont val="Calibri"/>
      </rPr>
      <t xml:space="preserve">
</t>
    </r>
    <r>
      <rPr>
        <sz val="11"/>
        <color rgb="FF000000"/>
        <rFont val="Calibri"/>
      </rPr>
      <t>Fa0/1     desirable    802.1q         trunking      3</t>
    </r>
    <r>
      <rPr>
        <sz val="11"/>
        <color rgb="FF000000"/>
        <rFont val="Calibri"/>
      </rPr>
      <t xml:space="preserve">
</t>
    </r>
    <r>
      <rPr>
        <sz val="11"/>
        <color rgb="FF000000"/>
        <rFont val="Calibri"/>
      </rPr>
      <t>Port      Vlans allowed on trunk</t>
    </r>
    <r>
      <rPr>
        <sz val="11"/>
        <color rgb="FF000000"/>
        <rFont val="Calibri"/>
      </rPr>
      <t xml:space="preserve">
</t>
    </r>
    <r>
      <rPr>
        <sz val="11"/>
        <color rgb="FF000000"/>
        <rFont val="Calibri"/>
      </rPr>
      <t>Fa0/1     2-9</t>
    </r>
    <r>
      <rPr>
        <sz val="11"/>
        <color rgb="FF000000"/>
        <rFont val="Calibri"/>
      </rPr>
      <t xml:space="preserve">
</t>
    </r>
    <r>
      <rPr>
        <sz val="11"/>
        <color rgb="FF000000"/>
        <rFont val="Calibri"/>
      </rPr>
      <t>Port      Vlans in spanning tree forwarding state and not pruned</t>
    </r>
    <r>
      <rPr>
        <sz val="11"/>
        <color rgb="FF000000"/>
        <rFont val="Calibri"/>
      </rPr>
      <t xml:space="preserve">
</t>
    </r>
    <r>
      <rPr>
        <sz val="11"/>
        <color rgb="FF000000"/>
        <rFont val="Calibri"/>
      </rPr>
      <t>Fa0/1     2-5</t>
    </r>
    <r>
      <rPr>
        <sz val="11"/>
        <color rgb="FF000000"/>
        <rFont val="Calibri"/>
      </rPr>
      <t xml:space="preserve">
</t>
    </r>
    <r>
      <rPr>
        <sz val="11"/>
        <color rgb="FF000000"/>
        <rFont val="Calibri"/>
      </rPr>
      <t>Note: VTP pruning allows the switch to not forward user traffic for VLANs that are not active on a remote switch. This feature dynamically prunes unneeded traffic across trunk links.  VTP pruning needs to be enabled on the server for the VTP domains—after which all VTP clients in the VTP domain will automatically enable VTP pruning. To enable VTP pruning on a Cisco IOS switch, you use the vtp pruning VLAN configuration or global configuration command. Since, the management VLAN will be active on all managed switchs, VTP will never prune this VLAN. Hence, it will have to be manually removed as shown above.</t>
    </r>
  </si>
  <si>
    <t>V-17827</t>
  </si>
  <si>
    <r>
      <rPr>
        <sz val="11"/>
        <rFont val="Calibri"/>
      </rPr>
      <t>The management VLAN is not pruned from any VLAN trunk links belonging to the managed network’s infrastructure.</t>
    </r>
  </si>
  <si>
    <r>
      <rPr>
        <sz val="11"/>
        <color rgb="FF000000"/>
        <rFont val="Calibri"/>
      </rPr>
      <t>Prune the management VLAN from any VLAN trunk links belonging to the managed network’s infrastructure.</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</si>
  <si>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 ISL and 802.1q trunking enables multiple VLANs to traverse the same physical links between layer 2 switches or between a layer 2 switch and a router. If the management VLAN is not pruned from any VLAN trunk links belonging to the managed network’s infrastructure, management traffic has the potential to leak into the production network.</t>
    </r>
  </si>
  <si>
    <r>
      <rPr>
        <sz val="11"/>
        <color rgb="FF000000"/>
        <rFont val="Calibri"/>
      </rPr>
      <t>The management VLAN must be pruned from any VLAN trunk links belonging to the managed network’s infrastructure.  By default all the VLANs that exist on a switch are active on a trunk link. Since the switch is being managed via OOBM connection, management traffic should not traverse any trunk links. The following Catalyst IOS configuration is an example of a trunk link with the management VLAN (i.e. 10) pruned from a trunk.</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switchport trunk encapsulation dot1q</t>
    </r>
    <r>
      <rPr>
        <sz val="11"/>
        <color rgb="FF000000"/>
        <rFont val="Calibri"/>
      </rPr>
      <t xml:space="preserve">
</t>
    </r>
    <r>
      <rPr>
        <sz val="11"/>
        <color rgb="FF000000"/>
        <rFont val="Calibri"/>
      </rPr>
      <t xml:space="preserve"> switchport mode dynamic desirable</t>
    </r>
    <r>
      <rPr>
        <sz val="11"/>
        <color rgb="FF000000"/>
        <rFont val="Calibri"/>
      </rPr>
      <t xml:space="preserve">
</t>
    </r>
    <r>
      <rPr>
        <sz val="11"/>
        <color rgb="FF000000"/>
        <rFont val="Calibri"/>
      </rPr>
      <t xml:space="preserve"> switchport trunk native vlan 3</t>
    </r>
    <r>
      <rPr>
        <sz val="11"/>
        <color rgb="FF000000"/>
        <rFont val="Calibri"/>
      </rPr>
      <t xml:space="preserve">
</t>
    </r>
    <r>
      <rPr>
        <sz val="11"/>
        <color rgb="FF000000"/>
        <rFont val="Calibri"/>
      </rPr>
      <t xml:space="preserve"> switchport trunk allowed vlan 2-9</t>
    </r>
    <r>
      <rPr>
        <sz val="11"/>
        <color rgb="FF000000"/>
        <rFont val="Calibri"/>
      </rPr>
      <t xml:space="preserve">
</t>
    </r>
    <r>
      <rPr>
        <sz val="11"/>
        <color rgb="FF000000"/>
        <rFont val="Calibri"/>
      </rPr>
      <t>This can also be verified with the show interface trunk command as shown below:</t>
    </r>
    <r>
      <rPr>
        <sz val="11"/>
        <color rgb="FF000000"/>
        <rFont val="Calibri"/>
      </rPr>
      <t xml:space="preserve">
</t>
    </r>
    <r>
      <rPr>
        <sz val="11"/>
        <color rgb="FF000000"/>
        <rFont val="Calibri"/>
      </rPr>
      <t>Switch-A# show interface trunk</t>
    </r>
    <r>
      <rPr>
        <sz val="11"/>
        <color rgb="FF000000"/>
        <rFont val="Calibri"/>
      </rPr>
      <t xml:space="preserve">
</t>
    </r>
    <r>
      <rPr>
        <sz val="11"/>
        <color rgb="FF000000"/>
        <rFont val="Calibri"/>
      </rPr>
      <t>Port      Mode         Encapsulation  Status        Native vlan</t>
    </r>
    <r>
      <rPr>
        <sz val="11"/>
        <color rgb="FF000000"/>
        <rFont val="Calibri"/>
      </rPr>
      <t xml:space="preserve">
</t>
    </r>
    <r>
      <rPr>
        <sz val="11"/>
        <color rgb="FF000000"/>
        <rFont val="Calibri"/>
      </rPr>
      <t>Fa0/1     desirable    802.1q         trunking      3</t>
    </r>
    <r>
      <rPr>
        <sz val="11"/>
        <color rgb="FF000000"/>
        <rFont val="Calibri"/>
      </rPr>
      <t xml:space="preserve">
</t>
    </r>
    <r>
      <rPr>
        <sz val="11"/>
        <color rgb="FF000000"/>
        <rFont val="Calibri"/>
      </rPr>
      <t>Port      Vlans allowed on trunk</t>
    </r>
    <r>
      <rPr>
        <sz val="11"/>
        <color rgb="FF000000"/>
        <rFont val="Calibri"/>
      </rPr>
      <t xml:space="preserve">
</t>
    </r>
    <r>
      <rPr>
        <sz val="11"/>
        <color rgb="FF000000"/>
        <rFont val="Calibri"/>
      </rPr>
      <t>Fa0/1     2-9</t>
    </r>
    <r>
      <rPr>
        <sz val="11"/>
        <color rgb="FF000000"/>
        <rFont val="Calibri"/>
      </rPr>
      <t xml:space="preserve">
</t>
    </r>
    <r>
      <rPr>
        <sz val="11"/>
        <color rgb="FF000000"/>
        <rFont val="Calibri"/>
      </rPr>
      <t>Port      Vlans in spanning tree forwarding state and not pruned</t>
    </r>
    <r>
      <rPr>
        <sz val="11"/>
        <color rgb="FF000000"/>
        <rFont val="Calibri"/>
      </rPr>
      <t xml:space="preserve">
</t>
    </r>
    <r>
      <rPr>
        <sz val="11"/>
        <color rgb="FF000000"/>
        <rFont val="Calibri"/>
      </rPr>
      <t>Fa0/1     2-5</t>
    </r>
    <r>
      <rPr>
        <sz val="11"/>
        <color rgb="FF000000"/>
        <rFont val="Calibri"/>
      </rPr>
      <t xml:space="preserve">
</t>
    </r>
    <r>
      <rPr>
        <sz val="11"/>
        <color rgb="FF000000"/>
        <rFont val="Calibri"/>
      </rPr>
      <t>Note: VTP pruning allows the switch to not forward user traffic for VLANs that are not active on a remote switch. This feature dynamically prunes unneeded traffic across trunk links.  VTP pruning needs to be enabled on the server for the VTP domains—after which all VTP clients in the VTP domain will automatically enable VTP pruning. To enable VTP pruning on a Cisco IOS switch, you use the vtp pruning VLAN configuration or global configuration command. Since, the management VLAN will be active on all managed switchs, VTP will never prune this VLAN. Hence, it will have to be manually removed as shown above.</t>
    </r>
  </si>
  <si>
    <t>V-17832</t>
  </si>
  <si>
    <r>
      <rPr>
        <sz val="11"/>
        <rFont val="Calibri"/>
      </rPr>
      <t>The management VLAN is not configured with an IP address from the management network address block.</t>
    </r>
  </si>
  <si>
    <r>
      <rPr>
        <sz val="11"/>
        <color rgb="FF000000"/>
        <rFont val="Calibri"/>
      </rPr>
      <t>Configure the management VLAN with an IP address from the management network address block.</t>
    </r>
  </si>
  <si>
    <r>
      <rPr>
        <sz val="11"/>
        <color rgb="FF000000"/>
        <rFont val="Calibri"/>
      </rPr>
      <t>If the management systems reside within the same layer 2 switching domain as the managed network elements, then separate VLANs will be deployed to provide separation at that level. In this case, the management network still has its own subnet while at the same time it is defined as a unique VLAN.</t>
    </r>
  </si>
  <si>
    <r>
      <rPr>
        <sz val="11"/>
        <color rgb="FF000000"/>
        <rFont val="Calibri"/>
      </rPr>
      <t>Review the switch configuration and verify that the  management VLAN has been assigned an IP address from the management network address block. Following is an example for a Cisco Catalyst switch:</t>
    </r>
    <r>
      <rPr>
        <sz val="11"/>
        <color rgb="FF000000"/>
        <rFont val="Calibri"/>
      </rPr>
      <t xml:space="preserve">
</t>
    </r>
    <r>
      <rPr>
        <sz val="11"/>
        <color rgb="FF000000"/>
        <rFont val="Calibri"/>
      </rPr>
      <t>interface VLAN 10</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 ip address 10.1.1.10 255.255.255.0</t>
    </r>
    <r>
      <rPr>
        <sz val="11"/>
        <color rgb="FF000000"/>
        <rFont val="Calibri"/>
      </rPr>
      <t xml:space="preserve">
</t>
    </r>
    <r>
      <rPr>
        <sz val="11"/>
        <color rgb="FF000000"/>
        <rFont val="Calibri"/>
      </rPr>
      <t>Note: The IP address of the switch can be accessed only by nodes connected to ports that belong to the management VLAN.</t>
    </r>
  </si>
  <si>
    <t>V-17833</t>
  </si>
  <si>
    <r>
      <rPr>
        <sz val="11"/>
        <rFont val="Calibri"/>
      </rPr>
      <t>The ISSO will ensure that only authorized management traffic is forwarded by the multi-layer switch from the production or managed VLANs to the management VLAN.</t>
    </r>
  </si>
  <si>
    <r>
      <rPr>
        <sz val="11"/>
        <color rgb="FF000000"/>
        <rFont val="Calibri"/>
      </rPr>
      <t>If an MLS is used to provide inter-VLAN routing, configure an inbound ACL for the management network VLAN interface.</t>
    </r>
  </si>
  <si>
    <r>
      <rPr>
        <sz val="11"/>
        <color rgb="FF000000"/>
        <rFont val="Calibri"/>
      </rPr>
      <t>If the management systems reside within the same Layer 2 switching domain as the managed network elements, then separate VLANs will be deployed to provide separation at that level. In this case, the management network still has its own subnet while at the same time it is defined as a unique VLAN.  Inter-VLAN routing or the routing of traffic between nodes residing in different subnets requires a router or multi-layer switch (MLS). Access control lists must be used to enforce the boundaries between the management network and the network being managed. When using a MLS, an alternate method to prevent inter-VLAN routing is to configure the management Virtual Routing and Forwarding (VRF) to not import route targets from other VRFs which would ensure there is no reachability between networks.</t>
    </r>
  </si>
  <si>
    <r>
      <rPr>
        <sz val="11"/>
        <color rgb="FF000000"/>
        <rFont val="Calibri"/>
      </rPr>
      <t>Review the configuration to determine if an inbound ACL has been configured for the management VLAN interface to block non-management traffic.</t>
    </r>
    <r>
      <rPr>
        <sz val="11"/>
        <color rgb="FF000000"/>
        <rFont val="Calibri"/>
      </rPr>
      <t xml:space="preserve">
</t>
    </r>
    <r>
      <rPr>
        <sz val="11"/>
        <color rgb="FF000000"/>
        <rFont val="Calibri"/>
      </rPr>
      <t>If an inbound ACL has not been configured, this is a finding.</t>
    </r>
  </si>
  <si>
    <t>V-17834</t>
  </si>
  <si>
    <r>
      <rPr>
        <sz val="11"/>
        <rFont val="Calibri"/>
      </rPr>
      <t>An inbound ACL is not configured for the management network sub-interface of the trunk link to block non-management traffic.</t>
    </r>
  </si>
  <si>
    <r>
      <rPr>
        <sz val="11"/>
        <color rgb="FF000000"/>
        <rFont val="Calibri"/>
      </rPr>
      <t>If a router is used to provide inter-VLAN routing, configure an inbound ACL for the management network sub-interface for the trunk link to block non-management traffic.</t>
    </r>
  </si>
  <si>
    <r>
      <rPr>
        <sz val="11"/>
        <color rgb="FF000000"/>
        <rFont val="Calibri"/>
      </rPr>
      <t>If the management systems reside within the same layer 2 switching domain as the managed network elements, then separate VLANs will be deployed to provide separation at that level. In this case, the management network still has its own subnet while at the same time it is defined as a unique VLAN. Inter-VLAN routing or the routing of traffic between nodes residing in different subnets requires a router or multi-layer switch (MLS). Access control lists must be used to enforce the boundaries between the management network and the network being managed. All physical and virtual (i.e. MLS SVI) routed interfaces must be configured with ACLs to prevent the leaking of unauthorized traffic from one network to the other.</t>
    </r>
  </si>
  <si>
    <r>
      <rPr>
        <sz val="11"/>
        <color rgb="FF000000"/>
        <rFont val="Calibri"/>
      </rPr>
      <t>Review the router configuration and verify that an inbound ACL has been configured for the management network sub-interface as illustrated in the following example configuration:</t>
    </r>
    <r>
      <rPr>
        <sz val="11"/>
        <color rgb="FF000000"/>
        <rFont val="Calibri"/>
      </rPr>
      <t xml:space="preserve">
</t>
    </r>
    <r>
      <rPr>
        <sz val="11"/>
        <color rgb="FF000000"/>
        <rFont val="Calibri"/>
      </rPr>
      <t>IOS</t>
    </r>
    <r>
      <rPr>
        <sz val="11"/>
        <color rgb="FF000000"/>
        <rFont val="Calibri"/>
      </rPr>
      <t xml:space="preserve">
</t>
    </r>
    <r>
      <rPr>
        <sz val="11"/>
        <color rgb="FF000000"/>
        <rFont val="Calibri"/>
      </rPr>
      <t xml:space="preserve"> interface GigabitEthernet3</t>
    </r>
    <r>
      <rPr>
        <sz val="11"/>
        <color rgb="FF000000"/>
        <rFont val="Calibri"/>
      </rPr>
      <t xml:space="preserve">
</t>
    </r>
    <r>
      <rPr>
        <sz val="11"/>
        <color rgb="FF000000"/>
        <rFont val="Calibri"/>
      </rPr>
      <t xml:space="preserve">  no ip redirects</t>
    </r>
    <r>
      <rPr>
        <sz val="11"/>
        <color rgb="FF000000"/>
        <rFont val="Calibri"/>
      </rPr>
      <t xml:space="preserve">
</t>
    </r>
    <r>
      <rPr>
        <sz val="11"/>
        <color rgb="FF000000"/>
        <rFont val="Calibri"/>
      </rPr>
      <t xml:space="preserve">  no ip directed-broadcast</t>
    </r>
    <r>
      <rPr>
        <sz val="11"/>
        <color rgb="FF000000"/>
        <rFont val="Calibri"/>
      </rPr>
      <t xml:space="preserve">
</t>
    </r>
    <r>
      <rPr>
        <sz val="11"/>
        <color rgb="FF000000"/>
        <rFont val="Calibri"/>
      </rPr>
      <t xml:space="preserve"> interface GigabitEthernet3.10        </t>
    </r>
    <r>
      <rPr>
        <sz val="11"/>
        <color rgb="FF000000"/>
        <rFont val="Calibri"/>
      </rPr>
      <t xml:space="preserve">
</t>
    </r>
    <r>
      <rPr>
        <sz val="11"/>
        <color rgb="FF000000"/>
        <rFont val="Calibri"/>
      </rPr>
      <t xml:space="preserve">  encapsulation dot1q 10</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  ip address 10.1.1.1 255.255.255.0</t>
    </r>
    <r>
      <rPr>
        <sz val="11"/>
        <color rgb="FF000000"/>
        <rFont val="Calibri"/>
      </rPr>
      <t xml:space="preserve">
</t>
    </r>
    <r>
      <rPr>
        <sz val="11"/>
        <color rgb="FF000000"/>
        <rFont val="Calibri"/>
      </rPr>
      <t xml:space="preserve">  ip access-group 108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access-list 108 permit …</t>
    </r>
  </si>
  <si>
    <t>V-17835</t>
  </si>
  <si>
    <r>
      <rPr>
        <sz val="11"/>
        <rFont val="Calibri"/>
      </rPr>
      <t>Traffic entering the tunnels is not restricted to only the authorized management packets based on destination address.</t>
    </r>
  </si>
  <si>
    <r>
      <rPr>
        <sz val="11"/>
        <color rgb="FF000000"/>
        <rFont val="Calibri"/>
      </rPr>
      <t>Where IPSec technology is deployed to connect the managed network to the NOC, it is imperative that the traffic entering the tunnels is restricted to only the authorized management packets based on destination address.</t>
    </r>
  </si>
  <si>
    <r>
      <rPr>
        <sz val="11"/>
        <color rgb="FF000000"/>
        <rFont val="Calibri"/>
      </rPr>
      <t>Similar to the OOBM model, when the production network is managed in-band, the management network could also be housed at a NOC that is located locally or remotely at a single or multiple interconnected sites. NOC interconnectivity as well as connectivity between the NOC and the managed networks’ premise routers would be enabled using either provisioned circuits or VPN technologies such as IPSec tunnels or MPLS VPN services.</t>
    </r>
  </si>
  <si>
    <r>
      <rPr>
        <sz val="11"/>
        <color rgb="FF000000"/>
        <rFont val="Calibri"/>
      </rPr>
      <t>Verify that all traffic from the managed network to the management network and vice-versa is secured via IPSec encapsulation. In the configuration examples, 10.2.2.0/24 is the management network at the NOC and 192.168.1.0/24 is  address space used at the network being managed (i.e., the enclave).  For Cisco router, the access-list referenced by the crypto map must have the source and destination addresses belonging to the management network address space at the enclave and NOC respectively.</t>
    </r>
    <r>
      <rPr>
        <sz val="11"/>
        <color rgb="FF000000"/>
        <rFont val="Calibri"/>
      </rPr>
      <t xml:space="preserve">
</t>
    </r>
    <r>
      <rPr>
        <sz val="11"/>
        <color rgb="FF000000"/>
        <rFont val="Calibri"/>
      </rPr>
      <t>hostname Premrouter</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t>
    </r>
    <r>
      <rPr>
        <sz val="11"/>
        <color rgb="FF000000"/>
        <rFont val="Calibri"/>
      </rPr>
      <t xml:space="preserve">
</t>
    </r>
    <r>
      <rPr>
        <sz val="11"/>
        <color rgb="FF000000"/>
        <rFont val="Calibri"/>
      </rPr>
      <t xml:space="preserve"> ip address 19.16.1.1 255.255.255.0</t>
    </r>
    <r>
      <rPr>
        <sz val="11"/>
        <color rgb="FF000000"/>
        <rFont val="Calibri"/>
      </rPr>
      <t xml:space="preserve">
</t>
    </r>
    <r>
      <rPr>
        <sz val="11"/>
        <color rgb="FF000000"/>
        <rFont val="Calibri"/>
      </rPr>
      <t xml:space="preserve"> description NIPRNet_Link</t>
    </r>
    <r>
      <rPr>
        <sz val="11"/>
        <color rgb="FF000000"/>
        <rFont val="Calibri"/>
      </rPr>
      <t xml:space="preserve">
</t>
    </r>
    <r>
      <rPr>
        <sz val="11"/>
        <color rgb="FF000000"/>
        <rFont val="Calibri"/>
      </rPr>
      <t xml:space="preserve"> crypto map myvpn</t>
    </r>
    <r>
      <rPr>
        <sz val="11"/>
        <color rgb="FF000000"/>
        <rFont val="Calibri"/>
      </rPr>
      <t xml:space="preserve">
</t>
    </r>
    <r>
      <rPr>
        <sz val="11"/>
        <color rgb="FF000000"/>
        <rFont val="Calibri"/>
      </rPr>
      <t>interface Fastethernet 0/0</t>
    </r>
    <r>
      <rPr>
        <sz val="11"/>
        <color rgb="FF000000"/>
        <rFont val="Calibri"/>
      </rPr>
      <t xml:space="preserve">
</t>
    </r>
    <r>
      <rPr>
        <sz val="11"/>
        <color rgb="FF000000"/>
        <rFont val="Calibri"/>
      </rPr>
      <t xml:space="preserve"> description Enclave_Management_LAN</t>
    </r>
    <r>
      <rPr>
        <sz val="11"/>
        <color rgb="FF000000"/>
        <rFont val="Calibri"/>
      </rPr>
      <t xml:space="preserve">
</t>
    </r>
    <r>
      <rPr>
        <sz val="11"/>
        <color rgb="FF000000"/>
        <rFont val="Calibri"/>
      </rPr>
      <t xml:space="preserve"> ip address 192.168.1.1 255.255.255.0 </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isakmp policy 1</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 xml:space="preserve"> lifetime 84600</t>
    </r>
    <r>
      <rPr>
        <sz val="11"/>
        <color rgb="FF000000"/>
        <rFont val="Calibri"/>
      </rPr>
      <t xml:space="preserve">
</t>
    </r>
    <r>
      <rPr>
        <sz val="11"/>
        <color rgb="FF000000"/>
        <rFont val="Calibri"/>
      </rPr>
      <t xml:space="preserve"> crypto isakmp key ******* address 19.16.2.1</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crypto ipsec transform-set toNOC esp-des esp-md5-hmac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crypto map myvpn 10 ipsec-isakmp </t>
    </r>
    <r>
      <rPr>
        <sz val="11"/>
        <color rgb="FF000000"/>
        <rFont val="Calibri"/>
      </rPr>
      <t xml:space="preserve">
</t>
    </r>
    <r>
      <rPr>
        <sz val="11"/>
        <color rgb="FF000000"/>
        <rFont val="Calibri"/>
      </rPr>
      <t xml:space="preserve"> set peer 19.16.2.1</t>
    </r>
    <r>
      <rPr>
        <sz val="11"/>
        <color rgb="FF000000"/>
        <rFont val="Calibri"/>
      </rPr>
      <t xml:space="preserve">
</t>
    </r>
    <r>
      <rPr>
        <sz val="11"/>
        <color rgb="FF000000"/>
        <rFont val="Calibri"/>
      </rPr>
      <t xml:space="preserve"> set transform-set toNOC</t>
    </r>
    <r>
      <rPr>
        <sz val="11"/>
        <color rgb="FF000000"/>
        <rFont val="Calibri"/>
      </rPr>
      <t xml:space="preserve">
</t>
    </r>
    <r>
      <rPr>
        <sz val="11"/>
        <color rgb="FF000000"/>
        <rFont val="Calibri"/>
      </rPr>
      <t xml:space="preserve"> match address 101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101 permit ip any 10.2.2.0 0.0.0.255</t>
    </r>
  </si>
  <si>
    <t>V-17836</t>
  </si>
  <si>
    <r>
      <rPr>
        <sz val="11"/>
        <rFont val="Calibri"/>
      </rPr>
      <t>Management traffic is not classified and marked at the nearest upstream MLS or router when management traffic must traverse several nodes to reach the management network.</t>
    </r>
  </si>
  <si>
    <r>
      <rPr>
        <sz val="11"/>
        <color rgb="FF000000"/>
        <rFont val="Calibri"/>
      </rPr>
      <t>When management traffic must traverse several nodes to reach the management network, classify and mark management traffic at the nearest upstream MLS or router.</t>
    </r>
  </si>
  <si>
    <r>
      <rPr>
        <sz val="11"/>
        <color rgb="FF000000"/>
        <rFont val="Calibri"/>
      </rPr>
      <t xml:space="preserve">When network congestion occurs, all traffic has an equal chance of being dropped. </t>
    </r>
    <r>
      <rPr>
        <sz val="11"/>
        <color rgb="FF000000"/>
        <rFont val="Calibri"/>
      </rPr>
      <t xml:space="preserve">
</t>
    </r>
    <r>
      <rPr>
        <sz val="11"/>
        <color rgb="FF000000"/>
        <rFont val="Calibri"/>
      </rPr>
      <t xml:space="preserve">Prioritization of network management traffic must be implemented to ensure that even during periods of severe network congestion, the network can be managed and monitored. Quality of Service (QoS) provisioning categorizes network traffic, prioritizes it according to its relative importance, and provides priority treatment through congestion avoidance techniques. Implementing QoS within the network makes network performance more predictable and bandwidth utilization more effective. Most important, since the same bandwidth is being used to manage the network, it provides some assurance that there will be bandwidth available to troubleshoot outages and restore availability when needed. </t>
    </r>
    <r>
      <rPr>
        <sz val="11"/>
        <color rgb="FF000000"/>
        <rFont val="Calibri"/>
      </rPr>
      <t xml:space="preserve">
</t>
    </r>
    <r>
      <rPr>
        <sz val="11"/>
        <color rgb="FF000000"/>
        <rFont val="Calibri"/>
      </rPr>
      <t>When management traffic must traverse several nodes to reach the management network, management traffic should be classified and marked at the nearest upstream MLS or router. In addition, all core routers within the managed network must be configured to provide preferred treatment based on the QoS markings. This will ensure that management traffic receives preferred treatment (per-hop behavior) at each forwarding device along the path to the management network. traffic.</t>
    </r>
  </si>
  <si>
    <r>
      <rPr>
        <sz val="11"/>
        <color rgb="FF000000"/>
        <rFont val="Calibri"/>
      </rPr>
      <t>class-map match-all MANAGEMENT-TRAFFIC</t>
    </r>
    <r>
      <rPr>
        <sz val="11"/>
        <color rgb="FF000000"/>
        <rFont val="Calibri"/>
      </rPr>
      <t xml:space="preserve">
</t>
    </r>
    <r>
      <rPr>
        <sz val="11"/>
        <color rgb="FF000000"/>
        <rFont val="Calibri"/>
      </rPr>
      <t xml:space="preserve">  match access-group name CLASSIFY-MANAGEMENT-TRAFFIC</t>
    </r>
    <r>
      <rPr>
        <sz val="11"/>
        <color rgb="FF000000"/>
        <rFont val="Calibri"/>
      </rPr>
      <t xml:space="preserve">
</t>
    </r>
    <r>
      <rPr>
        <sz val="11"/>
        <color rgb="FF000000"/>
        <rFont val="Calibri"/>
      </rPr>
      <t>!</t>
    </r>
    <r>
      <rPr>
        <sz val="11"/>
        <color rgb="FF000000"/>
        <rFont val="Calibri"/>
      </rPr>
      <t xml:space="preserve">
</t>
    </r>
    <r>
      <rPr>
        <sz val="11"/>
        <color rgb="FF000000"/>
        <rFont val="Calibri"/>
      </rPr>
      <t>policy-map DIST-LAYER-POLICY</t>
    </r>
    <r>
      <rPr>
        <sz val="11"/>
        <color rgb="FF000000"/>
        <rFont val="Calibri"/>
      </rPr>
      <t xml:space="preserve">
</t>
    </r>
    <r>
      <rPr>
        <sz val="11"/>
        <color rgb="FF000000"/>
        <rFont val="Calibri"/>
      </rPr>
      <t xml:space="preserve"> class MANAGEMENT-TRAFFIC</t>
    </r>
    <r>
      <rPr>
        <sz val="11"/>
        <color rgb="FF000000"/>
        <rFont val="Calibri"/>
      </rPr>
      <t xml:space="preserve">
</t>
    </r>
    <r>
      <rPr>
        <sz val="11"/>
        <color rgb="FF000000"/>
        <rFont val="Calibri"/>
      </rPr>
      <t xml:space="preserve"> set ip dscp 48</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 xml:space="preserve"> description link to LAN1</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service-policy input DIST-LAYER-POLICY</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link to LAN2</t>
    </r>
    <r>
      <rPr>
        <sz val="11"/>
        <color rgb="FF000000"/>
        <rFont val="Calibri"/>
      </rPr>
      <t xml:space="preserve">
</t>
    </r>
    <r>
      <rPr>
        <sz val="11"/>
        <color rgb="FF000000"/>
        <rFont val="Calibri"/>
      </rPr>
      <t xml:space="preserve"> ip address 192.168.2.1 255.255.255.0</t>
    </r>
    <r>
      <rPr>
        <sz val="11"/>
        <color rgb="FF000000"/>
        <rFont val="Calibri"/>
      </rPr>
      <t xml:space="preserve">
</t>
    </r>
    <r>
      <rPr>
        <sz val="11"/>
        <color rgb="FF000000"/>
        <rFont val="Calibri"/>
      </rPr>
      <t xml:space="preserve"> service-policy input DIST-LAYER-POLICY</t>
    </r>
    <r>
      <rPr>
        <sz val="11"/>
        <color rgb="FF000000"/>
        <rFont val="Calibri"/>
      </rPr>
      <t xml:space="preserve">
</t>
    </r>
    <r>
      <rPr>
        <sz val="11"/>
        <color rgb="FF000000"/>
        <rFont val="Calibri"/>
      </rPr>
      <t>interface FastEthernet0/2</t>
    </r>
    <r>
      <rPr>
        <sz val="11"/>
        <color rgb="FF000000"/>
        <rFont val="Calibri"/>
      </rPr>
      <t xml:space="preserve">
</t>
    </r>
    <r>
      <rPr>
        <sz val="11"/>
        <color rgb="FF000000"/>
        <rFont val="Calibri"/>
      </rPr>
      <t xml:space="preserve"> description link to core</t>
    </r>
    <r>
      <rPr>
        <sz val="11"/>
        <color rgb="FF000000"/>
        <rFont val="Calibri"/>
      </rPr>
      <t xml:space="preserve">
</t>
    </r>
    <r>
      <rPr>
        <sz val="11"/>
        <color rgb="FF000000"/>
        <rFont val="Calibri"/>
      </rPr>
      <t xml:space="preserve"> ip address 192.168.13.1 255.255.255.0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CLASSIFY-MANAGEMENT-TRAFFIC</t>
    </r>
    <r>
      <rPr>
        <sz val="11"/>
        <color rgb="FF000000"/>
        <rFont val="Calibri"/>
      </rPr>
      <t xml:space="preserve">
</t>
    </r>
    <r>
      <rPr>
        <sz val="11"/>
        <color rgb="FF000000"/>
        <rFont val="Calibri"/>
      </rPr>
      <t xml:space="preserve"> permit ip any 10.2.2.0 0.0.0.255</t>
    </r>
    <r>
      <rPr>
        <sz val="11"/>
        <color rgb="FF000000"/>
        <rFont val="Calibri"/>
      </rPr>
      <t xml:space="preserve">
</t>
    </r>
    <r>
      <rPr>
        <sz val="11"/>
        <color rgb="FF000000"/>
        <rFont val="Calibri"/>
      </rPr>
      <t>Note: Traffic is marked using the set command in a policy map. For DSCP rewrite, if a packet encounters both input and output classification policy, the output policy has precedence. If  there is no output policy, then the input policy has precedence.</t>
    </r>
  </si>
  <si>
    <t>V-17837</t>
  </si>
  <si>
    <r>
      <rPr>
        <sz val="11"/>
        <rFont val="Calibri"/>
      </rPr>
      <t>The core router within the managed network has not been configured to provide preferred treatment for management traffic that must traverse several nodes to reach the management network.</t>
    </r>
  </si>
  <si>
    <r>
      <rPr>
        <sz val="11"/>
        <color rgb="FF000000"/>
        <rFont val="Calibri"/>
      </rPr>
      <t>When management traffic must traverse several nodes to reach the management network, ensure that all core routers within the managed network have been configured to provide preferred treatment for management traffic.</t>
    </r>
  </si>
  <si>
    <r>
      <rPr>
        <sz val="11"/>
        <color rgb="FF000000"/>
        <rFont val="Calibri"/>
      </rPr>
      <t xml:space="preserve">When management traffic must traverse several nodes to reach the management network, ensure that all core routers within the managed network have been configured to provide preferred treatment for management traffic. This will ensure that management traffic receives guaranteed  bandwidth at each forwarding device along the path to the management network. </t>
    </r>
    <r>
      <rPr>
        <sz val="11"/>
        <color rgb="FF000000"/>
        <rFont val="Calibri"/>
      </rPr>
      <t xml:space="preserve">
</t>
    </r>
    <r>
      <rPr>
        <sz val="11"/>
        <color rgb="FF000000"/>
        <rFont val="Calibri"/>
      </rPr>
      <t>Step 1: Verify that a service policy is bound to all core or internal router interfaces as shown in the configuration below:</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ip address 192.168.2.1 255.255.255.0 </t>
    </r>
    <r>
      <rPr>
        <sz val="11"/>
        <color rgb="FF000000"/>
        <rFont val="Calibri"/>
      </rPr>
      <t xml:space="preserve">
</t>
    </r>
    <r>
      <rPr>
        <sz val="11"/>
        <color rgb="FF000000"/>
        <rFont val="Calibri"/>
      </rPr>
      <t xml:space="preserve"> service-policy output QoS-Policy</t>
    </r>
    <r>
      <rPr>
        <sz val="11"/>
        <color rgb="FF000000"/>
        <rFont val="Calibri"/>
      </rPr>
      <t xml:space="preserve">
</t>
    </r>
    <r>
      <rPr>
        <sz val="11"/>
        <color rgb="FF000000"/>
        <rFont val="Calibri"/>
      </rPr>
      <t xml:space="preserve">interface FastEthernet0/2 </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service-policy output QoS-Policy</t>
    </r>
    <r>
      <rPr>
        <sz val="11"/>
        <color rgb="FF000000"/>
        <rFont val="Calibri"/>
      </rPr>
      <t xml:space="preserve">
</t>
    </r>
    <r>
      <rPr>
        <sz val="11"/>
        <color rgb="FF000000"/>
        <rFont val="Calibri"/>
      </rPr>
      <t>Step 2: Verify that the class-maps place management traffic in the appropriate forwarding class as shown in the example below:</t>
    </r>
    <r>
      <rPr>
        <sz val="11"/>
        <color rgb="FF000000"/>
        <rFont val="Calibri"/>
      </rPr>
      <t xml:space="preserve">
</t>
    </r>
    <r>
      <rPr>
        <sz val="11"/>
        <color rgb="FF000000"/>
        <rFont val="Calibri"/>
      </rPr>
      <t>class-map match-all best-effort</t>
    </r>
    <r>
      <rPr>
        <sz val="11"/>
        <color rgb="FF000000"/>
        <rFont val="Calibri"/>
      </rPr>
      <t xml:space="preserve">
</t>
    </r>
    <r>
      <rPr>
        <sz val="11"/>
        <color rgb="FF000000"/>
        <rFont val="Calibri"/>
      </rPr>
      <t xml:space="preserve"> match ip dscp 0</t>
    </r>
    <r>
      <rPr>
        <sz val="11"/>
        <color rgb="FF000000"/>
        <rFont val="Calibri"/>
      </rPr>
      <t xml:space="preserve">
</t>
    </r>
    <r>
      <rPr>
        <sz val="11"/>
        <color rgb="FF000000"/>
        <rFont val="Calibri"/>
      </rPr>
      <t>class-map match-any data-AF13-AF23</t>
    </r>
    <r>
      <rPr>
        <sz val="11"/>
        <color rgb="FF000000"/>
        <rFont val="Calibri"/>
      </rPr>
      <t xml:space="preserve">
</t>
    </r>
    <r>
      <rPr>
        <sz val="11"/>
        <color rgb="FF000000"/>
        <rFont val="Calibri"/>
      </rPr>
      <t xml:space="preserve"> match ip dscp 14</t>
    </r>
    <r>
      <rPr>
        <sz val="11"/>
        <color rgb="FF000000"/>
        <rFont val="Calibri"/>
      </rPr>
      <t xml:space="preserve">
</t>
    </r>
    <r>
      <rPr>
        <sz val="11"/>
        <color rgb="FF000000"/>
        <rFont val="Calibri"/>
      </rPr>
      <t xml:space="preserve"> match ip dscp 22</t>
    </r>
    <r>
      <rPr>
        <sz val="11"/>
        <color rgb="FF000000"/>
        <rFont val="Calibri"/>
      </rPr>
      <t xml:space="preserve">
</t>
    </r>
    <r>
      <rPr>
        <sz val="11"/>
        <color rgb="FF000000"/>
        <rFont val="Calibri"/>
      </rPr>
      <t>class-map match-any video-AF33-AF43</t>
    </r>
    <r>
      <rPr>
        <sz val="11"/>
        <color rgb="FF000000"/>
        <rFont val="Calibri"/>
      </rPr>
      <t xml:space="preserve">
</t>
    </r>
    <r>
      <rPr>
        <sz val="11"/>
        <color rgb="FF000000"/>
        <rFont val="Calibri"/>
      </rPr>
      <t xml:space="preserve"> match ip dscp 30</t>
    </r>
    <r>
      <rPr>
        <sz val="11"/>
        <color rgb="FF000000"/>
        <rFont val="Calibri"/>
      </rPr>
      <t xml:space="preserve">
</t>
    </r>
    <r>
      <rPr>
        <sz val="11"/>
        <color rgb="FF000000"/>
        <rFont val="Calibri"/>
      </rPr>
      <t xml:space="preserve"> match ip dscp 38</t>
    </r>
    <r>
      <rPr>
        <sz val="11"/>
        <color rgb="FF000000"/>
        <rFont val="Calibri"/>
      </rPr>
      <t xml:space="preserve">
</t>
    </r>
    <r>
      <rPr>
        <sz val="11"/>
        <color rgb="FF000000"/>
        <rFont val="Calibri"/>
      </rPr>
      <t>class-map match-all voice-EF</t>
    </r>
    <r>
      <rPr>
        <sz val="11"/>
        <color rgb="FF000000"/>
        <rFont val="Calibri"/>
      </rPr>
      <t xml:space="preserve">
</t>
    </r>
    <r>
      <rPr>
        <sz val="11"/>
        <color rgb="FF000000"/>
        <rFont val="Calibri"/>
      </rPr>
      <t xml:space="preserve"> match ip dscp 46</t>
    </r>
    <r>
      <rPr>
        <sz val="11"/>
        <color rgb="FF000000"/>
        <rFont val="Calibri"/>
      </rPr>
      <t xml:space="preserve">
</t>
    </r>
    <r>
      <rPr>
        <sz val="11"/>
        <color rgb="FF000000"/>
        <rFont val="Calibri"/>
      </rPr>
      <t>class-map match-all network-control</t>
    </r>
    <r>
      <rPr>
        <sz val="11"/>
        <color rgb="FF000000"/>
        <rFont val="Calibri"/>
      </rPr>
      <t xml:space="preserve">
</t>
    </r>
    <r>
      <rPr>
        <sz val="11"/>
        <color rgb="FF000000"/>
        <rFont val="Calibri"/>
      </rPr>
      <t xml:space="preserve"> match ip dscp 48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Step 3: Verify that the classes are receiving the required service. </t>
    </r>
    <r>
      <rPr>
        <sz val="11"/>
        <color rgb="FF000000"/>
        <rFont val="Calibri"/>
      </rPr>
      <t xml:space="preserve">
</t>
    </r>
    <r>
      <rPr>
        <sz val="11"/>
        <color rgb="FF000000"/>
        <rFont val="Calibri"/>
      </rPr>
      <t>policy-map QoS-Policy</t>
    </r>
    <r>
      <rPr>
        <sz val="11"/>
        <color rgb="FF000000"/>
        <rFont val="Calibri"/>
      </rPr>
      <t xml:space="preserve">
</t>
    </r>
    <r>
      <rPr>
        <sz val="11"/>
        <color rgb="FF000000"/>
        <rFont val="Calibri"/>
      </rPr>
      <t xml:space="preserve"> class best-effort</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 xml:space="preserve"> class data-AF13-AF23</t>
    </r>
    <r>
      <rPr>
        <sz val="11"/>
        <color rgb="FF000000"/>
        <rFont val="Calibri"/>
      </rPr>
      <t xml:space="preserve">
</t>
    </r>
    <r>
      <rPr>
        <sz val="11"/>
        <color rgb="FF000000"/>
        <rFont val="Calibri"/>
      </rPr>
      <t xml:space="preserve">  bandwidth percent 30</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 xml:space="preserve"> class video-AF33</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class video-AF43</t>
    </r>
    <r>
      <rPr>
        <sz val="11"/>
        <color rgb="FF000000"/>
        <rFont val="Calibri"/>
      </rPr>
      <t xml:space="preserve">
</t>
    </r>
    <r>
      <rPr>
        <sz val="11"/>
        <color rgb="FF000000"/>
        <rFont val="Calibri"/>
      </rPr>
      <t xml:space="preserve">  bandwidth percent 20</t>
    </r>
    <r>
      <rPr>
        <sz val="11"/>
        <color rgb="FF000000"/>
        <rFont val="Calibri"/>
      </rPr>
      <t xml:space="preserve">
</t>
    </r>
    <r>
      <rPr>
        <sz val="11"/>
        <color rgb="FF000000"/>
        <rFont val="Calibri"/>
      </rPr>
      <t xml:space="preserve">  random-detect dscp-based </t>
    </r>
    <r>
      <rPr>
        <sz val="11"/>
        <color rgb="FF000000"/>
        <rFont val="Calibri"/>
      </rPr>
      <t xml:space="preserve">
</t>
    </r>
    <r>
      <rPr>
        <sz val="11"/>
        <color rgb="FF000000"/>
        <rFont val="Calibri"/>
      </rPr>
      <t xml:space="preserve"> class voice-EF</t>
    </r>
    <r>
      <rPr>
        <sz val="11"/>
        <color rgb="FF000000"/>
        <rFont val="Calibri"/>
      </rPr>
      <t xml:space="preserve">
</t>
    </r>
    <r>
      <rPr>
        <sz val="11"/>
        <color rgb="FF000000"/>
        <rFont val="Calibri"/>
      </rPr>
      <t xml:space="preserve">   priority percent 20</t>
    </r>
    <r>
      <rPr>
        <sz val="11"/>
        <color rgb="FF000000"/>
        <rFont val="Calibri"/>
      </rPr>
      <t xml:space="preserve">
</t>
    </r>
    <r>
      <rPr>
        <sz val="11"/>
        <color rgb="FF000000"/>
        <rFont val="Calibri"/>
      </rPr>
      <t xml:space="preserve"> class network-control</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random-detect dscp-based</t>
    </r>
    <r>
      <rPr>
        <sz val="11"/>
        <color rgb="FF000000"/>
        <rFont val="Calibri"/>
      </rPr>
      <t xml:space="preserve">
</t>
    </r>
    <r>
      <rPr>
        <sz val="11"/>
        <color rgb="FF000000"/>
        <rFont val="Calibri"/>
      </rPr>
      <t>Note 1: The dscp-based argument enables WRED to use the DSCP value of a packet when it calculates the drop probability for the packet; whereas if the prec-based argument is specified, WRED will use the IP Precedence value to calculate drop probability. If neither is specified, the default is prec-based.</t>
    </r>
    <r>
      <rPr>
        <sz val="11"/>
        <color rgb="FF000000"/>
        <rFont val="Calibri"/>
      </rPr>
      <t xml:space="preserve">
</t>
    </r>
    <r>
      <rPr>
        <sz val="11"/>
        <color rgb="FF000000"/>
        <rFont val="Calibri"/>
      </rPr>
      <t>Note 2: LLQ is enabled with the priority command using either a kbps value or a bandwidth percentage using the percent keyword followed by a percentage value.</t>
    </r>
    <r>
      <rPr>
        <sz val="11"/>
        <color rgb="FF000000"/>
        <rFont val="Calibri"/>
      </rPr>
      <t xml:space="preserve">
</t>
    </r>
    <r>
      <rPr>
        <sz val="11"/>
        <color rgb="FF000000"/>
        <rFont val="Calibri"/>
      </rPr>
      <t xml:space="preserve">Note 3: Traffic that does not meet the match criteria specified in the forwarding classes is treated as belonging to the default forwarding class. If a default class is not configured, the default class has no QoS functionality. These packets are then placed into a FIFO queue and forwarded at a rate determined by the available underlying bandwidth. This FIFO queue is managed by tail drop—a means of avoiding congestion that treats all traffic equally and does not differentiate between classes of service. When the output queue is full and tail drop is in effect, packets are dropped until the congestion is eliminated and the queue is no longer full. The following example configures a default class called policy1. </t>
    </r>
    <r>
      <rPr>
        <sz val="11"/>
        <color rgb="FF000000"/>
        <rFont val="Calibri"/>
      </rPr>
      <t xml:space="preserve">
</t>
    </r>
    <r>
      <rPr>
        <sz val="11"/>
        <color rgb="FF000000"/>
        <rFont val="Calibri"/>
      </rPr>
      <t>policy-map policy1</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fair-queue 10</t>
    </r>
    <r>
      <rPr>
        <sz val="11"/>
        <color rgb="FF000000"/>
        <rFont val="Calibri"/>
      </rPr>
      <t xml:space="preserve">
</t>
    </r>
    <r>
      <rPr>
        <sz val="11"/>
        <color rgb="FF000000"/>
        <rFont val="Calibri"/>
      </rPr>
      <t xml:space="preserve">  queue-limit 20</t>
    </r>
    <r>
      <rPr>
        <sz val="11"/>
        <color rgb="FF000000"/>
        <rFont val="Calibri"/>
      </rPr>
      <t xml:space="preserve">
</t>
    </r>
    <r>
      <rPr>
        <sz val="11"/>
        <color rgb="FF000000"/>
        <rFont val="Calibri"/>
      </rPr>
      <t>The default class shown above has these characteristics: 10 queues for traffic that does not meet the match criteria of other classes whose policy is defined by policy1, and a maximum of 20 packets per queue before tail drop is enacted to handle additional queued packets.</t>
    </r>
  </si>
  <si>
    <t>V-18522</t>
  </si>
  <si>
    <r>
      <rPr>
        <sz val="11"/>
        <rFont val="Calibri"/>
      </rPr>
      <t>Server VLAN interfaces must be protected by restrictive ACLs using a deny-by-default security posture.</t>
    </r>
  </si>
  <si>
    <r>
      <rPr>
        <sz val="11"/>
        <color rgb="FF000000"/>
        <rFont val="Calibri"/>
      </rPr>
      <t>Configure an ACL to protect the server VLAN interface.  The ACL must be in a deny-by-default security posture.</t>
    </r>
  </si>
  <si>
    <r>
      <rPr>
        <sz val="11"/>
        <color rgb="FF000000"/>
        <rFont val="Calibri"/>
      </rPr>
      <t>Protecting data sitting in a server VLAN is necessary and can be accomplished using access control lists on VLANs provisioned for servers.  Without proper access control of traffic entering or leaving the server VLAN, potential threats such as a denial of service, data corruption, or theft could occur, resulting in the inability to complete mission requirements by authorized users.</t>
    </r>
  </si>
  <si>
    <r>
      <rPr>
        <sz val="11"/>
        <color rgb="FF000000"/>
        <rFont val="Calibri"/>
      </rPr>
      <t>Review the firewall protecting the server farm to validate an ACL with a deny-by-default security posture has been implemented that secures the servers located on the VLAN. If the filter is not defined on the firewall and the architecture contains a layer 3 switch between the firewall and the server, then review the ACL configured for the VLAN on the L3 switch.</t>
    </r>
  </si>
  <si>
    <t>V-18523</t>
  </si>
  <si>
    <r>
      <rPr>
        <sz val="11"/>
        <rFont val="Calibri"/>
      </rPr>
      <t>The IAO will ensure the Server Farm infrastructure is secured by ACLs on VLAN interfaces that restrict data originating from one server farm segment destined to another server farm segment.</t>
    </r>
  </si>
  <si>
    <r>
      <rPr>
        <sz val="11"/>
        <color rgb="FF000000"/>
        <rFont val="Calibri"/>
      </rPr>
      <t>Review the filter and ensure access from other server segments is denied unless necessary for application operation. The intent of the policy should be to protect servers from a server that has been compromised by an intruder.</t>
    </r>
  </si>
  <si>
    <r>
      <rPr>
        <sz val="11"/>
        <color rgb="FF000000"/>
        <rFont val="Calibri"/>
      </rPr>
      <t>ACLs on VLAN interfaces do not protect against compromised servers. The Server farm vlans need to protect the servers located on one subnet from servers located on another subnet. Protecting a client’s data from other clients is necessary and can be accomplished using VLAN provisioning, layer 3 filtering and content filtering at the Server Farm entry point. Restricting protocol, source and destination traffic via filters is an option; however additional security practices such as content filtering are required.</t>
    </r>
    <r>
      <rPr>
        <sz val="11"/>
        <color rgb="FF000000"/>
        <rFont val="Calibri"/>
      </rPr>
      <t xml:space="preserve">
</t>
    </r>
    <r>
      <rPr>
        <sz val="11"/>
        <color rgb="FF000000"/>
        <rFont val="Calibri"/>
      </rPr>
      <t>The Server farm private vlans need to protect the servers located on one subnet from servers located on another subnet.</t>
    </r>
  </si>
  <si>
    <r>
      <rPr>
        <sz val="11"/>
        <color rgb="FF000000"/>
        <rFont val="Calibri"/>
      </rPr>
      <t>Review the firewall protecting the server farm. Vlan configurations should have a filter that secures the servers located on the vlan segment. Identify the source ip addresses that have access to the servers and verify the privilege intended with the SA. The filter should be in a deny by default posture.</t>
    </r>
    <r>
      <rPr>
        <sz val="11"/>
        <color rgb="FF000000"/>
        <rFont val="Calibri"/>
      </rPr>
      <t xml:space="preserve">
</t>
    </r>
    <r>
      <rPr>
        <sz val="11"/>
        <color rgb="FF000000"/>
        <rFont val="Calibri"/>
      </rPr>
      <t>If the filter is not defined on the firewall and the architecture contains a layer 3 switch between the firewall and the server, than review the VLAN definition on the L3 switch.</t>
    </r>
  </si>
  <si>
    <t>V-18544</t>
  </si>
  <si>
    <r>
      <rPr>
        <sz val="11"/>
        <rFont val="Calibri"/>
      </rPr>
      <t>Printers must be assigned to a VLAN that is not shared by unlike devices.</t>
    </r>
  </si>
  <si>
    <r>
      <rPr>
        <sz val="11"/>
        <color rgb="FF000000"/>
        <rFont val="Calibri"/>
      </rPr>
      <t>Create a VLAN on the device for print type devices and assign printers to the VLAN ID.</t>
    </r>
  </si>
  <si>
    <r>
      <rPr>
        <sz val="11"/>
        <color rgb="FF000000"/>
        <rFont val="Calibri"/>
      </rPr>
      <t>Aspects of hardening the network wall plate may include traffic filtering or restrictions on connectivity to enforce a device-, community of interest-, or user-specific security policy. For example, if a printer were plugged into a switch port, it would be prudent to ensure that only printer traffic is allowed on that switch port. If the printer is unplugged and a substitute device other than a printer is plugged into that switch port, the substitute device should not be able to communicate arbitrarily with other devices because only printer traffic is allowed on that switch port.</t>
    </r>
  </si>
  <si>
    <r>
      <rPr>
        <sz val="11"/>
        <color rgb="FF000000"/>
        <rFont val="Calibri"/>
      </rPr>
      <t>Review the device configuration to determine if a VLAN has been established for printers.</t>
    </r>
  </si>
  <si>
    <t>V-18545</t>
  </si>
  <si>
    <r>
      <rPr>
        <sz val="11"/>
        <rFont val="Calibri"/>
      </rPr>
      <t>The SA will ensure a packet filter is implemented to filter the enclave traffic to and from printer VLANs to allow only print traffic.</t>
    </r>
  </si>
  <si>
    <r>
      <rPr>
        <sz val="11"/>
        <color rgb="FF000000"/>
        <rFont val="Calibri"/>
      </rPr>
      <t>Define the filter on the VLAN ACL or build a firewall ruleset to accomplish the requirment.</t>
    </r>
  </si>
  <si>
    <r>
      <rPr>
        <sz val="11"/>
        <color rgb="FF000000"/>
        <rFont val="Calibri"/>
      </rPr>
      <t>A firewall rule set can filter network traffic within the printer VLAN to only expected printer protocols. The SA managing the local enclave should identify the printer port traffic within the enclave. Ports commonly used by printers are typically tcp port 515, 631, 1782 and tcp ports 9100, 9101, 9102 but others are used throughout the industry. The SA can review RFC 1700 Port Assignments and review printer vendor documents for the filter rule-set.</t>
    </r>
  </si>
  <si>
    <r>
      <rPr>
        <sz val="11"/>
        <color rgb="FF000000"/>
        <rFont val="Calibri"/>
      </rPr>
      <t>To verify compliance with this requirement, an ACL must be configured on the L3 switch VLAN interface assigned for the printer VLAN, or on the firewall interface connecting to the printer VLAN.</t>
    </r>
    <r>
      <rPr>
        <sz val="11"/>
        <color rgb="FF000000"/>
        <rFont val="Calibri"/>
      </rPr>
      <t xml:space="preserve">
</t>
    </r>
    <r>
      <rPr>
        <sz val="11"/>
        <color rgb="FF000000"/>
        <rFont val="Calibri"/>
      </rPr>
      <t>Exception to this requirement is traffic from RSD sensors connected to the VLAN.</t>
    </r>
    <r>
      <rPr>
        <sz val="11"/>
        <color rgb="FF000000"/>
        <rFont val="Calibri"/>
      </rPr>
      <t xml:space="preserve">
</t>
    </r>
    <r>
      <rPr>
        <sz val="11"/>
        <color rgb="FF000000"/>
        <rFont val="Calibri"/>
      </rPr>
      <t>Note: The SA managing the local enclave should identify the printer port traffic within the enclave. Ports commonly used by printers are ports 515, 631, 1782, 9100, 9101, and 9102. The SA can review RFC 1700 Port Assignments and review printer vendor documents to determine what ports should be allowed.</t>
    </r>
  </si>
  <si>
    <t>V-18565</t>
  </si>
  <si>
    <r>
      <rPr>
        <sz val="11"/>
        <rFont val="Calibri"/>
      </rPr>
      <t>The IAO will ensure that all switchports configured using MAC port security will shutdown upon receiving a frame with a different layer 2 source address than what has been configured or learned for port security.</t>
    </r>
  </si>
  <si>
    <r>
      <rPr>
        <sz val="11"/>
        <color rgb="FF000000"/>
        <rFont val="Calibri"/>
      </rPr>
      <t>Configure the port to shutdown when insecure hosts are connected to the wall jack.</t>
    </r>
  </si>
  <si>
    <r>
      <rPr>
        <sz val="11"/>
        <color rgb="FF000000"/>
        <rFont val="Calibri"/>
      </rPr>
      <t>The Port Security feature remembers the Ethernet MAC address connected to the switch port and allows only that MAC address to communicate on that port. If any other MAC address tries to communicate through the port, port security will disable the port.</t>
    </r>
  </si>
  <si>
    <r>
      <rPr>
        <sz val="11"/>
        <color rgb="FF000000"/>
        <rFont val="Calibri"/>
      </rPr>
      <t>A shutdown action puts the interface into the error-disabled state immediately and sends an SNMP trap notification if it receives a frame with a different layer 2 source address that what has been configured or learned for port security. The following Catalyst IOS interface command will shutdown the interface when such an event occurs:</t>
    </r>
    <r>
      <rPr>
        <sz val="11"/>
        <color rgb="FF000000"/>
        <rFont val="Calibri"/>
      </rPr>
      <t xml:space="preserve">
</t>
    </r>
    <r>
      <rPr>
        <sz val="11"/>
        <color rgb="FF000000"/>
        <rFont val="Calibri"/>
      </rPr>
      <t>switchport port-security violation shutdown</t>
    </r>
  </si>
  <si>
    <t>V-18566</t>
  </si>
  <si>
    <r>
      <rPr>
        <sz val="11"/>
        <rFont val="Calibri"/>
      </rPr>
      <t>The switch must only allow a maximum of one registered MAC address per access port.</t>
    </r>
  </si>
  <si>
    <r>
      <rPr>
        <sz val="11"/>
        <color rgb="FF000000"/>
        <rFont val="Calibri"/>
      </rPr>
      <t>Configure the switch to limit the maximum number of registered MAC addresses on each access switch port to one.</t>
    </r>
  </si>
  <si>
    <r>
      <rPr>
        <sz val="11"/>
        <color rgb="FF000000"/>
        <rFont val="Calibri"/>
      </rPr>
      <t>Limiting the number of registered MAC addresses on a switch access port can help prevent a CAM table overflow attack.  This type of attack lets an attacker exploit the hardware and memory limitations of a switch.  If there are enough entries stored in a CAM table before the expiration of other entries, no new entries can be accepted into the CAM table. An attacker will able to flood the switch with mostly invalid MAC addresses until the CAM table’s resources have been depleted.  When there are no more resources, the switch has no choice but to flood all ports within the VLAN with all incoming traffic.  This happens because the switch cannot find the switch port number for a corresponding MAC address within the CAM table, allowing the switch to become a hub and traffic to be monitored.</t>
    </r>
  </si>
  <si>
    <r>
      <rPr>
        <sz val="11"/>
        <color rgb="FF000000"/>
        <rFont val="Calibri"/>
      </rPr>
      <t>Review the switch configuration to verify each access port is configured for a single registered MAC address.</t>
    </r>
    <r>
      <rPr>
        <sz val="11"/>
        <color rgb="FF000000"/>
        <rFont val="Calibri"/>
      </rPr>
      <t xml:space="preserve">
</t>
    </r>
    <r>
      <rPr>
        <sz val="11"/>
        <color rgb="FF000000"/>
        <rFont val="Calibri"/>
      </rPr>
      <t xml:space="preserve">Configuring port-security on the Cisco switch access port interface will automatically set the maximum number of registered MAC addresses to one.  The value will not show up in the configuration of the switch itself.  To validate the access port has a maximum value of one for allowable MAC addresses, you must run the following command: </t>
    </r>
    <r>
      <rPr>
        <sz val="11"/>
        <color rgb="FF000000"/>
        <rFont val="Calibri"/>
      </rPr>
      <t xml:space="preserve">
</t>
    </r>
    <r>
      <rPr>
        <sz val="11"/>
        <color rgb="FF000000"/>
        <rFont val="Calibri"/>
      </rPr>
      <t xml:space="preserve">Switch# show port-security interface </t>
    </r>
    <r>
      <rPr>
        <sz val="11"/>
        <color rgb="FF000000"/>
        <rFont val="Calibri"/>
      </rPr>
      <t xml:space="preserve">
</t>
    </r>
    <r>
      <rPr>
        <sz val="11"/>
        <color rgb="FF000000"/>
        <rFont val="Calibri"/>
      </rPr>
      <t>Show Command Example:</t>
    </r>
    <r>
      <rPr>
        <sz val="11"/>
        <color rgb="FF000000"/>
        <rFont val="Calibri"/>
      </rPr>
      <t xml:space="preserve">
</t>
    </r>
    <r>
      <rPr>
        <sz val="11"/>
        <color rgb="FF000000"/>
        <rFont val="Calibri"/>
      </rPr>
      <t>Switch# port int fa0/1</t>
    </r>
    <r>
      <rPr>
        <sz val="11"/>
        <color rgb="FF000000"/>
        <rFont val="Calibri"/>
      </rPr>
      <t xml:space="preserve">
</t>
    </r>
    <r>
      <rPr>
        <sz val="11"/>
        <color rgb="FF000000"/>
        <rFont val="Calibri"/>
      </rPr>
      <t>Port Security                :Enabled</t>
    </r>
    <r>
      <rPr>
        <sz val="11"/>
        <color rgb="FF000000"/>
        <rFont val="Calibri"/>
      </rPr>
      <t xml:space="preserve">
</t>
    </r>
    <r>
      <rPr>
        <sz val="11"/>
        <color rgb="FF000000"/>
        <rFont val="Calibri"/>
      </rPr>
      <t>Port Status                  :Secure-down</t>
    </r>
    <r>
      <rPr>
        <sz val="11"/>
        <color rgb="FF000000"/>
        <rFont val="Calibri"/>
      </rPr>
      <t xml:space="preserve">
</t>
    </r>
    <r>
      <rPr>
        <sz val="11"/>
        <color rgb="FF000000"/>
        <rFont val="Calibri"/>
      </rPr>
      <t>Violation Mode               :Shutdown</t>
    </r>
    <r>
      <rPr>
        <sz val="11"/>
        <color rgb="FF000000"/>
        <rFont val="Calibri"/>
      </rPr>
      <t xml:space="preserve">
</t>
    </r>
    <r>
      <rPr>
        <sz val="11"/>
        <color rgb="FF000000"/>
        <rFont val="Calibri"/>
      </rPr>
      <t>Aging Time                   :0 mins</t>
    </r>
    <r>
      <rPr>
        <sz val="11"/>
        <color rgb="FF000000"/>
        <rFont val="Calibri"/>
      </rPr>
      <t xml:space="preserve">
</t>
    </r>
    <r>
      <rPr>
        <sz val="11"/>
        <color rgb="FF000000"/>
        <rFont val="Calibri"/>
      </rPr>
      <t>Aging Type                   :Absolute</t>
    </r>
    <r>
      <rPr>
        <sz val="11"/>
        <color rgb="FF000000"/>
        <rFont val="Calibri"/>
      </rPr>
      <t xml:space="preserve">
</t>
    </r>
    <r>
      <rPr>
        <sz val="11"/>
        <color rgb="FF000000"/>
        <rFont val="Calibri"/>
      </rPr>
      <t>SecureStatic Address Aging   :Disabled</t>
    </r>
    <r>
      <rPr>
        <sz val="11"/>
        <color rgb="FF000000"/>
        <rFont val="Calibri"/>
      </rPr>
      <t xml:space="preserve">
</t>
    </r>
    <r>
      <rPr>
        <sz val="11"/>
        <color rgb="FF000000"/>
        <rFont val="Calibri"/>
      </rPr>
      <t>Maximum MAC Addresses        :1</t>
    </r>
    <r>
      <rPr>
        <sz val="11"/>
        <color rgb="FF000000"/>
        <rFont val="Calibri"/>
      </rPr>
      <t xml:space="preserve">
</t>
    </r>
    <r>
      <rPr>
        <sz val="11"/>
        <color rgb="FF000000"/>
        <rFont val="Calibri"/>
      </rPr>
      <t>Some technologies are exempt from requiring a single MAC address per access port; however, restrictions still apply.  VoIP or VTC endpoints may provide a PC port so a PC can be connected.  Each of the devices will need to be statically assigned to each access port.</t>
    </r>
    <r>
      <rPr>
        <sz val="11"/>
        <color rgb="FF000000"/>
        <rFont val="Calibri"/>
      </rPr>
      <t xml:space="preserve">
</t>
    </r>
    <r>
      <rPr>
        <sz val="11"/>
        <color rgb="FF000000"/>
        <rFont val="Calibri"/>
      </rPr>
      <t>Another green initiative where a single LAN drop is shared among several devices is called "hot-desking", which is related to conservation of office space and teleworking. Hot-desking is where several people are assigned to work at the same desk at different times, each user with their own PC.  In this case, a different MAC address needs to be permitted for each PC that is connecting to the LAN drop in the workspace. Additionally, this workspace could contain a single phone (and possibly desktop VTC endpoint) used by all assignees and the PC port on it might be the connection for their laptop.  In this case, it is best not to use sticky port security, but to use a static mapping of authorized devices or implement 802.1x. If this is not a teleworking remote location, this exemption does not apply.</t>
    </r>
  </si>
  <si>
    <t>V-18790</t>
  </si>
  <si>
    <r>
      <rPr>
        <sz val="11"/>
        <rFont val="Calibri"/>
      </rPr>
      <t>Default routes must not be directed to the tunnel entry point.</t>
    </r>
  </si>
  <si>
    <r>
      <rPr>
        <sz val="11"/>
        <color rgb="FF000000"/>
        <rFont val="Calibri"/>
      </rPr>
      <t>The SA must carefully plan and configure or let IGP determine what goes into each tunnel.</t>
    </r>
  </si>
  <si>
    <r>
      <rPr>
        <sz val="11"/>
        <color rgb="FF000000"/>
        <rFont val="Calibri"/>
      </rPr>
      <t xml:space="preserve">Routing in the network containing the tunnel entry point must be configured to direct the intended traffic into the tunnel.  Depending on the router products used this may be done by creating routes to a tunnel by name, by address, or by interface.  </t>
    </r>
    <r>
      <rPr>
        <sz val="11"/>
        <color rgb="FF000000"/>
        <rFont val="Calibri"/>
      </rPr>
      <t xml:space="preserve">
</t>
    </r>
    <r>
      <rPr>
        <sz val="11"/>
        <color rgb="FF000000"/>
        <rFont val="Calibri"/>
      </rPr>
      <t>If multiple tunnels are defined or IPv6 interfaces, you must be selective with static routes, policy based routing, or even let the interior gateway protocol (IGP) make the decision since a ipv4 or ipv6 address has been configured on the tunnel. The key is the administrator should carefully plan and configure or let the IGP determine what goes into each tunnel.</t>
    </r>
  </si>
  <si>
    <r>
      <rPr>
        <sz val="11"/>
        <color rgb="FF000000"/>
        <rFont val="Calibri"/>
      </rPr>
      <t>Identify the tunnel endpoints, then review all routing devices to ensure the tunnel entry point is not used as a default route.</t>
    </r>
    <r>
      <rPr>
        <sz val="11"/>
        <color rgb="FF000000"/>
        <rFont val="Calibri"/>
      </rPr>
      <t xml:space="preserve">
</t>
    </r>
    <r>
      <rPr>
        <sz val="11"/>
        <color rgb="FF000000"/>
        <rFont val="Calibri"/>
      </rPr>
      <t>Traffic destined to the tunnel should be directed to the tunnel endpoint by static routes, policy based routing, or by the mechanics of the interior routing protocol, but not by default route statements.</t>
    </r>
  </si>
  <si>
    <t>V-19188</t>
  </si>
  <si>
    <r>
      <rPr>
        <sz val="11"/>
        <rFont val="Calibri"/>
      </rPr>
      <t>The router must have control plane protection enabled.</t>
    </r>
  </si>
  <si>
    <r>
      <rPr>
        <sz val="11"/>
        <color rgb="FF000000"/>
        <rFont val="Calibri"/>
      </rPr>
      <t>Implement control plane protection by classifying traffic types based on importance levels and configure filters to restrict and rate limit the traffic punted to the route processor as according to each class.</t>
    </r>
  </si>
  <si>
    <r>
      <rPr>
        <sz val="11"/>
        <color rgb="FF000000"/>
        <rFont val="Calibri"/>
      </rPr>
      <t xml:space="preserve">The Route Processor (RP) is critical to all network operations as it is the component used to build all forwarding paths for the data plane via control plane processes. It is also instrumental with ongoing network management functions that keep the routers and links available for providing network services. Hence, any disruption to the RP or the control and management planes can result in mission critical network outages. </t>
    </r>
    <r>
      <rPr>
        <sz val="11"/>
        <color rgb="FF000000"/>
        <rFont val="Calibri"/>
      </rPr>
      <t xml:space="preserve">
</t>
    </r>
    <r>
      <rPr>
        <sz val="11"/>
        <color rgb="FF000000"/>
        <rFont val="Calibri"/>
      </rPr>
      <t xml:space="preserve">In addition to control plane and management plane traffic that is in the router’s receive path, the RP must also handle other traffic that must be punted to the RP—that is, the traffic must be fast or process switched. This is the result of packets that must be fragmented, require an ICMP response (TTL expiration, unreachable, etc.) have IP options, etc. A DoS attack targeting the RP can be perpetrated either inadvertently or maliciously involving high rates of punted traffic resulting in excessive RP CPU and memory utilization. To maintain network stability, the router must be able to securely handle specific control plane and management plane traffic that is destined to it, as well as other punted traffic. </t>
    </r>
    <r>
      <rPr>
        <sz val="11"/>
        <color rgb="FF000000"/>
        <rFont val="Calibri"/>
      </rPr>
      <t xml:space="preserve">
</t>
    </r>
    <r>
      <rPr>
        <sz val="11"/>
        <color rgb="FF000000"/>
        <rFont val="Calibri"/>
      </rPr>
      <t>Using the ingress filter on forwarding interfaces is a method that has been used in the past to filter both forwarding path and receiving path traffic. However, this method does not scale well as the number of interfaces grows and the size of the ingress filters grow. Control plane policing can be used to increase security of routers and multilayer switches by protecting the RP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</si>
  <si>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Control Plane Policing (CoPP)</t>
    </r>
    <r>
      <rPr>
        <sz val="11"/>
        <color rgb="FF000000"/>
        <rFont val="Calibri"/>
      </rPr>
      <t xml:space="preserve">
</t>
    </r>
    <r>
      <rPr>
        <sz val="11"/>
        <color rgb="FF000000"/>
        <rFont val="Calibri"/>
      </rPr>
      <t>If supported by the router, CoPP should be used to increase security on Cisco routers by protecting the RP from unnecessary and malicious traffic. CoPP allows network operators to classify traffic based on importance that then enables the router to filter and rate limit the traffic according to the defined policy for each class.</t>
    </r>
    <r>
      <rPr>
        <sz val="11"/>
        <color rgb="FF000000"/>
        <rFont val="Calibri"/>
      </rPr>
      <t xml:space="preserve">
</t>
    </r>
    <r>
      <rPr>
        <sz val="11"/>
        <color rgb="FF000000"/>
        <rFont val="Calibri"/>
      </rPr>
      <t>Step 1: Verify traffic types have been classified based on importance levels. The following is an example configuration:</t>
    </r>
    <r>
      <rPr>
        <sz val="11"/>
        <color rgb="FF000000"/>
        <rFont val="Calibri"/>
      </rPr>
      <t xml:space="preserve">
</t>
    </r>
    <r>
      <rPr>
        <sz val="11"/>
        <color rgb="FF000000"/>
        <rFont val="Calibri"/>
      </rPr>
      <t>class-map match-all CoPP_CRITICAL</t>
    </r>
    <r>
      <rPr>
        <sz val="11"/>
        <color rgb="FF000000"/>
        <rFont val="Calibri"/>
      </rPr>
      <t xml:space="preserve">
</t>
    </r>
    <r>
      <rPr>
        <sz val="11"/>
        <color rgb="FF000000"/>
        <rFont val="Calibri"/>
      </rPr>
      <t xml:space="preserve"> match access-group name CoPP_CRITICAL</t>
    </r>
    <r>
      <rPr>
        <sz val="11"/>
        <color rgb="FF000000"/>
        <rFont val="Calibri"/>
      </rPr>
      <t xml:space="preserve">
</t>
    </r>
    <r>
      <rPr>
        <sz val="11"/>
        <color rgb="FF000000"/>
        <rFont val="Calibri"/>
      </rPr>
      <t>class-map match-any CoPP_IMPORTANT</t>
    </r>
    <r>
      <rPr>
        <sz val="11"/>
        <color rgb="FF000000"/>
        <rFont val="Calibri"/>
      </rPr>
      <t xml:space="preserve">
</t>
    </r>
    <r>
      <rPr>
        <sz val="11"/>
        <color rgb="FF000000"/>
        <rFont val="Calibri"/>
      </rPr>
      <t xml:space="preserve"> match access-group name CoPP_IMPORTANT</t>
    </r>
    <r>
      <rPr>
        <sz val="11"/>
        <color rgb="FF000000"/>
        <rFont val="Calibri"/>
      </rPr>
      <t xml:space="preserve">
</t>
    </r>
    <r>
      <rPr>
        <sz val="11"/>
        <color rgb="FF000000"/>
        <rFont val="Calibri"/>
      </rPr>
      <t xml:space="preserve"> match protocol arp</t>
    </r>
    <r>
      <rPr>
        <sz val="11"/>
        <color rgb="FF000000"/>
        <rFont val="Calibri"/>
      </rPr>
      <t xml:space="preserve">
</t>
    </r>
    <r>
      <rPr>
        <sz val="11"/>
        <color rgb="FF000000"/>
        <rFont val="Calibri"/>
      </rPr>
      <t>class-map match-all CoPP_NORMAL</t>
    </r>
    <r>
      <rPr>
        <sz val="11"/>
        <color rgb="FF000000"/>
        <rFont val="Calibri"/>
      </rPr>
      <t xml:space="preserve">
</t>
    </r>
    <r>
      <rPr>
        <sz val="11"/>
        <color rgb="FF000000"/>
        <rFont val="Calibri"/>
      </rPr>
      <t xml:space="preserve"> match access-group name CoPP_NORMAL</t>
    </r>
    <r>
      <rPr>
        <sz val="11"/>
        <color rgb="FF000000"/>
        <rFont val="Calibri"/>
      </rPr>
      <t xml:space="preserve">
</t>
    </r>
    <r>
      <rPr>
        <sz val="11"/>
        <color rgb="FF000000"/>
        <rFont val="Calibri"/>
      </rPr>
      <t>class-map match-any CoPP_UNDESIRABLE</t>
    </r>
    <r>
      <rPr>
        <sz val="11"/>
        <color rgb="FF000000"/>
        <rFont val="Calibri"/>
      </rPr>
      <t xml:space="preserve">
</t>
    </r>
    <r>
      <rPr>
        <sz val="11"/>
        <color rgb="FF000000"/>
        <rFont val="Calibri"/>
      </rPr>
      <t xml:space="preserve"> match access-group name CoPP_UNDESIRABLE</t>
    </r>
    <r>
      <rPr>
        <sz val="11"/>
        <color rgb="FF000000"/>
        <rFont val="Calibri"/>
      </rPr>
      <t xml:space="preserve">
</t>
    </r>
    <r>
      <rPr>
        <sz val="11"/>
        <color rgb="FF000000"/>
        <rFont val="Calibri"/>
      </rPr>
      <t>class-map match-all CoPP_DEFAULT</t>
    </r>
    <r>
      <rPr>
        <sz val="11"/>
        <color rgb="FF000000"/>
        <rFont val="Calibri"/>
      </rPr>
      <t xml:space="preserve">
</t>
    </r>
    <r>
      <rPr>
        <sz val="11"/>
        <color rgb="FF000000"/>
        <rFont val="Calibri"/>
      </rPr>
      <t xml:space="preserve"> match access-group name CoPP_DEFAULT</t>
    </r>
    <r>
      <rPr>
        <sz val="11"/>
        <color rgb="FF000000"/>
        <rFont val="Calibri"/>
      </rPr>
      <t xml:space="preserve">
</t>
    </r>
    <r>
      <rPr>
        <sz val="11"/>
        <color rgb="FF000000"/>
        <rFont val="Calibri"/>
      </rPr>
      <t>Step 2: Review the ACLs referenced by the match access-group commands to determine if the traffic is being classified appropriately. The following is an example configuration:</t>
    </r>
    <r>
      <rPr>
        <sz val="11"/>
        <color rgb="FF000000"/>
        <rFont val="Calibri"/>
      </rPr>
      <t xml:space="preserve">
</t>
    </r>
    <r>
      <rPr>
        <sz val="11"/>
        <color rgb="FF000000"/>
        <rFont val="Calibri"/>
      </rPr>
      <t>ip access-list extended CoPP_CRITICAL</t>
    </r>
    <r>
      <rPr>
        <sz val="11"/>
        <color rgb="FF000000"/>
        <rFont val="Calibri"/>
      </rPr>
      <t xml:space="preserve">
</t>
    </r>
    <r>
      <rPr>
        <sz val="11"/>
        <color rgb="FF000000"/>
        <rFont val="Calibri"/>
      </rPr>
      <t xml:space="preserve"> remark our control plane adjacencies are critical</t>
    </r>
    <r>
      <rPr>
        <sz val="11"/>
        <color rgb="FF000000"/>
        <rFont val="Calibri"/>
      </rPr>
      <t xml:space="preserve">
</t>
    </r>
    <r>
      <rPr>
        <sz val="11"/>
        <color rgb="FF000000"/>
        <rFont val="Calibri"/>
      </rPr>
      <t xml:space="preserve"> permit ospf host [OSPF neighbor A] any</t>
    </r>
    <r>
      <rPr>
        <sz val="11"/>
        <color rgb="FF000000"/>
        <rFont val="Calibri"/>
      </rPr>
      <t xml:space="preserve">
</t>
    </r>
    <r>
      <rPr>
        <sz val="11"/>
        <color rgb="FF000000"/>
        <rFont val="Calibri"/>
      </rPr>
      <t xml:space="preserve"> permit ospf host [OSPF neighbor B] any</t>
    </r>
    <r>
      <rPr>
        <sz val="11"/>
        <color rgb="FF000000"/>
        <rFont val="Calibri"/>
      </rPr>
      <t xml:space="preserve">
</t>
    </r>
    <r>
      <rPr>
        <sz val="11"/>
        <color rgb="FF000000"/>
        <rFont val="Calibri"/>
      </rPr>
      <t xml:space="preserve"> permit pim host [PIM neighbor A] any</t>
    </r>
    <r>
      <rPr>
        <sz val="11"/>
        <color rgb="FF000000"/>
        <rFont val="Calibri"/>
      </rPr>
      <t xml:space="preserve">
</t>
    </r>
    <r>
      <rPr>
        <sz val="11"/>
        <color rgb="FF000000"/>
        <rFont val="Calibri"/>
      </rPr>
      <t xml:space="preserve"> permit pim host [PIM neighbor B] any</t>
    </r>
    <r>
      <rPr>
        <sz val="11"/>
        <color rgb="FF000000"/>
        <rFont val="Calibri"/>
      </rPr>
      <t xml:space="preserve">
</t>
    </r>
    <r>
      <rPr>
        <sz val="11"/>
        <color rgb="FF000000"/>
        <rFont val="Calibri"/>
      </rPr>
      <t xml:space="preserve"> permit pim host [RP addr] any</t>
    </r>
    <r>
      <rPr>
        <sz val="11"/>
        <color rgb="FF000000"/>
        <rFont val="Calibri"/>
      </rPr>
      <t xml:space="preserve">
</t>
    </r>
    <r>
      <rPr>
        <sz val="11"/>
        <color rgb="FF000000"/>
        <rFont val="Calibri"/>
      </rPr>
      <t xml:space="preserve"> permit igmp any 224.0.0.0 15.255.255.255</t>
    </r>
    <r>
      <rPr>
        <sz val="11"/>
        <color rgb="FF000000"/>
        <rFont val="Calibri"/>
      </rPr>
      <t xml:space="preserve">
</t>
    </r>
    <r>
      <rPr>
        <sz val="11"/>
        <color rgb="FF000000"/>
        <rFont val="Calibri"/>
      </rPr>
      <t xml:space="preserve"> permit tcp host [BGP neighbor] eq bgp host [local BGP addr]</t>
    </r>
    <r>
      <rPr>
        <sz val="11"/>
        <color rgb="FF000000"/>
        <rFont val="Calibri"/>
      </rPr>
      <t xml:space="preserve">
</t>
    </r>
    <r>
      <rPr>
        <sz val="11"/>
        <color rgb="FF000000"/>
        <rFont val="Calibri"/>
      </rPr>
      <t xml:space="preserve"> permit tcp host [BGP neighbor] host [local BGP addr] eq bgp</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CoPP_IMPORTANT</t>
    </r>
    <r>
      <rPr>
        <sz val="11"/>
        <color rgb="FF000000"/>
        <rFont val="Calibri"/>
      </rPr>
      <t xml:space="preserve">
</t>
    </r>
    <r>
      <rPr>
        <sz val="11"/>
        <color rgb="FF000000"/>
        <rFont val="Calibri"/>
      </rPr>
      <t xml:space="preserve"> permit tcp host [TACACS server] eq tacacs any</t>
    </r>
    <r>
      <rPr>
        <sz val="11"/>
        <color rgb="FF000000"/>
        <rFont val="Calibri"/>
      </rPr>
      <t xml:space="preserve">
</t>
    </r>
    <r>
      <rPr>
        <sz val="11"/>
        <color rgb="FF000000"/>
        <rFont val="Calibri"/>
      </rPr>
      <t xml:space="preserve"> permit tcp [management subnet] 0.0.0.255 any eq 22</t>
    </r>
    <r>
      <rPr>
        <sz val="11"/>
        <color rgb="FF000000"/>
        <rFont val="Calibri"/>
      </rPr>
      <t xml:space="preserve">
</t>
    </r>
    <r>
      <rPr>
        <sz val="11"/>
        <color rgb="FF000000"/>
        <rFont val="Calibri"/>
      </rPr>
      <t xml:space="preserve"> permit udp host [SNMP manager] any eq snmp</t>
    </r>
    <r>
      <rPr>
        <sz val="11"/>
        <color rgb="FF000000"/>
        <rFont val="Calibri"/>
      </rPr>
      <t xml:space="preserve">
</t>
    </r>
    <r>
      <rPr>
        <sz val="11"/>
        <color rgb="FF000000"/>
        <rFont val="Calibri"/>
      </rPr>
      <t xml:space="preserve"> permit udp host [NTP server] eq ntp any</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CoPP_NORMAL</t>
    </r>
    <r>
      <rPr>
        <sz val="11"/>
        <color rgb="FF000000"/>
        <rFont val="Calibri"/>
      </rPr>
      <t xml:space="preserve">
</t>
    </r>
    <r>
      <rPr>
        <sz val="11"/>
        <color rgb="FF000000"/>
        <rFont val="Calibri"/>
      </rPr>
      <t xml:space="preserve"> remark we will want to rate limit ICMP traffic</t>
    </r>
    <r>
      <rPr>
        <sz val="11"/>
        <color rgb="FF000000"/>
        <rFont val="Calibri"/>
      </rPr>
      <t xml:space="preserve">
</t>
    </r>
    <r>
      <rPr>
        <sz val="11"/>
        <color rgb="FF000000"/>
        <rFont val="Calibri"/>
      </rPr>
      <t xml:space="preserve"> permit icmp any any echo</t>
    </r>
    <r>
      <rPr>
        <sz val="11"/>
        <color rgb="FF000000"/>
        <rFont val="Calibri"/>
      </rPr>
      <t xml:space="preserve">
</t>
    </r>
    <r>
      <rPr>
        <sz val="11"/>
        <color rgb="FF000000"/>
        <rFont val="Calibri"/>
      </rPr>
      <t xml:space="preserve"> permit icmp any any echo-reply</t>
    </r>
    <r>
      <rPr>
        <sz val="11"/>
        <color rgb="FF000000"/>
        <rFont val="Calibri"/>
      </rPr>
      <t xml:space="preserve">
</t>
    </r>
    <r>
      <rPr>
        <sz val="11"/>
        <color rgb="FF000000"/>
        <rFont val="Calibri"/>
      </rPr>
      <t xml:space="preserve"> permit icmp any any time-exceeded</t>
    </r>
    <r>
      <rPr>
        <sz val="11"/>
        <color rgb="FF000000"/>
        <rFont val="Calibri"/>
      </rPr>
      <t xml:space="preserve">
</t>
    </r>
    <r>
      <rPr>
        <sz val="11"/>
        <color rgb="FF000000"/>
        <rFont val="Calibri"/>
      </rPr>
      <t xml:space="preserve"> permit icmp any any unreachable</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CoPP_UNDESIRABLE</t>
    </r>
    <r>
      <rPr>
        <sz val="11"/>
        <color rgb="FF000000"/>
        <rFont val="Calibri"/>
      </rPr>
      <t xml:space="preserve">
</t>
    </r>
    <r>
      <rPr>
        <sz val="11"/>
        <color rgb="FF000000"/>
        <rFont val="Calibri"/>
      </rPr>
      <t xml:space="preserve"> remark other management plane traffic that should not be received</t>
    </r>
    <r>
      <rPr>
        <sz val="11"/>
        <color rgb="FF000000"/>
        <rFont val="Calibri"/>
      </rPr>
      <t xml:space="preserve">
</t>
    </r>
    <r>
      <rPr>
        <sz val="11"/>
        <color rgb="FF000000"/>
        <rFont val="Calibri"/>
      </rPr>
      <t xml:space="preserve"> permit udp any any eq ntp</t>
    </r>
    <r>
      <rPr>
        <sz val="11"/>
        <color rgb="FF000000"/>
        <rFont val="Calibri"/>
      </rPr>
      <t xml:space="preserve">
</t>
    </r>
    <r>
      <rPr>
        <sz val="11"/>
        <color rgb="FF000000"/>
        <rFont val="Calibri"/>
      </rPr>
      <t xml:space="preserve"> permit udp any any eq snmptrap</t>
    </r>
    <r>
      <rPr>
        <sz val="11"/>
        <color rgb="FF000000"/>
        <rFont val="Calibri"/>
      </rPr>
      <t xml:space="preserve">
</t>
    </r>
    <r>
      <rPr>
        <sz val="11"/>
        <color rgb="FF000000"/>
        <rFont val="Calibri"/>
      </rPr>
      <t xml:space="preserve"> permit tcp any any eq 22</t>
    </r>
    <r>
      <rPr>
        <sz val="11"/>
        <color rgb="FF000000"/>
        <rFont val="Calibri"/>
      </rPr>
      <t xml:space="preserve">
</t>
    </r>
    <r>
      <rPr>
        <sz val="11"/>
        <color rgb="FF000000"/>
        <rFont val="Calibri"/>
      </rPr>
      <t xml:space="preserve"> permit tcp any any eq 23</t>
    </r>
    <r>
      <rPr>
        <sz val="11"/>
        <color rgb="FF000000"/>
        <rFont val="Calibri"/>
      </rPr>
      <t xml:space="preserve">
</t>
    </r>
    <r>
      <rPr>
        <sz val="11"/>
        <color rgb="FF000000"/>
        <rFont val="Calibri"/>
      </rPr>
      <t xml:space="preserve"> remark other control plane traffic not configured on router</t>
    </r>
    <r>
      <rPr>
        <sz val="11"/>
        <color rgb="FF000000"/>
        <rFont val="Calibri"/>
      </rPr>
      <t xml:space="preserve">
</t>
    </r>
    <r>
      <rPr>
        <sz val="11"/>
        <color rgb="FF000000"/>
        <rFont val="Calibri"/>
      </rPr>
      <t xml:space="preserve"> permit eigrp any any</t>
    </r>
    <r>
      <rPr>
        <sz val="11"/>
        <color rgb="FF000000"/>
        <rFont val="Calibri"/>
      </rPr>
      <t xml:space="preserve">
</t>
    </r>
    <r>
      <rPr>
        <sz val="11"/>
        <color rgb="FF000000"/>
        <rFont val="Calibri"/>
      </rPr>
      <t xml:space="preserve"> permit udp any any eq rip</t>
    </r>
    <r>
      <rPr>
        <sz val="11"/>
        <color rgb="FF000000"/>
        <rFont val="Calibri"/>
      </rPr>
      <t xml:space="preserve">
</t>
    </r>
    <r>
      <rPr>
        <sz val="11"/>
        <color rgb="FF000000"/>
        <rFont val="Calibri"/>
      </rPr>
      <t xml:space="preserve"> deny ip any any</t>
    </r>
    <r>
      <rPr>
        <sz val="11"/>
        <color rgb="FF000000"/>
        <rFont val="Calibri"/>
      </rPr>
      <t xml:space="preserve">
</t>
    </r>
    <r>
      <rPr>
        <sz val="11"/>
        <color rgb="FF000000"/>
        <rFont val="Calibri"/>
      </rPr>
      <t>ip access-list extended CoPP_DEFAULT</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 xml:space="preserve">Note: Explicitly defining undesirable traffic with ACL entries enables the network operator to collect statistics. Excessive ARP packets can potentially monopolize Route Processor resources, starving other important processes. Currently, ARP is the only Layer 2 protocol that can be specifically classified using the match protocol command. </t>
    </r>
    <r>
      <rPr>
        <sz val="11"/>
        <color rgb="FF000000"/>
        <rFont val="Calibri"/>
      </rPr>
      <t xml:space="preserve">
</t>
    </r>
    <r>
      <rPr>
        <sz val="11"/>
        <color rgb="FF000000"/>
        <rFont val="Calibri"/>
      </rPr>
      <t>Step 3: Review the policy-map to determine if the traffic is being policed appropriately for each classification. The following is an example configuration:</t>
    </r>
    <r>
      <rPr>
        <sz val="11"/>
        <color rgb="FF000000"/>
        <rFont val="Calibri"/>
      </rPr>
      <t xml:space="preserve">
</t>
    </r>
    <r>
      <rPr>
        <sz val="11"/>
        <color rgb="FF000000"/>
        <rFont val="Calibri"/>
      </rPr>
      <t>policy-map CONTROL_PLANE_POLICY</t>
    </r>
    <r>
      <rPr>
        <sz val="11"/>
        <color rgb="FF000000"/>
        <rFont val="Calibri"/>
      </rPr>
      <t xml:space="preserve">
</t>
    </r>
    <r>
      <rPr>
        <sz val="11"/>
        <color rgb="FF000000"/>
        <rFont val="Calibri"/>
      </rPr>
      <t xml:space="preserve"> class CoPP_CRITICAL</t>
    </r>
    <r>
      <rPr>
        <sz val="11"/>
        <color rgb="FF000000"/>
        <rFont val="Calibri"/>
      </rPr>
      <t xml:space="preserve">
</t>
    </r>
    <r>
      <rPr>
        <sz val="11"/>
        <color rgb="FF000000"/>
        <rFont val="Calibri"/>
      </rPr>
      <t>police 512000 8000 conform-action transmit exceed-action transmit</t>
    </r>
    <r>
      <rPr>
        <sz val="11"/>
        <color rgb="FF000000"/>
        <rFont val="Calibri"/>
      </rPr>
      <t xml:space="preserve">
</t>
    </r>
    <r>
      <rPr>
        <sz val="11"/>
        <color rgb="FF000000"/>
        <rFont val="Calibri"/>
      </rPr>
      <t>class CoPP_IMPORTANT</t>
    </r>
    <r>
      <rPr>
        <sz val="11"/>
        <color rgb="FF000000"/>
        <rFont val="Calibri"/>
      </rPr>
      <t xml:space="preserve">
</t>
    </r>
    <r>
      <rPr>
        <sz val="11"/>
        <color rgb="FF000000"/>
        <rFont val="Calibri"/>
      </rPr>
      <t xml:space="preserve"> police 256000 4000 conform-action transmit exceed-action drop</t>
    </r>
    <r>
      <rPr>
        <sz val="11"/>
        <color rgb="FF000000"/>
        <rFont val="Calibri"/>
      </rPr>
      <t xml:space="preserve">
</t>
    </r>
    <r>
      <rPr>
        <sz val="11"/>
        <color rgb="FF000000"/>
        <rFont val="Calibri"/>
      </rPr>
      <t>class CoPP_NORMAL</t>
    </r>
    <r>
      <rPr>
        <sz val="11"/>
        <color rgb="FF000000"/>
        <rFont val="Calibri"/>
      </rPr>
      <t xml:space="preserve">
</t>
    </r>
    <r>
      <rPr>
        <sz val="11"/>
        <color rgb="FF000000"/>
        <rFont val="Calibri"/>
      </rPr>
      <t xml:space="preserve"> police 128000 2000 conform-action transmit exceed-action drop</t>
    </r>
    <r>
      <rPr>
        <sz val="11"/>
        <color rgb="FF000000"/>
        <rFont val="Calibri"/>
      </rPr>
      <t xml:space="preserve">
</t>
    </r>
    <r>
      <rPr>
        <sz val="11"/>
        <color rgb="FF000000"/>
        <rFont val="Calibri"/>
      </rPr>
      <t>class CoPP_UNDESIRABLE</t>
    </r>
    <r>
      <rPr>
        <sz val="11"/>
        <color rgb="FF000000"/>
        <rFont val="Calibri"/>
      </rPr>
      <t xml:space="preserve">
</t>
    </r>
    <r>
      <rPr>
        <sz val="11"/>
        <color rgb="FF000000"/>
        <rFont val="Calibri"/>
      </rPr>
      <t xml:space="preserve"> police 8000 1000 conform-action drop exceed-action drop</t>
    </r>
    <r>
      <rPr>
        <sz val="11"/>
        <color rgb="FF000000"/>
        <rFont val="Calibri"/>
      </rPr>
      <t xml:space="preserve">
</t>
    </r>
    <r>
      <rPr>
        <sz val="11"/>
        <color rgb="FF000000"/>
        <rFont val="Calibri"/>
      </rPr>
      <t>class cp-default-in</t>
    </r>
    <r>
      <rPr>
        <sz val="11"/>
        <color rgb="FF000000"/>
        <rFont val="Calibri"/>
      </rPr>
      <t xml:space="preserve">
</t>
    </r>
    <r>
      <rPr>
        <sz val="11"/>
        <color rgb="FF000000"/>
        <rFont val="Calibri"/>
      </rPr>
      <t xml:space="preserve"> police 64000 1000 conform-action transmit exceed-action drop</t>
    </r>
    <r>
      <rPr>
        <sz val="11"/>
        <color rgb="FF000000"/>
        <rFont val="Calibri"/>
      </rPr>
      <t xml:space="preserve">
</t>
    </r>
    <r>
      <rPr>
        <sz val="11"/>
        <color rgb="FF000000"/>
        <rFont val="Calibri"/>
      </rPr>
      <t>Step 4: Verify that the CoPP policy is enabled. The following is an example configuration:</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service-policy input CONTROL_PLANE_POLICY</t>
    </r>
    <r>
      <rPr>
        <sz val="11"/>
        <color rgb="FF000000"/>
        <rFont val="Calibri"/>
      </rPr>
      <t xml:space="preserve">
</t>
    </r>
    <r>
      <rPr>
        <sz val="11"/>
        <color rgb="FF000000"/>
        <rFont val="Calibri"/>
      </rPr>
      <t>Note: Starting with IOS release 12.4(4)T, Control Plane Protection (CPPr) can be used to filter as well as police control plane traffic destined to the RP. CPPr is very similar to CoPP and has the ability to filter and police traffic using finer granularity by dividing the aggregate control plane into three separate categories: (1) host, (2) transit, and (3) CEF-exception. Hence, a separate policy-map could be configured for each traffic category.</t>
    </r>
    <r>
      <rPr>
        <sz val="11"/>
        <color rgb="FF000000"/>
        <rFont val="Calibri"/>
      </rPr>
      <t xml:space="preserve">
</t>
    </r>
    <r>
      <rPr>
        <sz val="11"/>
        <color rgb="FF000000"/>
        <rFont val="Calibri"/>
      </rPr>
      <t>If CoPP is not supported, then the alternative would be the implementation of a receive path filter.</t>
    </r>
    <r>
      <rPr>
        <sz val="11"/>
        <color rgb="FF000000"/>
        <rFont val="Calibri"/>
      </rPr>
      <t xml:space="preserve">
</t>
    </r>
    <r>
      <rPr>
        <sz val="11"/>
        <color rgb="FF000000"/>
        <rFont val="Calibri"/>
      </rPr>
      <t>Step 1: A receive path ACL or an inbound ACL on each interface must be configured to restrict traffic destined to the router. The IOS IP Receive ACL feature provides filtering capability explicitly for traffic that is destined for the router. Verify that the global ip receive acl statement has been configured as shown in the following example:</t>
    </r>
    <r>
      <rPr>
        <sz val="11"/>
        <color rgb="FF000000"/>
        <rFont val="Calibri"/>
      </rPr>
      <t xml:space="preserve">
</t>
    </r>
    <r>
      <rPr>
        <sz val="11"/>
        <color rgb="FF000000"/>
        <rFont val="Calibri"/>
      </rPr>
      <t>ip receive acl 199</t>
    </r>
    <r>
      <rPr>
        <sz val="11"/>
        <color rgb="FF000000"/>
        <rFont val="Calibri"/>
      </rPr>
      <t xml:space="preserve">
</t>
    </r>
    <r>
      <rPr>
        <sz val="11"/>
        <color rgb="FF000000"/>
        <rFont val="Calibri"/>
      </rPr>
      <t>Note: If the platform does not support the ip receive path acl feature, an inbound ACL on each interface must be configured.</t>
    </r>
    <r>
      <rPr>
        <sz val="11"/>
        <color rgb="FF000000"/>
        <rFont val="Calibri"/>
      </rPr>
      <t xml:space="preserve">
</t>
    </r>
    <r>
      <rPr>
        <sz val="11"/>
        <color rgb="FF000000"/>
        <rFont val="Calibri"/>
      </rPr>
      <t xml:space="preserve">Step 2: Verify that the ACL referenced by the ip receive acl statement restricts all control plane and management plane traffic. The ACL configuration should look similar to the following: </t>
    </r>
    <r>
      <rPr>
        <sz val="11"/>
        <color rgb="FF000000"/>
        <rFont val="Calibri"/>
      </rPr>
      <t xml:space="preserve">
</t>
    </r>
    <r>
      <rPr>
        <sz val="11"/>
        <color rgb="FF000000"/>
        <rFont val="Calibri"/>
      </rPr>
      <t>access-list 199 deny ip any any fragments</t>
    </r>
    <r>
      <rPr>
        <sz val="11"/>
        <color rgb="FF000000"/>
        <rFont val="Calibri"/>
      </rPr>
      <t xml:space="preserve">
</t>
    </r>
    <r>
      <rPr>
        <sz val="11"/>
        <color rgb="FF000000"/>
        <rFont val="Calibri"/>
      </rPr>
      <t>access-list 199 remark allow specific management plane traffic</t>
    </r>
    <r>
      <rPr>
        <sz val="11"/>
        <color rgb="FF000000"/>
        <rFont val="Calibri"/>
      </rPr>
      <t xml:space="preserve">
</t>
    </r>
    <r>
      <rPr>
        <sz val="11"/>
        <color rgb="FF000000"/>
        <rFont val="Calibri"/>
      </rPr>
      <t>access-list 199 permit tcp [management subnet] 0.0.0.255 any eq 22</t>
    </r>
    <r>
      <rPr>
        <sz val="11"/>
        <color rgb="FF000000"/>
        <rFont val="Calibri"/>
      </rPr>
      <t xml:space="preserve">
</t>
    </r>
    <r>
      <rPr>
        <sz val="11"/>
        <color rgb="FF000000"/>
        <rFont val="Calibri"/>
      </rPr>
      <t>access-list 199 permit udp host [SNMP manager] any eq snmp</t>
    </r>
    <r>
      <rPr>
        <sz val="11"/>
        <color rgb="FF000000"/>
        <rFont val="Calibri"/>
      </rPr>
      <t xml:space="preserve">
</t>
    </r>
    <r>
      <rPr>
        <sz val="11"/>
        <color rgb="FF000000"/>
        <rFont val="Calibri"/>
      </rPr>
      <t>access-list 199 permit tcp host [TACACS server] eq tacacs any</t>
    </r>
    <r>
      <rPr>
        <sz val="11"/>
        <color rgb="FF000000"/>
        <rFont val="Calibri"/>
      </rPr>
      <t xml:space="preserve">
</t>
    </r>
    <r>
      <rPr>
        <sz val="11"/>
        <color rgb="FF000000"/>
        <rFont val="Calibri"/>
      </rPr>
      <t>access-list 199 permit udp host [NTP server] eq ntp any</t>
    </r>
    <r>
      <rPr>
        <sz val="11"/>
        <color rgb="FF000000"/>
        <rFont val="Calibri"/>
      </rPr>
      <t xml:space="preserve">
</t>
    </r>
    <r>
      <rPr>
        <sz val="11"/>
        <color rgb="FF000000"/>
        <rFont val="Calibri"/>
      </rPr>
      <t xml:space="preserve">access-list 199 permit icmp [management subnet] 0.0.0.255 any </t>
    </r>
    <r>
      <rPr>
        <sz val="11"/>
        <color rgb="FF000000"/>
        <rFont val="Calibri"/>
      </rPr>
      <t xml:space="preserve">
</t>
    </r>
    <r>
      <rPr>
        <sz val="11"/>
        <color rgb="FF000000"/>
        <rFont val="Calibri"/>
      </rPr>
      <t>access-list 199 remark allow specific control plane traffic</t>
    </r>
    <r>
      <rPr>
        <sz val="11"/>
        <color rgb="FF000000"/>
        <rFont val="Calibri"/>
      </rPr>
      <t xml:space="preserve">
</t>
    </r>
    <r>
      <rPr>
        <sz val="11"/>
        <color rgb="FF000000"/>
        <rFont val="Calibri"/>
      </rPr>
      <t>access-list 199 permit ospf host [OSPF neighbor A] any</t>
    </r>
    <r>
      <rPr>
        <sz val="11"/>
        <color rgb="FF000000"/>
        <rFont val="Calibri"/>
      </rPr>
      <t xml:space="preserve">
</t>
    </r>
    <r>
      <rPr>
        <sz val="11"/>
        <color rgb="FF000000"/>
        <rFont val="Calibri"/>
      </rPr>
      <t>access-list 199 permit ospf host [OSPF neighbor B] any</t>
    </r>
    <r>
      <rPr>
        <sz val="11"/>
        <color rgb="FF000000"/>
        <rFont val="Calibri"/>
      </rPr>
      <t xml:space="preserve">
</t>
    </r>
    <r>
      <rPr>
        <sz val="11"/>
        <color rgb="FF000000"/>
        <rFont val="Calibri"/>
      </rPr>
      <t>access-list 199 permit pim host [PIM neighbor A] any</t>
    </r>
    <r>
      <rPr>
        <sz val="11"/>
        <color rgb="FF000000"/>
        <rFont val="Calibri"/>
      </rPr>
      <t xml:space="preserve">
</t>
    </r>
    <r>
      <rPr>
        <sz val="11"/>
        <color rgb="FF000000"/>
        <rFont val="Calibri"/>
      </rPr>
      <t>access-list 199 permit pim host [PIM neighbor B] any</t>
    </r>
    <r>
      <rPr>
        <sz val="11"/>
        <color rgb="FF000000"/>
        <rFont val="Calibri"/>
      </rPr>
      <t xml:space="preserve">
</t>
    </r>
    <r>
      <rPr>
        <sz val="11"/>
        <color rgb="FF000000"/>
        <rFont val="Calibri"/>
      </rPr>
      <t>access-list 199 permit pim host [RP addr] any</t>
    </r>
    <r>
      <rPr>
        <sz val="11"/>
        <color rgb="FF000000"/>
        <rFont val="Calibri"/>
      </rPr>
      <t xml:space="preserve">
</t>
    </r>
    <r>
      <rPr>
        <sz val="11"/>
        <color rgb="FF000000"/>
        <rFont val="Calibri"/>
      </rPr>
      <t>access-list 199 permit igmp any 224.0.0.0 15.255.255.255</t>
    </r>
    <r>
      <rPr>
        <sz val="11"/>
        <color rgb="FF000000"/>
        <rFont val="Calibri"/>
      </rPr>
      <t xml:space="preserve">
</t>
    </r>
    <r>
      <rPr>
        <sz val="11"/>
        <color rgb="FF000000"/>
        <rFont val="Calibri"/>
      </rPr>
      <t>access-list 199 permit tcp host [BGP neighbor] eq bgp host [local BGP addr]</t>
    </r>
    <r>
      <rPr>
        <sz val="11"/>
        <color rgb="FF000000"/>
        <rFont val="Calibri"/>
      </rPr>
      <t xml:space="preserve">
</t>
    </r>
    <r>
      <rPr>
        <sz val="11"/>
        <color rgb="FF000000"/>
        <rFont val="Calibri"/>
      </rPr>
      <t>access-list 199 permit tcp host [BGP neighbor] host [local BGP addr] eq bgp</t>
    </r>
    <r>
      <rPr>
        <sz val="11"/>
        <color rgb="FF000000"/>
        <rFont val="Calibri"/>
      </rPr>
      <t xml:space="preserve">
</t>
    </r>
    <r>
      <rPr>
        <sz val="11"/>
        <color rgb="FF000000"/>
        <rFont val="Calibri"/>
      </rPr>
      <t>access-list 199 remark all other traffic destined to the device is dropped</t>
    </r>
    <r>
      <rPr>
        <sz val="11"/>
        <color rgb="FF000000"/>
        <rFont val="Calibri"/>
      </rPr>
      <t xml:space="preserve">
</t>
    </r>
    <r>
      <rPr>
        <sz val="11"/>
        <color rgb="FF000000"/>
        <rFont val="Calibri"/>
      </rPr>
      <t>access-list 199 deny ip any any</t>
    </r>
    <r>
      <rPr>
        <sz val="11"/>
        <color rgb="FF000000"/>
        <rFont val="Calibri"/>
      </rPr>
      <t xml:space="preserve">
</t>
    </r>
    <r>
      <rPr>
        <sz val="11"/>
        <color rgb="FF000000"/>
        <rFont val="Calibri"/>
      </rPr>
      <t>Note: If the Management Plane Protection (MPP) feature is enabled for an OOBM interface, there would be no purpose in filtering this traffic on the receive path. With MPP enabled, no interfaces except the management interface will accept network management traffic destined to the device. This feature also provides the capability to restrict which management protocols are allowed. See NET0992 for additional configuration information.</t>
    </r>
  </si>
  <si>
    <t>V-19189</t>
  </si>
  <si>
    <r>
      <rPr>
        <sz val="11"/>
        <rFont val="Calibri"/>
      </rPr>
      <t>The administrator must ensure that multicast routers are configured to establish boundaries for Admin-local or Site-local scope multicast traffic.</t>
    </r>
  </si>
  <si>
    <r>
      <rPr>
        <sz val="11"/>
        <color rgb="FF000000"/>
        <rFont val="Calibri"/>
      </rPr>
      <t>Local Scope range is 239.255.0.0/16 and can expand into the reserved ranges 239.254.0.0/16 and 239.253.0.0/16 if 239.255.0.0/16 is exhausted. The scope of IPv6 multicast packets are determined by the scope value where 4 is Admin-local and 5 is Site-local. Configure the necessary boundary to ensure packets addressed to these administratively scoped multicast addresses do not cross the applicable administrative boundaries.</t>
    </r>
  </si>
  <si>
    <r>
      <rPr>
        <sz val="11"/>
        <color rgb="FF000000"/>
        <rFont val="Calibri"/>
      </rPr>
      <t>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perspective"-that is, packets routed within a zone must not pass through any links that are outside of the zone. This requirement forces each zone to be one contiguous island rather than a series of separate islands. As stated in the DoD IPv6 IA Guidance for MO3, "One should be able to identify all interfaces of a zone by drawing a closed loop on their network diagram, engulfing some routers and passing through some routers to include only some of their interfaces."</t>
    </r>
    <r>
      <rPr>
        <sz val="11"/>
        <color rgb="FF000000"/>
        <rFont val="Calibri"/>
      </rPr>
      <t xml:space="preserve">
</t>
    </r>
    <r>
      <rPr>
        <sz val="11"/>
        <color rgb="FF000000"/>
        <rFont val="Calibri"/>
      </rPr>
      <t>Administrative scoped multicast addresses are locally assigned and are to be used exclusively by the enterprise network or enclave. Hence, administrative scoped multicast traffic must not cross the perimeter of the enclave in either direction. Admin-local scope could be used to contain multicast traffic to a portion of an enclave or within a site. This can make it more difficult for a malicious user to access sensitive traffic if the traffic is restricted to links that the user does not have access to. Admin-local scope is encouraged for any multicast traffic within a network that is intended for network management as well as control plane traffic that must reach beyond link-local destinations.</t>
    </r>
  </si>
  <si>
    <r>
      <rPr>
        <sz val="11"/>
        <color rgb="FF000000"/>
        <rFont val="Calibri"/>
      </rPr>
      <t xml:space="preserve">An administratively scoped IP multicast region is defined to be a topological region in which there are one or more boundary routers with common boundary definitions. Such a router is said to be a boundary for multicast scoped addresses in the range defined in its configuration. In order to support administratively scoped multicast, a multicast boundary router will drop multicast traffic matching an interface's boundary definition in either direction. </t>
    </r>
    <r>
      <rPr>
        <sz val="11"/>
        <color rgb="FF000000"/>
        <rFont val="Calibri"/>
      </rPr>
      <t xml:space="preserve">
</t>
    </r>
    <r>
      <rPr>
        <sz val="11"/>
        <color rgb="FF000000"/>
        <rFont val="Calibri"/>
      </rPr>
      <t xml:space="preserve">The IPv4 administrative scoped multicast address space is 239/8 which is divided into two scope levels: the Local Scope and Organization Local Scope.  The Local Scope range is 239.255.0.0/16 and can expand into the reserved ranges 239.254.0.0/16 and 239.253.0.0/16 if 239.255.0.0/16 is exhausted. The IPv4 Organization Local Scope is 239.192.0.0/14 is the space from which an organization should allocate sub-ranges when defining scopes for private use. This scope can be expanded to 239.128.0.0/10, 239.64.0.0/10, and 239.0.0.0/10 if necessary. The scope of IPv6 multicast packets are determined by the scope value where 4 (ffx4::/16) is Admin-local, 5 (ffx5::/16) is Site-local, and 8 (ffx8::/16) is Organization-local. </t>
    </r>
    <r>
      <rPr>
        <sz val="11"/>
        <color rgb="FF000000"/>
        <rFont val="Calibri"/>
      </rPr>
      <t xml:space="preserve">
</t>
    </r>
    <r>
      <rPr>
        <sz val="11"/>
        <color rgb="FF000000"/>
        <rFont val="Calibri"/>
      </rPr>
      <t>Review the multicast topology to determine any documented Admin-local (scope = 4) or Site-local (scope = 5) multicast boundaries for IPv6 traffic or any Local-scope (address block 239.255.0.0/16) boundary for IPv4 traffic. Verify that appropriate boundaries are configured on the applicable multicast-enabled interfaces.</t>
    </r>
    <r>
      <rPr>
        <sz val="11"/>
        <color rgb="FF000000"/>
        <rFont val="Calibri"/>
      </rPr>
      <t xml:space="preserve">
</t>
    </r>
    <r>
      <rPr>
        <sz val="11"/>
        <color rgb="FF000000"/>
        <rFont val="Calibri"/>
      </rPr>
      <t>IPv4:</t>
    </r>
    <r>
      <rPr>
        <sz val="11"/>
        <color rgb="FF000000"/>
        <rFont val="Calibri"/>
      </rPr>
      <t xml:space="preserve">
</t>
    </r>
    <r>
      <rPr>
        <sz val="11"/>
        <color rgb="FF000000"/>
        <rFont val="Calibri"/>
      </rPr>
      <t>The following example will establish a multicast boundary on the interface to ensure that Local-scope traffic is not allowed into or out of the administratively scoped IPv4 multicast region:</t>
    </r>
    <r>
      <rPr>
        <sz val="11"/>
        <color rgb="FF000000"/>
        <rFont val="Calibri"/>
      </rPr>
      <t xml:space="preserve">
</t>
    </r>
    <r>
      <rPr>
        <sz val="11"/>
        <color rgb="FF000000"/>
        <rFont val="Calibri"/>
      </rPr>
      <t xml:space="preserve">ip multicast-routing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description Boundary for multicast region A </t>
    </r>
    <r>
      <rPr>
        <sz val="11"/>
        <color rgb="FF000000"/>
        <rFont val="Calibri"/>
      </rPr>
      <t xml:space="preserve">
</t>
    </r>
    <r>
      <rPr>
        <sz val="11"/>
        <color rgb="FF000000"/>
        <rFont val="Calibri"/>
      </rPr>
      <t xml:space="preserve"> ip address 198.18.0.1 255.255.255.0</t>
    </r>
    <r>
      <rPr>
        <sz val="11"/>
        <color rgb="FF000000"/>
        <rFont val="Calibri"/>
      </rPr>
      <t xml:space="preserve">
</t>
    </r>
    <r>
      <rPr>
        <sz val="11"/>
        <color rgb="FF000000"/>
        <rFont val="Calibri"/>
      </rPr>
      <t>ip pim sparse-mode</t>
    </r>
    <r>
      <rPr>
        <sz val="11"/>
        <color rgb="FF000000"/>
        <rFont val="Calibri"/>
      </rPr>
      <t xml:space="preserve">
</t>
    </r>
    <r>
      <rPr>
        <sz val="11"/>
        <color rgb="FF000000"/>
        <rFont val="Calibri"/>
      </rPr>
      <t>ip multicast boundary MCAST_ADMIN_SCOPED_BOUNDARY</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MCAST_ADMIN_SCOPED_BOUNDARY</t>
    </r>
    <r>
      <rPr>
        <sz val="11"/>
        <color rgb="FF000000"/>
        <rFont val="Calibri"/>
      </rPr>
      <t xml:space="preserve">
</t>
    </r>
    <r>
      <rPr>
        <sz val="11"/>
        <color rgb="FF000000"/>
        <rFont val="Calibri"/>
      </rPr>
      <t>deny   239.255.0.0 0.255.255.255</t>
    </r>
    <r>
      <rPr>
        <sz val="11"/>
        <color rgb="FF000000"/>
        <rFont val="Calibri"/>
      </rPr>
      <t xml:space="preserve">
</t>
    </r>
    <r>
      <rPr>
        <sz val="11"/>
        <color rgb="FF000000"/>
        <rFont val="Calibri"/>
      </rPr>
      <t>permit 224.0.0.0 15.255.255.255</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Note: The filter used by multicast boundary command will effect multicast traffic outside of the administratively scoped IPv4 multicast space. If Organization Local Scope traffic must cross this site boundary, include the necessary permit statement from this address range (239.192.0.0 255.252.0.0). To allow global multicast traffic to pass by this boundary, ensure that the filter will permit the global address space (224.0.1.0-238.255.255.255) if the enclave has deployed inter-domain multicast routing. </t>
    </r>
    <r>
      <rPr>
        <sz val="11"/>
        <color rgb="FF000000"/>
        <rFont val="Calibri"/>
      </rPr>
      <t xml:space="preserve">
</t>
    </r>
    <r>
      <rPr>
        <sz val="11"/>
        <color rgb="FF000000"/>
        <rFont val="Calibri"/>
      </rPr>
      <t>IPv6:</t>
    </r>
    <r>
      <rPr>
        <sz val="11"/>
        <color rgb="FF000000"/>
        <rFont val="Calibri"/>
      </rPr>
      <t xml:space="preserve">
</t>
    </r>
    <r>
      <rPr>
        <sz val="11"/>
        <color rgb="FF000000"/>
        <rFont val="Calibri"/>
      </rPr>
      <t>The following example will establish a multicast boundary on the interface to ensure that Site-local scope traffic is not allowed into or out of the administratively scoped IPv6 multicast region:</t>
    </r>
    <r>
      <rPr>
        <sz val="11"/>
        <color rgb="FF000000"/>
        <rFont val="Calibri"/>
      </rPr>
      <t xml:space="preserve">
</t>
    </r>
    <r>
      <rPr>
        <sz val="11"/>
        <color rgb="FF000000"/>
        <rFont val="Calibri"/>
      </rPr>
      <t>ipv6 multicast-routing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description link to Site A </t>
    </r>
    <r>
      <rPr>
        <sz val="11"/>
        <color rgb="FF000000"/>
        <rFont val="Calibri"/>
      </rPr>
      <t xml:space="preserve">
</t>
    </r>
    <r>
      <rPr>
        <sz val="11"/>
        <color rgb="FF000000"/>
        <rFont val="Calibri"/>
      </rPr>
      <t xml:space="preserve"> ipv6 address 2001:1:0:146::/64 eui-64</t>
    </r>
    <r>
      <rPr>
        <sz val="11"/>
        <color rgb="FF000000"/>
        <rFont val="Calibri"/>
      </rPr>
      <t xml:space="preserve">
</t>
    </r>
    <r>
      <rPr>
        <sz val="11"/>
        <color rgb="FF000000"/>
        <rFont val="Calibri"/>
      </rPr>
      <t xml:space="preserve"> ipv6 multicast boundary scope 5</t>
    </r>
    <r>
      <rPr>
        <sz val="11"/>
        <color rgb="FF000000"/>
        <rFont val="Calibri"/>
      </rPr>
      <t xml:space="preserve">
</t>
    </r>
    <r>
      <rPr>
        <sz val="11"/>
        <color rgb="FF000000"/>
        <rFont val="Calibri"/>
      </rPr>
      <t>Note: Filtering the scope value of 5 will ensure that any multicast traffic received by the interface in either direction with a scope equal to or less than 5 (Site-local) will be dropped.  Hence, all Site-local and Admin-local traffic will be dropped while allowing Organization-local (scope = 8) and global multicast traffic (scope =14) to be forwarded for an inter-site as well as inter-domain multicast routing deployment.</t>
    </r>
  </si>
  <si>
    <t>V-23747</t>
  </si>
  <si>
    <r>
      <rPr>
        <sz val="11"/>
        <rFont val="Calibri"/>
      </rPr>
      <t>The network element must use two or more NTP servers to synchronize time.</t>
    </r>
  </si>
  <si>
    <r>
      <rPr>
        <sz val="11"/>
        <color rgb="FF000000"/>
        <rFont val="Calibri"/>
      </rPr>
      <t>Configure the device to use two separate NTP servers.</t>
    </r>
  </si>
  <si>
    <r>
      <rPr>
        <sz val="11"/>
        <color rgb="FF000000"/>
        <rFont val="Calibri"/>
      </rPr>
      <t>Without synchronized time, accurately correlating information between devices becomes difficult, if not impossible. If you cannot successfully compare logs between each of your routers, switches, and firewalls, it will be very difficult to determine the exact events that resulted in a network breach incident. NTP provides an efficient and scalable method for network elements to synchronize to an accurate time source.</t>
    </r>
  </si>
  <si>
    <r>
      <rPr>
        <sz val="11"/>
        <color rgb="FF000000"/>
        <rFont val="Calibri"/>
      </rPr>
      <t>Review the router or switch configuration and verify that two NTP servers have been defined to synchronize time similar to the following example:</t>
    </r>
    <r>
      <rPr>
        <sz val="11"/>
        <color rgb="FF000000"/>
        <rFont val="Calibri"/>
      </rPr>
      <t xml:space="preserve">
</t>
    </r>
    <r>
      <rPr>
        <sz val="11"/>
        <color rgb="FF000000"/>
        <rFont val="Calibri"/>
      </rPr>
      <t>ntp update-calendar</t>
    </r>
    <r>
      <rPr>
        <sz val="11"/>
        <color rgb="FF000000"/>
        <rFont val="Calibri"/>
      </rPr>
      <t xml:space="preserve">
</t>
    </r>
    <r>
      <rPr>
        <sz val="11"/>
        <color rgb="FF000000"/>
        <rFont val="Calibri"/>
      </rPr>
      <t xml:space="preserve">ntp server 129.237.32.6 </t>
    </r>
    <r>
      <rPr>
        <sz val="11"/>
        <color rgb="FF000000"/>
        <rFont val="Calibri"/>
      </rPr>
      <t xml:space="preserve">
</t>
    </r>
    <r>
      <rPr>
        <sz val="11"/>
        <color rgb="FF000000"/>
        <rFont val="Calibri"/>
      </rPr>
      <t>ntp server 129.237.32.7</t>
    </r>
    <r>
      <rPr>
        <sz val="11"/>
        <color rgb="FF000000"/>
        <rFont val="Calibri"/>
      </rPr>
      <t xml:space="preserve">
</t>
    </r>
    <r>
      <rPr>
        <sz val="11"/>
        <color rgb="FF000000"/>
        <rFont val="Calibri"/>
      </rPr>
      <t xml:space="preserve">Some platforms have a battery-powered hardware clock, referred to in the command-line interface (CLI) as the "calendar," in addition to the software based system clock. The hardware clock runs continuously, even if the router is powered off or rebooted. If the software clock is synchronized to an outside time source via NTP, it is a good practice to periodically update the hardware clock with the time learned from NTP. Otherwise, the hardware clock will tend to gradually lose or gain time (drift) and the software clock and hardware clock may become out of synchronization with each other. The ntp update-calendar command will enable the hardware clock to be periodically updated with the time specified by the NTP source. The hardware clock will be updated only if NTP has synchronized to an authoritative time server. To force a single update of the hardware clock from the software clock, use the clock update-calendar command in user EXEC mode. </t>
    </r>
    <r>
      <rPr>
        <sz val="11"/>
        <color rgb="FF000000"/>
        <rFont val="Calibri"/>
      </rPr>
      <t xml:space="preserve">
</t>
    </r>
    <r>
      <rPr>
        <sz val="11"/>
        <color rgb="FF000000"/>
        <rFont val="Calibri"/>
      </rPr>
      <t>Note: Lower end router models (i.e., 2500 series) and access switches (i.e. 2950, 2970, etc) do not have hardware clocks, so this command is not available on those platforms.</t>
    </r>
    <r>
      <rPr>
        <sz val="11"/>
        <color rgb="FF000000"/>
        <rFont val="Calibri"/>
      </rPr>
      <t xml:space="preserve">
</t>
    </r>
    <r>
      <rPr>
        <sz val="11"/>
        <color rgb="FF000000"/>
        <rFont val="Calibri"/>
      </rPr>
      <t>Any NTP-enabled device that receives and accepts time from a stratum-n server can become a stratum-n+1 server. However, an NTP-enabled device will not accept time updates from an NTP server at a higher stratum; thereby enforcing a tree-level hierarchy of client-server relationships and preventing time synchronization loops. To increase availability, NTP peering can be used between NTP servers. Hence the following example configuration could be used to provide the necessary redundancy:</t>
    </r>
    <r>
      <rPr>
        <sz val="11"/>
        <color rgb="FF000000"/>
        <rFont val="Calibri"/>
      </rPr>
      <t xml:space="preserve">
</t>
    </r>
    <r>
      <rPr>
        <sz val="11"/>
        <color rgb="FF000000"/>
        <rFont val="Calibri"/>
      </rPr>
      <t>ntp update-calendar</t>
    </r>
    <r>
      <rPr>
        <sz val="11"/>
        <color rgb="FF000000"/>
        <rFont val="Calibri"/>
      </rPr>
      <t xml:space="preserve">
</t>
    </r>
    <r>
      <rPr>
        <sz val="11"/>
        <color rgb="FF000000"/>
        <rFont val="Calibri"/>
      </rPr>
      <t xml:space="preserve">ntp server 129.237.32.6 </t>
    </r>
    <r>
      <rPr>
        <sz val="11"/>
        <color rgb="FF000000"/>
        <rFont val="Calibri"/>
      </rPr>
      <t xml:space="preserve">
</t>
    </r>
    <r>
      <rPr>
        <sz val="11"/>
        <color rgb="FF000000"/>
        <rFont val="Calibri"/>
      </rPr>
      <t>ntp peer 129.237.32.7</t>
    </r>
    <r>
      <rPr>
        <sz val="11"/>
        <color rgb="FF000000"/>
        <rFont val="Calibri"/>
      </rPr>
      <t xml:space="preserve">
</t>
    </r>
    <r>
      <rPr>
        <sz val="11"/>
        <color rgb="FF000000"/>
        <rFont val="Calibri"/>
      </rPr>
      <t>Alternative to querying an NTP server for time is to receive NTP updates via server that is broadcasting or multicasting the time update messages. The following interface command would be configured to receive an NTP broadcast message:</t>
    </r>
    <r>
      <rPr>
        <sz val="11"/>
        <color rgb="FF000000"/>
        <rFont val="Calibri"/>
      </rPr>
      <t xml:space="preserve">
</t>
    </r>
    <r>
      <rPr>
        <sz val="11"/>
        <color rgb="FF000000"/>
        <rFont val="Calibri"/>
      </rPr>
      <t xml:space="preserve">ntp broadcast client </t>
    </r>
    <r>
      <rPr>
        <sz val="11"/>
        <color rgb="FF000000"/>
        <rFont val="Calibri"/>
      </rPr>
      <t xml:space="preserve">
</t>
    </r>
    <r>
      <rPr>
        <sz val="11"/>
        <color rgb="FF000000"/>
        <rFont val="Calibri"/>
      </rPr>
      <t xml:space="preserve">The above command must be configured on two interfaces or there must be two NTP servers on the same LAN segment broadcasting NTP messages. </t>
    </r>
    <r>
      <rPr>
        <sz val="11"/>
        <color rgb="FF000000"/>
        <rFont val="Calibri"/>
      </rPr>
      <t xml:space="preserve">
</t>
    </r>
    <r>
      <rPr>
        <sz val="11"/>
        <color rgb="FF000000"/>
        <rFont val="Calibri"/>
      </rPr>
      <t>The following interface command would be configured to receive an NTP multicast message:</t>
    </r>
    <r>
      <rPr>
        <sz val="11"/>
        <color rgb="FF000000"/>
        <rFont val="Calibri"/>
      </rPr>
      <t xml:space="preserve">
</t>
    </r>
    <r>
      <rPr>
        <sz val="11"/>
        <color rgb="FF000000"/>
        <rFont val="Calibri"/>
      </rPr>
      <t xml:space="preserve">ntp multicast client 239.x.x.x </t>
    </r>
    <r>
      <rPr>
        <sz val="11"/>
        <color rgb="FF000000"/>
        <rFont val="Calibri"/>
      </rPr>
      <t xml:space="preserve">
</t>
    </r>
    <r>
      <rPr>
        <sz val="11"/>
        <color rgb="FF000000"/>
        <rFont val="Calibri"/>
      </rPr>
      <t>For multicast, two different administratively scoped multicast groups can be used—one for each NTP server. In addition, the router or MLS must also have ip pim dense-mode configured on the interface as well as global ip multicast-routing.</t>
    </r>
  </si>
  <si>
    <t>V-28784</t>
  </si>
  <si>
    <r>
      <rPr>
        <sz val="11"/>
        <rFont val="Calibri"/>
      </rPr>
      <t>A service or feature that calls home to the vendor must be disabled.</t>
    </r>
  </si>
  <si>
    <r>
      <rPr>
        <sz val="11"/>
        <color rgb="FF000000"/>
        <rFont val="Calibri"/>
      </rPr>
      <t xml:space="preserve">Configure the network device to disable the call home service or feature. </t>
    </r>
    <r>
      <rPr>
        <sz val="11"/>
        <color rgb="FF000000"/>
        <rFont val="Calibri"/>
      </rPr>
      <t xml:space="preserve">
</t>
    </r>
    <r>
      <rPr>
        <sz val="11"/>
        <color rgb="FF000000"/>
        <rFont val="Calibri"/>
      </rPr>
      <t xml:space="preserve">The command below will disable the call-home service on a Cisco device.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hostname(config)# no service call-home</t>
    </r>
    <r>
      <rPr>
        <sz val="11"/>
        <color rgb="FF000000"/>
        <rFont val="Calibri"/>
      </rPr>
      <t xml:space="preserve">
</t>
    </r>
    <r>
      <rPr>
        <sz val="11"/>
        <color rgb="FF000000"/>
        <rFont val="Calibri"/>
      </rPr>
      <t>Note: This feature can be enabled if the communication is only to a server residing in the local area network or enclave.</t>
    </r>
  </si>
  <si>
    <r>
      <rPr>
        <sz val="11"/>
        <color rgb="FF000000"/>
        <rFont val="Calibri"/>
      </rPr>
      <t>Call home services or features will routinely send data such as configuration and diagnostic information to the vendor for routine or emergency analysis and troubleshooting.  The risk that transmission of sensitive data sent to unauthorized persons could result in data loss or downtime due to an attack.</t>
    </r>
  </si>
  <si>
    <r>
      <rPr>
        <sz val="11"/>
        <color rgb="FF000000"/>
        <rFont val="Calibri"/>
      </rPr>
      <t>Review the device configuration to determine if the call home service or feature is disabled on the device. On a Cisco product, you will not see the call-home service in the running config unless it's enabled. If the call home service is enabled on the device, this is a finding.</t>
    </r>
    <r>
      <rPr>
        <sz val="11"/>
        <color rgb="FF000000"/>
        <rFont val="Calibri"/>
      </rPr>
      <t xml:space="preserve">
</t>
    </r>
    <r>
      <rPr>
        <sz val="11"/>
        <color rgb="FF000000"/>
        <rFont val="Calibri"/>
      </rPr>
      <t>Note: This feature can be enabled if the communication is only to a server residing in the local area network or enclave.</t>
    </r>
  </si>
  <si>
    <t>V-30577</t>
  </si>
  <si>
    <r>
      <rPr>
        <sz val="11"/>
        <rFont val="Calibri"/>
      </rPr>
      <t>The administrator must ensure that Protocol Independent Multicast (PIM) is disabled on all interfaces that are not required to support multicast routing.</t>
    </r>
  </si>
  <si>
    <r>
      <rPr>
        <sz val="11"/>
        <color rgb="FF000000"/>
        <rFont val="Calibri"/>
      </rPr>
      <t>If IPv4 or IPv6 multicast routing is enabled, ensure that all interfaces enabled for PIM is documented in the network’s multicast topology diagram. Enable PIM only on the applicable interfaces according to the multicast topology diagram.</t>
    </r>
  </si>
  <si>
    <r>
      <rPr>
        <sz val="11"/>
        <color rgb="FF000000"/>
        <rFont val="Calibri"/>
      </rPr>
      <t>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perspective”—that is, packets routed within a zone must not pass through any links that are outside of the zone. This requirement forces each zone to be one contiguous island rather than a series of separate islands. As stated in the DoD IPv6 IA Guidance for MO3, “One should be able to identify all interfaces of a zone by drawing a closed loop on their network diagram, engulfing some routers and passing through some routers to include only some of their interfaces.” Hence, it is imperative that the network has documented their multicast topology and thereby knows which interfaces are enabled for multicast.  Once, this is done, the zones can be scoped as required.</t>
    </r>
  </si>
  <si>
    <r>
      <rPr>
        <sz val="11"/>
        <color rgb="FF000000"/>
        <rFont val="Calibri"/>
      </rPr>
      <t>If IPv4 or IPv6 multicast routing is enabled, ensure that all interfaces enabled for PIM is documented in the network’s multicast topology diagram. Review the router or multi-layer switch configuration to determine if multicast routing is enabled and what interfaces are enabled for PIM.</t>
    </r>
    <r>
      <rPr>
        <sz val="11"/>
        <color rgb="FF000000"/>
        <rFont val="Calibri"/>
      </rPr>
      <t xml:space="preserve">
</t>
    </r>
    <r>
      <rPr>
        <sz val="11"/>
        <color rgb="FF000000"/>
        <rFont val="Calibri"/>
      </rPr>
      <t>Step 1: Determine if multicast routing is enabled. By default, multicast is disabled globally. The following global configuration commands will enable IPv4 and IPv6 multicast routing:</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ipv6 multicast-routing</t>
    </r>
    <r>
      <rPr>
        <sz val="11"/>
        <color rgb="FF000000"/>
        <rFont val="Calibri"/>
      </rPr>
      <t xml:space="preserve">
</t>
    </r>
    <r>
      <rPr>
        <sz val="11"/>
        <color rgb="FF000000"/>
        <rFont val="Calibri"/>
      </rPr>
      <t xml:space="preserve">Step 2:  PIM is enabled on an interface with either of the following commands: ip pim sparse-mode, ip pim dense-mode, ip pim sparse-dense-mode. Review all interface configurations and verify that only the required interfaces are enabled for PIM as documented in the network topology diagram. </t>
    </r>
    <r>
      <rPr>
        <sz val="11"/>
        <color rgb="FF000000"/>
        <rFont val="Calibri"/>
      </rPr>
      <t xml:space="preserve">
</t>
    </r>
    <r>
      <rPr>
        <sz val="11"/>
        <color rgb="FF000000"/>
        <rFont val="Calibri"/>
      </rPr>
      <t>With IPv4, PIM is disabled by default on all interfaces. Following is an example of an interface with PIM enabled.</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You can also verify what IPv4 interfaces are enabled for PIM with the show ip pim interface command.</t>
    </r>
    <r>
      <rPr>
        <sz val="11"/>
        <color rgb="FF000000"/>
        <rFont val="Calibri"/>
      </rPr>
      <t xml:space="preserve">
</t>
    </r>
    <r>
      <rPr>
        <sz val="11"/>
        <color rgb="FF000000"/>
        <rFont val="Calibri"/>
      </rPr>
      <t>With IPv6, PIM is enabled by default on all IPv6-enabled interfaces if IPv6 multicast routing is enabled on the router via the global ipv6 multicast-routing command. An interface can be disabled for PIM using the no ipv6 pim interface command.</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ipv6 address 2001:1:0:146::/64 eui-64</t>
    </r>
    <r>
      <rPr>
        <sz val="11"/>
        <color rgb="FF000000"/>
        <rFont val="Calibri"/>
      </rPr>
      <t xml:space="preserve">
</t>
    </r>
    <r>
      <rPr>
        <sz val="11"/>
        <color rgb="FF000000"/>
        <rFont val="Calibri"/>
      </rPr>
      <t xml:space="preserve"> no ipv6 pim</t>
    </r>
    <r>
      <rPr>
        <sz val="11"/>
        <color rgb="FF000000"/>
        <rFont val="Calibri"/>
      </rPr>
      <t xml:space="preserve">
</t>
    </r>
    <r>
      <rPr>
        <sz val="11"/>
        <color rgb="FF000000"/>
        <rFont val="Calibri"/>
      </rPr>
      <t>You can also verify what ipv6 interfaces are enabled for PIM with the show ipv6 pim interface command.</t>
    </r>
  </si>
  <si>
    <t>V-30578</t>
  </si>
  <si>
    <r>
      <rPr>
        <sz val="11"/>
        <rFont val="Calibri"/>
      </rPr>
      <t>The administrator must ensure that a PIM neighbor filter is bound to all interfaces that have PIM enabled.</t>
    </r>
  </si>
  <si>
    <r>
      <rPr>
        <sz val="11"/>
        <color rgb="FF000000"/>
        <rFont val="Calibri"/>
      </rPr>
      <t>If IPv4 or IPv6 multicast routing is enabled, ensure that all interfaces enabled for PIM has a neighbor filter to only accept PIM control plane traffic from the documented routers according to the multicast topology diagram.</t>
    </r>
  </si>
  <si>
    <r>
      <rPr>
        <sz val="11"/>
        <color rgb="FF000000"/>
        <rFont val="Calibri"/>
      </rPr>
      <t>Protocol Independent Multicast (PIM) is a routing protocol used to build multicast distribution tress for forwarding multicast traffic across the network infrastructure. PIM traffic must be limited to only known PIM neighbors by configuring and binding a PIM neighbor filter to those interfaces that have PIM enabled.</t>
    </r>
  </si>
  <si>
    <r>
      <rPr>
        <sz val="11"/>
        <color rgb="FF000000"/>
        <rFont val="Calibri"/>
      </rPr>
      <t>Review the router or multi-layer switch to determine if either IPv4 or IPv6 multicast routing is enabled. If either is enabled, verify that all interfaces enabled for PIM has a neighbor filter to only accept PIM control plane traffic from the documented routers according to the multicast topology diagram.</t>
    </r>
    <r>
      <rPr>
        <sz val="11"/>
        <color rgb="FF000000"/>
        <rFont val="Calibri"/>
      </rPr>
      <t xml:space="preserve">
</t>
    </r>
    <r>
      <rPr>
        <sz val="11"/>
        <color rgb="FF000000"/>
        <rFont val="Calibri"/>
      </rPr>
      <t>IPv4</t>
    </r>
    <r>
      <rPr>
        <sz val="11"/>
        <color rgb="FF000000"/>
        <rFont val="Calibri"/>
      </rPr>
      <t xml:space="preserve">
</t>
    </r>
    <r>
      <rPr>
        <sz val="11"/>
        <color rgb="FF000000"/>
        <rFont val="Calibri"/>
      </rPr>
      <t>Step 1: Verify that an ACL is configured that will specify the allowable PIM neighbors similar to the</t>
    </r>
    <r>
      <rPr>
        <sz val="11"/>
        <color rgb="FF000000"/>
        <rFont val="Calibri"/>
      </rPr>
      <t xml:space="preserve">
</t>
    </r>
    <r>
      <rPr>
        <sz val="11"/>
        <color rgb="FF000000"/>
        <rFont val="Calibri"/>
      </rPr>
      <t>following example:</t>
    </r>
    <r>
      <rPr>
        <sz val="11"/>
        <color rgb="FF000000"/>
        <rFont val="Calibri"/>
      </rPr>
      <t xml:space="preserve">
</t>
    </r>
    <r>
      <rPr>
        <sz val="11"/>
        <color rgb="FF000000"/>
        <rFont val="Calibri"/>
      </rPr>
      <t>ip access-list standard PIM_NEIGHBORS</t>
    </r>
    <r>
      <rPr>
        <sz val="11"/>
        <color rgb="FF000000"/>
        <rFont val="Calibri"/>
      </rPr>
      <t xml:space="preserve">
</t>
    </r>
    <r>
      <rPr>
        <sz val="11"/>
        <color rgb="FF000000"/>
        <rFont val="Calibri"/>
      </rPr>
      <t xml:space="preserve"> permit 192.0.2.1</t>
    </r>
    <r>
      <rPr>
        <sz val="11"/>
        <color rgb="FF000000"/>
        <rFont val="Calibri"/>
      </rPr>
      <t xml:space="preserve">
</t>
    </r>
    <r>
      <rPr>
        <sz val="11"/>
        <color rgb="FF000000"/>
        <rFont val="Calibri"/>
      </rPr>
      <t xml:space="preserve"> permit 192.0.2.3</t>
    </r>
    <r>
      <rPr>
        <sz val="11"/>
        <color rgb="FF000000"/>
        <rFont val="Calibri"/>
      </rPr>
      <t xml:space="preserve">
</t>
    </r>
    <r>
      <rPr>
        <sz val="11"/>
        <color rgb="FF000000"/>
        <rFont val="Calibri"/>
      </rPr>
      <t xml:space="preserve"> deny any log</t>
    </r>
    <r>
      <rPr>
        <sz val="11"/>
        <color rgb="FF000000"/>
        <rFont val="Calibri"/>
      </rPr>
      <t xml:space="preserve">
</t>
    </r>
    <r>
      <rPr>
        <sz val="11"/>
        <color rgb="FF000000"/>
        <rFont val="Calibri"/>
      </rPr>
      <t>Step 2: Verify that a pim neighbor-filter command is configured on all PIM-enabled interfaces that is</t>
    </r>
    <r>
      <rPr>
        <sz val="11"/>
        <color rgb="FF000000"/>
        <rFont val="Calibri"/>
      </rPr>
      <t xml:space="preserve">
</t>
    </r>
    <r>
      <rPr>
        <sz val="11"/>
        <color rgb="FF000000"/>
        <rFont val="Calibri"/>
      </rPr>
      <t>referencing the PIM neighbor ACL similar to the following example:</t>
    </r>
    <r>
      <rPr>
        <sz val="11"/>
        <color rgb="FF000000"/>
        <rFont val="Calibri"/>
      </rPr>
      <t xml:space="preserve">
</t>
    </r>
    <r>
      <rPr>
        <sz val="11"/>
        <color rgb="FF000000"/>
        <rFont val="Calibri"/>
      </rPr>
      <t>interface FastEthernet0/3</t>
    </r>
    <r>
      <rPr>
        <sz val="11"/>
        <color rgb="FF000000"/>
        <rFont val="Calibri"/>
      </rPr>
      <t xml:space="preserve">
</t>
    </r>
    <r>
      <rPr>
        <sz val="11"/>
        <color rgb="FF000000"/>
        <rFont val="Calibri"/>
      </rPr>
      <t xml:space="preserve"> ip address 192.0.2.2 255.255.255.0</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pim neighbor-filter PIM_NEIGHBORS</t>
    </r>
    <r>
      <rPr>
        <sz val="11"/>
        <color rgb="FF000000"/>
        <rFont val="Calibri"/>
      </rPr>
      <t xml:space="preserve">
</t>
    </r>
    <r>
      <rPr>
        <sz val="11"/>
        <color rgb="FF000000"/>
        <rFont val="Calibri"/>
      </rPr>
      <t>IPv6</t>
    </r>
    <r>
      <rPr>
        <sz val="11"/>
        <color rgb="FF000000"/>
        <rFont val="Calibri"/>
      </rPr>
      <t xml:space="preserve">
</t>
    </r>
    <r>
      <rPr>
        <sz val="11"/>
        <color rgb="FF000000"/>
        <rFont val="Calibri"/>
      </rPr>
      <t>Step 1: Verify that an ACL is configured that will specify the allowable PIM neighbors similar to the</t>
    </r>
    <r>
      <rPr>
        <sz val="11"/>
        <color rgb="FF000000"/>
        <rFont val="Calibri"/>
      </rPr>
      <t xml:space="preserve">
</t>
    </r>
    <r>
      <rPr>
        <sz val="11"/>
        <color rgb="FF000000"/>
        <rFont val="Calibri"/>
      </rPr>
      <t>following example:</t>
    </r>
    <r>
      <rPr>
        <sz val="11"/>
        <color rgb="FF000000"/>
        <rFont val="Calibri"/>
      </rPr>
      <t xml:space="preserve">
</t>
    </r>
    <r>
      <rPr>
        <sz val="11"/>
        <color rgb="FF000000"/>
        <rFont val="Calibri"/>
      </rPr>
      <t>ipv6 access-list PIM_NEIGHBORS</t>
    </r>
    <r>
      <rPr>
        <sz val="11"/>
        <color rgb="FF000000"/>
        <rFont val="Calibri"/>
      </rPr>
      <t xml:space="preserve">
</t>
    </r>
    <r>
      <rPr>
        <sz val="11"/>
        <color rgb="FF000000"/>
        <rFont val="Calibri"/>
      </rPr>
      <t xml:space="preserve"> permit host FE80::1 any</t>
    </r>
    <r>
      <rPr>
        <sz val="11"/>
        <color rgb="FF000000"/>
        <rFont val="Calibri"/>
      </rPr>
      <t xml:space="preserve">
</t>
    </r>
    <r>
      <rPr>
        <sz val="11"/>
        <color rgb="FF000000"/>
        <rFont val="Calibri"/>
      </rPr>
      <t xml:space="preserve"> permit host FE80::3 any</t>
    </r>
    <r>
      <rPr>
        <sz val="11"/>
        <color rgb="FF000000"/>
        <rFont val="Calibri"/>
      </rPr>
      <t xml:space="preserve">
</t>
    </r>
    <r>
      <rPr>
        <sz val="11"/>
        <color rgb="FF000000"/>
        <rFont val="Calibri"/>
      </rPr>
      <t>deny any any log</t>
    </r>
    <r>
      <rPr>
        <sz val="11"/>
        <color rgb="FF000000"/>
        <rFont val="Calibri"/>
      </rPr>
      <t xml:space="preserve">
</t>
    </r>
    <r>
      <rPr>
        <sz val="11"/>
        <color rgb="FF000000"/>
        <rFont val="Calibri"/>
      </rPr>
      <t xml:space="preserve">Note: IPv6 PIM adjacenencies are created using the router unicast link-local addresses </t>
    </r>
    <r>
      <rPr>
        <sz val="11"/>
        <color rgb="FF000000"/>
        <rFont val="Calibri"/>
      </rPr>
      <t xml:space="preserve">
</t>
    </r>
    <r>
      <rPr>
        <sz val="11"/>
        <color rgb="FF000000"/>
        <rFont val="Calibri"/>
      </rPr>
      <t>Step 2: Verify that a pim neighbor-filter global command is configured</t>
    </r>
    <r>
      <rPr>
        <sz val="11"/>
        <color rgb="FF000000"/>
        <rFont val="Calibri"/>
      </rPr>
      <t xml:space="preserve">
</t>
    </r>
    <r>
      <rPr>
        <sz val="11"/>
        <color rgb="FF000000"/>
        <rFont val="Calibri"/>
      </rPr>
      <t>ipv6 pim neighbor-filter list PIM_NEIGHBORS</t>
    </r>
  </si>
  <si>
    <t>V-30617</t>
  </si>
  <si>
    <r>
      <rPr>
        <sz val="11"/>
        <rFont val="Calibri"/>
      </rPr>
      <t>The administrator must ensure that the maximum hop limit is at least 32.</t>
    </r>
  </si>
  <si>
    <r>
      <rPr>
        <sz val="11"/>
        <color rgb="FF000000"/>
        <rFont val="Calibri"/>
      </rPr>
      <t>Configure maximum hop limit to at least 32.</t>
    </r>
  </si>
  <si>
    <r>
      <rPr>
        <sz val="11"/>
        <color rgb="FF000000"/>
        <rFont val="Calibri"/>
      </rPr>
      <t>The Neighbor Discovery protocol allows a hop limit value to be advertised by routers in a Router Advertisement message to be used by hosts instead of the standardized default value. If a very small value was configured and advertised to hosts on the LAN segment, communications would fail due to hop limit reaching zero before the packets sent by a host reached its destination.</t>
    </r>
  </si>
  <si>
    <r>
      <rPr>
        <sz val="11"/>
        <color rgb="FF000000"/>
        <rFont val="Calibri"/>
      </rPr>
      <t xml:space="preserve">The maximum number of hops used in router advertisements and all IPv6 packets that are originated by the router can be set using the ipv6 hop-limit command in global configuration mode.  Review the router or multi-layer switch configuration to determine if the maximum hop limit has been configured. If it has been configured, then it must be set to at least 32. </t>
    </r>
    <r>
      <rPr>
        <sz val="11"/>
        <color rgb="FF000000"/>
        <rFont val="Calibri"/>
      </rPr>
      <t xml:space="preserve">
</t>
    </r>
    <r>
      <rPr>
        <sz val="11"/>
        <color rgb="FF000000"/>
        <rFont val="Calibri"/>
      </rPr>
      <t xml:space="preserve">The following global command sets the max hop limit to 128: ipv6 hop-limit 128 </t>
    </r>
    <r>
      <rPr>
        <sz val="11"/>
        <color rgb="FF000000"/>
        <rFont val="Calibri"/>
      </rPr>
      <t xml:space="preserve">
</t>
    </r>
    <r>
      <rPr>
        <sz val="11"/>
        <color rgb="FF000000"/>
        <rFont val="Calibri"/>
      </rPr>
      <t>Note: The IOS default is 64. Hence, if the hop limit is not configured, the router will be in compliance with the requirement.</t>
    </r>
  </si>
  <si>
    <t>V-30660</t>
  </si>
  <si>
    <r>
      <rPr>
        <sz val="11"/>
        <rFont val="Calibri"/>
      </rPr>
      <t>The administrator must ensure the 6-to-4 router is configured to drop any IPv4 packets with protocol 41 received from the internal network.</t>
    </r>
  </si>
  <si>
    <r>
      <rPr>
        <sz val="11"/>
        <color rgb="FF000000"/>
        <rFont val="Calibri"/>
      </rPr>
      <t>If the router is functioning as a 6to4 router, configure an egress filter (inbound on the internal-facing interface) to drop any outbound IPv4 packets that are tunneling IPv6 packets.</t>
    </r>
  </si>
  <si>
    <r>
      <rPr>
        <sz val="11"/>
        <color rgb="FF000000"/>
        <rFont val="Calibri"/>
      </rPr>
      <t>The 6to4 specific filters accomplish the role of endpoint verification and provide assurance that the tunnels are being used properly. This primary guidance assumes that only the designated 6to4 router is allowed to form tunnel packets. If they are being formed inside an enclave and passed to the 6to4 router, they are suspicious and must be dropped. In accordance with DoD IPv6 IA Guidance for MO3 (S5-C7-8), packets as such must be dropped and logged as a security event.</t>
    </r>
  </si>
  <si>
    <r>
      <rPr>
        <sz val="11"/>
        <color rgb="FF000000"/>
        <rFont val="Calibri"/>
      </rPr>
      <t>If the router is functioning as a 6to4 router, verify that there is an egress filter (inbound on the internal-facing interface) to drop any outbound IPv4 packets that are tunneling IPv6 packets.</t>
    </r>
    <r>
      <rPr>
        <sz val="11"/>
        <color rgb="FF000000"/>
        <rFont val="Calibri"/>
      </rPr>
      <t xml:space="preserve">
</t>
    </r>
    <r>
      <rPr>
        <sz val="11"/>
        <color rgb="FF000000"/>
        <rFont val="Calibri"/>
      </rPr>
      <t>Step 1: Determine if the router is functioning as a 6to4 router. You should find a tunnel configuration similar to the following example:</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no ip address</t>
    </r>
    <r>
      <rPr>
        <sz val="11"/>
        <color rgb="FF000000"/>
        <rFont val="Calibri"/>
      </rPr>
      <t xml:space="preserve">
</t>
    </r>
    <r>
      <rPr>
        <sz val="11"/>
        <color rgb="FF000000"/>
        <rFont val="Calibri"/>
      </rPr>
      <t xml:space="preserve"> no ip redirects</t>
    </r>
    <r>
      <rPr>
        <sz val="11"/>
        <color rgb="FF000000"/>
        <rFont val="Calibri"/>
      </rPr>
      <t xml:space="preserve">
</t>
    </r>
    <r>
      <rPr>
        <sz val="11"/>
        <color rgb="FF000000"/>
        <rFont val="Calibri"/>
      </rPr>
      <t xml:space="preserve"> ipv6 address 2000:C0A8:6301::1/64</t>
    </r>
    <r>
      <rPr>
        <sz val="11"/>
        <color rgb="FF000000"/>
        <rFont val="Calibri"/>
      </rPr>
      <t xml:space="preserve">
</t>
    </r>
    <r>
      <rPr>
        <sz val="11"/>
        <color rgb="FF000000"/>
        <rFont val="Calibri"/>
      </rPr>
      <t xml:space="preserve"> tunnel source FastEthernet0/1</t>
    </r>
    <r>
      <rPr>
        <sz val="11"/>
        <color rgb="FF000000"/>
        <rFont val="Calibri"/>
      </rPr>
      <t xml:space="preserve">
</t>
    </r>
    <r>
      <rPr>
        <sz val="11"/>
        <color rgb="FF000000"/>
        <rFont val="Calibri"/>
      </rPr>
      <t xml:space="preserve"> tunnel mode ipv6ip 6to4</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ipv6 route 2002::/16 Tunnel0</t>
    </r>
    <r>
      <rPr>
        <sz val="11"/>
        <color rgb="FF000000"/>
        <rFont val="Calibri"/>
      </rPr>
      <t xml:space="preserve">
</t>
    </r>
    <r>
      <rPr>
        <sz val="11"/>
        <color rgb="FF000000"/>
        <rFont val="Calibri"/>
      </rPr>
      <t>Step 2: Verify that there is an egress filter (inbound on the internal-facing interface) to drop any outbound IPv4 packets that are tunneling IPv6 packets. You should find a configuration similar to the following example:</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internal link</t>
    </r>
    <r>
      <rPr>
        <sz val="11"/>
        <color rgb="FF000000"/>
        <rFont val="Calibri"/>
      </rPr>
      <t xml:space="preserve">
</t>
    </r>
    <r>
      <rPr>
        <sz val="11"/>
        <color rgb="FF000000"/>
        <rFont val="Calibri"/>
      </rPr>
      <t xml:space="preserve"> ip address 192.168.1.1 255.255.255.0</t>
    </r>
    <r>
      <rPr>
        <sz val="11"/>
        <color rgb="FF000000"/>
        <rFont val="Calibri"/>
      </rPr>
      <t xml:space="preserve">
</t>
    </r>
    <r>
      <rPr>
        <sz val="11"/>
        <color rgb="FF000000"/>
        <rFont val="Calibri"/>
      </rPr>
      <t xml:space="preserve"> ipv6 address 6TO4PREFIX ::1:0:0:0:1/64</t>
    </r>
    <r>
      <rPr>
        <sz val="11"/>
        <color rgb="FF000000"/>
        <rFont val="Calibri"/>
      </rPr>
      <t xml:space="preserve">
</t>
    </r>
    <r>
      <rPr>
        <sz val="11"/>
        <color rgb="FF000000"/>
        <rFont val="Calibri"/>
      </rPr>
      <t xml:space="preserve"> ip access-group IPV4_EGRESS_FILTER in</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IPV4_EGRESS_FILTER</t>
    </r>
    <r>
      <rPr>
        <sz val="11"/>
        <color rgb="FF000000"/>
        <rFont val="Calibri"/>
      </rPr>
      <t xml:space="preserve">
</t>
    </r>
    <r>
      <rPr>
        <sz val="11"/>
        <color rgb="FF000000"/>
        <rFont val="Calibri"/>
      </rPr>
      <t>remark only this 6to4 router can tunnel IPv6 traffic</t>
    </r>
    <r>
      <rPr>
        <sz val="11"/>
        <color rgb="FF000000"/>
        <rFont val="Calibri"/>
      </rPr>
      <t xml:space="preserve">
</t>
    </r>
    <r>
      <rPr>
        <sz val="11"/>
        <color rgb="FF000000"/>
        <rFont val="Calibri"/>
      </rPr>
      <t>deny  41 any any log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Note: normally you would want to configure the internal interface for a 6to4 router as dual stack. However IPv6 only is possible and if configured as such, having an IPv4 ACL is irrelevant since the interface will not accept any IPv4 packets.</t>
    </r>
  </si>
  <si>
    <t>V-30736</t>
  </si>
  <si>
    <r>
      <rPr>
        <sz val="11"/>
        <rFont val="Calibri"/>
      </rPr>
      <t>The administrator must ensure the 6-to-4 router is configured to drop any outbound IPv6 packets from the internal network with a source address that is not within the 6to4 prefix 2002:V4ADDR::/48 where V4ADDR is the designated IPv4 6to4 address for the enclave.</t>
    </r>
  </si>
  <si>
    <r>
      <rPr>
        <sz val="11"/>
        <color rgb="FF000000"/>
        <rFont val="Calibri"/>
      </rPr>
      <t>If the router is functioning as a 6to4 router, configure an egress filter (inbound on the internal-facing interface) to drop any outbound IPv6 packets from the internal network with a source address that is not within the 6to4 prefix 2002:V4ADDR::/48 where V4ADDR is the designated IPv4 6to4 address for the enclave.</t>
    </r>
  </si>
  <si>
    <r>
      <rPr>
        <sz val="11"/>
        <color rgb="FF000000"/>
        <rFont val="Calibri"/>
      </rPr>
      <t>An automatic 6to4 tunnel allows isolated IPv6 domains to be connected over an IPv4 network and allows connections to remote IPv6 networks. The key difference between this deployment and manually configured tunnels is that the routers are not configured in pairs and thus do not require manual configuration because they treat the IPv4 infrastructure as a virtual non-broadcast link, using an IPv4 address embedded in the IPv6 address to find the remote end of the tunnel. In other words, the tunnel destination is determined by the IPv4 address of the external interface of the 6to4 router that is concatenated to the 2002::/16 prefix in the format 2002: V4ADDR::/48.  Hence, the imbedded V4ADDR of the 6to4 prefix must belong to the same ipv4 prefix as configured on the external-facing interface of the 6to4 router.</t>
    </r>
  </si>
  <si>
    <r>
      <rPr>
        <sz val="11"/>
        <color rgb="FF000000"/>
        <rFont val="Calibri"/>
      </rPr>
      <t>If the router is functioning as a 6to4 router, verify that an egress filter (inbound on the internal-facing interface) has been configured to drop any outbound IPv6 packets from the internal network with a source address that is not within the 6to4 prefix 2002:V4ADDR::/48 where V4ADDR is the designated IPv4 6to4 address for the enclave.</t>
    </r>
    <r>
      <rPr>
        <sz val="11"/>
        <color rgb="FF000000"/>
        <rFont val="Calibri"/>
      </rPr>
      <t xml:space="preserve">
</t>
    </r>
    <r>
      <rPr>
        <sz val="11"/>
        <color rgb="FF000000"/>
        <rFont val="Calibri"/>
      </rPr>
      <t>The examples below are using 2002:c612:1::/48 where c612:1 maps to 198.18.0.1 which is the imbedded V4ADDR. The subnet in this example is 2002:c612:1:1::/64. The IPV6 ACL will filter the source address of the IPv6 packets before they are forwarded to the 6to4 tunnel.</t>
    </r>
    <r>
      <rPr>
        <sz val="11"/>
        <color rgb="FF000000"/>
        <rFont val="Calibri"/>
      </rPr>
      <t xml:space="preserve">
</t>
    </r>
    <r>
      <rPr>
        <sz val="11"/>
        <color rgb="FF000000"/>
        <rFont val="Calibri"/>
      </rPr>
      <t>ipv6 general-prefix 6TO4_PREFIX 6to4 FastEthernet0/1</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Tunnel0</t>
    </r>
    <r>
      <rPr>
        <sz val="11"/>
        <color rgb="FF000000"/>
        <rFont val="Calibri"/>
      </rPr>
      <t xml:space="preserve">
</t>
    </r>
    <r>
      <rPr>
        <sz val="11"/>
        <color rgb="FF000000"/>
        <rFont val="Calibri"/>
      </rPr>
      <t xml:space="preserve"> ipv6 address 2000:c0a8:6301::1/64 </t>
    </r>
    <r>
      <rPr>
        <sz val="11"/>
        <color rgb="FF000000"/>
        <rFont val="Calibri"/>
      </rPr>
      <t xml:space="preserve">
</t>
    </r>
    <r>
      <rPr>
        <sz val="11"/>
        <color rgb="FF000000"/>
        <rFont val="Calibri"/>
      </rPr>
      <t xml:space="preserve"> tunnel source FastEthernet0/0</t>
    </r>
    <r>
      <rPr>
        <sz val="11"/>
        <color rgb="FF000000"/>
        <rFont val="Calibri"/>
      </rPr>
      <t xml:space="preserve">
</t>
    </r>
    <r>
      <rPr>
        <sz val="11"/>
        <color rgb="FF000000"/>
        <rFont val="Calibri"/>
      </rPr>
      <t xml:space="preserve"> tunnel mode ipv6ip 6to4</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 xml:space="preserve"> ip address 10.1.12.1 255.255.255.0</t>
    </r>
    <r>
      <rPr>
        <sz val="11"/>
        <color rgb="FF000000"/>
        <rFont val="Calibri"/>
      </rPr>
      <t xml:space="preserve">
</t>
    </r>
    <r>
      <rPr>
        <sz val="11"/>
        <color rgb="FF000000"/>
        <rFont val="Calibri"/>
      </rPr>
      <t xml:space="preserve"> ipv6 address 6TO4_PREFIX ::1:0:0:0:1/64</t>
    </r>
    <r>
      <rPr>
        <sz val="11"/>
        <color rgb="FF000000"/>
        <rFont val="Calibri"/>
      </rPr>
      <t xml:space="preserve">
</t>
    </r>
    <r>
      <rPr>
        <sz val="11"/>
        <color rgb="FF000000"/>
        <rFont val="Calibri"/>
      </rPr>
      <t xml:space="preserve"> ipv6 traffic-filter IPV6_EGRESS_FILTER in</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FastEthernet0/1</t>
    </r>
    <r>
      <rPr>
        <sz val="11"/>
        <color rgb="FF000000"/>
        <rFont val="Calibri"/>
      </rPr>
      <t xml:space="preserve">
</t>
    </r>
    <r>
      <rPr>
        <sz val="11"/>
        <color rgb="FF000000"/>
        <rFont val="Calibri"/>
      </rPr>
      <t xml:space="preserve"> description DISN CORE facing </t>
    </r>
    <r>
      <rPr>
        <sz val="11"/>
        <color rgb="FF000000"/>
        <rFont val="Calibri"/>
      </rPr>
      <t xml:space="preserve">
</t>
    </r>
    <r>
      <rPr>
        <sz val="11"/>
        <color rgb="FF000000"/>
        <rFont val="Calibri"/>
      </rPr>
      <t xml:space="preserve"> ip address 198.18.0.1 255.255.255.0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ipv6 route 2002::/16 Tunnel0</t>
    </r>
    <r>
      <rPr>
        <sz val="11"/>
        <color rgb="FF000000"/>
        <rFont val="Calibri"/>
      </rPr>
      <t xml:space="preserve">
</t>
    </r>
    <r>
      <rPr>
        <sz val="11"/>
        <color rgb="FF000000"/>
        <rFont val="Calibri"/>
      </rPr>
      <t>!</t>
    </r>
    <r>
      <rPr>
        <sz val="11"/>
        <color rgb="FF000000"/>
        <rFont val="Calibri"/>
      </rPr>
      <t xml:space="preserve">
</t>
    </r>
    <r>
      <rPr>
        <sz val="11"/>
        <color rgb="FF000000"/>
        <rFont val="Calibri"/>
      </rPr>
      <t>ipv6 access-list IPV6_EGRESS_FILTER</t>
    </r>
    <r>
      <rPr>
        <sz val="11"/>
        <color rgb="FF000000"/>
        <rFont val="Calibri"/>
      </rPr>
      <t xml:space="preserve">
</t>
    </r>
    <r>
      <rPr>
        <sz val="11"/>
        <color rgb="FF000000"/>
        <rFont val="Calibri"/>
      </rPr>
      <t>permit ipv6 2002:C612:1::/48 any</t>
    </r>
    <r>
      <rPr>
        <sz val="11"/>
        <color rgb="FF000000"/>
        <rFont val="Calibri"/>
      </rPr>
      <t xml:space="preserve">
</t>
    </r>
    <r>
      <rPr>
        <sz val="11"/>
        <color rgb="FF000000"/>
        <rFont val="Calibri"/>
      </rPr>
      <t>deny ipv6 any any log</t>
    </r>
    <r>
      <rPr>
        <sz val="11"/>
        <color rgb="FF000000"/>
        <rFont val="Calibri"/>
      </rPr>
      <t xml:space="preserve">
</t>
    </r>
    <r>
      <rPr>
        <sz val="11"/>
        <color rgb="FF000000"/>
        <rFont val="Calibri"/>
      </rPr>
      <t>Note: normally  you would want to configure the internal interface dual stack, allthough IPv6 only is possible.</t>
    </r>
  </si>
  <si>
    <t>V-30744</t>
  </si>
  <si>
    <r>
      <rPr>
        <sz val="11"/>
        <rFont val="Calibri"/>
      </rPr>
      <t>The administrator must ensure the that all L2TPv3 sessions are authenticated prior to transporting traffic.</t>
    </r>
  </si>
  <si>
    <r>
      <rPr>
        <sz val="11"/>
        <color rgb="FF000000"/>
        <rFont val="Calibri"/>
      </rPr>
      <t>Configure L2TPv3 to use authentication for any peering sessions.</t>
    </r>
  </si>
  <si>
    <r>
      <rPr>
        <sz val="11"/>
        <color rgb="FF000000"/>
        <rFont val="Calibri"/>
      </rPr>
      <t>L2TPv3 sessions can be used to transport layer-2 protocols across an IP backbone. These protocols were intended for link-local scope only and are therefore less defended and not as well-known. As stated in DoD IPv6 IA Guidance for MO3 (S4-C7-1), the L2TP tunnels can also carry IP packets that are very difficult to filter because of the additional encapsulation. Hence, it is imperative that L2TP sessions are authenticated prior to transporting traffic.</t>
    </r>
  </si>
  <si>
    <r>
      <rPr>
        <sz val="11"/>
        <color rgb="FF000000"/>
        <rFont val="Calibri"/>
      </rPr>
      <t>Review the router or multi-layer switch configuration and determine if L2TPv3 has been configured to provide transport across an IP network. If it has been configured, verify that the L2TPv3 session requires authentication.</t>
    </r>
    <r>
      <rPr>
        <sz val="11"/>
        <color rgb="FF000000"/>
        <rFont val="Calibri"/>
      </rPr>
      <t xml:space="preserve">
</t>
    </r>
    <r>
      <rPr>
        <sz val="11"/>
        <color rgb="FF000000"/>
        <rFont val="Calibri"/>
      </rPr>
      <t>Step 1: Determine if an L2TPv3 pseudowire is configured on an interface which will look similar to the following configuration:</t>
    </r>
    <r>
      <rPr>
        <sz val="11"/>
        <color rgb="FF000000"/>
        <rFont val="Calibri"/>
      </rPr>
      <t xml:space="preserve">
</t>
    </r>
    <r>
      <rPr>
        <sz val="11"/>
        <color rgb="FF000000"/>
        <rFont val="Calibri"/>
      </rPr>
      <t>pseudowire-class L2TPV3</t>
    </r>
    <r>
      <rPr>
        <sz val="11"/>
        <color rgb="FF000000"/>
        <rFont val="Calibri"/>
      </rPr>
      <t xml:space="preserve">
</t>
    </r>
    <r>
      <rPr>
        <sz val="11"/>
        <color rgb="FF000000"/>
        <rFont val="Calibri"/>
      </rPr>
      <t>encapsulation l2tpv3</t>
    </r>
    <r>
      <rPr>
        <sz val="11"/>
        <color rgb="FF000000"/>
        <rFont val="Calibri"/>
      </rPr>
      <t xml:space="preserve">
</t>
    </r>
    <r>
      <rPr>
        <sz val="11"/>
        <color rgb="FF000000"/>
        <rFont val="Calibri"/>
      </rPr>
      <t>ip local interface Loopback0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ip address 1.1.1.1 255.255.255.255</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xconnect 5.5.5.5  1 encapsulation l2tpv3 pw-class L2TPV3</t>
    </r>
    <r>
      <rPr>
        <sz val="11"/>
        <color rgb="FF000000"/>
        <rFont val="Calibri"/>
      </rPr>
      <t xml:space="preserve">
</t>
    </r>
    <r>
      <rPr>
        <sz val="11"/>
        <color rgb="FF000000"/>
        <rFont val="Calibri"/>
      </rPr>
      <t>If you do not see a configuration similar to the one above, then this vulnerability is not applicable. Otherwise, proceed to step 2.</t>
    </r>
    <r>
      <rPr>
        <sz val="11"/>
        <color rgb="FF000000"/>
        <rFont val="Calibri"/>
      </rPr>
      <t xml:space="preserve">
</t>
    </r>
    <r>
      <rPr>
        <sz val="11"/>
        <color rgb="FF000000"/>
        <rFont val="Calibri"/>
      </rPr>
      <t>Step2: Verify that the l2tp-class global command has been configured with authentication as shown in the following example.</t>
    </r>
    <r>
      <rPr>
        <sz val="11"/>
        <color rgb="FF000000"/>
        <rFont val="Calibri"/>
      </rPr>
      <t xml:space="preserve">
</t>
    </r>
    <r>
      <rPr>
        <sz val="11"/>
        <color rgb="FF000000"/>
        <rFont val="Calibri"/>
      </rPr>
      <t>l2tp-class L2TP_CLASS</t>
    </r>
    <r>
      <rPr>
        <sz val="11"/>
        <color rgb="FF000000"/>
        <rFont val="Calibri"/>
      </rPr>
      <t xml:space="preserve">
</t>
    </r>
    <r>
      <rPr>
        <sz val="11"/>
        <color rgb="FF000000"/>
        <rFont val="Calibri"/>
      </rPr>
      <t xml:space="preserve"> authentication</t>
    </r>
    <r>
      <rPr>
        <sz val="11"/>
        <color rgb="FF000000"/>
        <rFont val="Calibri"/>
      </rPr>
      <t xml:space="preserve">
</t>
    </r>
    <r>
      <rPr>
        <sz val="11"/>
        <color rgb="FF000000"/>
        <rFont val="Calibri"/>
      </rPr>
      <t xml:space="preserve"> password 7 011E1F145A1815182E5E4A</t>
    </r>
    <r>
      <rPr>
        <sz val="11"/>
        <color rgb="FF000000"/>
        <rFont val="Calibri"/>
      </rPr>
      <t xml:space="preserve">
</t>
    </r>
    <r>
      <rPr>
        <sz val="11"/>
        <color rgb="FF000000"/>
        <rFont val="Calibri"/>
      </rPr>
      <t>Note: If a password is not configured in the l2tp-class command the password associated with the remote peer router is taken from the value entered with the global username hostname password value.</t>
    </r>
    <r>
      <rPr>
        <sz val="11"/>
        <color rgb="FF000000"/>
        <rFont val="Calibri"/>
      </rPr>
      <t xml:space="preserve">
</t>
    </r>
    <r>
      <rPr>
        <sz val="11"/>
        <color rgb="FF000000"/>
        <rFont val="Calibri"/>
      </rPr>
      <t>Note: Layer 2 Forwarding or L2F (RFC2341), which is the "version 1",  and L2TPv2 (RFC 2661) are used for remote access services based on the Virtual Private Dial-up Network (VPDN) model—not for tunneling IP packets across a backbone as with L2TPv3. With the VPDN model, a user obtains a layer-2 connection to a RAS using dialup PSTN or ISDN service and then establishes a PPP session over that connection. The L2 termination and PPP session endpoints reside on the RAS. L2TP extends the PPP model by allowing the L2 and PPP endpoints to reside on different devices that are interconnected by a backbone network. A remote access client has an L2 connection to an L2TP Access Concentrator (LAC) that tunnels PPP frames across the IP backbone to the L2TP Network Server (LNS) residing in the private network.</t>
    </r>
  </si>
  <si>
    <t>V-31285</t>
  </si>
  <si>
    <r>
      <rPr>
        <sz val="11"/>
        <rFont val="Calibri"/>
      </rPr>
      <t>The network element must authenticate all BGP peers within the same or between autonomous systems (AS).</t>
    </r>
  </si>
  <si>
    <r>
      <rPr>
        <sz val="11"/>
        <color rgb="FF000000"/>
        <rFont val="Calibri"/>
      </rPr>
      <t>Configure the device to authenticate all BGP peers.</t>
    </r>
  </si>
  <si>
    <r>
      <rPr>
        <sz val="11"/>
        <color rgb="FF000000"/>
        <rFont val="Calibri"/>
      </rPr>
      <t>As specified in RFC 793, TCP utilizes sequence checking to ensure proper ordering of received packets. RFC 793 also specifies that RST (reset) control flags should be processed immediately, without waiting for out of sequence packets to arrive. RFC 793 also requires that sequence numbers are checked against the window size before accepting data or control flags as valid. A router receiving an RST segment will close the TCP session with the BGP peer that is being spoofed; thereby, purging all routes learned from that BGP neighbor. A RST segment is valid as long as the sequence number is within the window. The TCP reset attack is made possible due to the requirements that Reset flags should be processed immediately and that a TCP endpoint must accept out of order packets that are within the range of a window size. This reduces the number of sequence number guesses the attack must make by a factor equivalent to the active window size. Each sequence number guess made by the attacker can be simply incremented by the receiving connections window size. The BGP peering session can protect itself against such an attack by authenticating each TCP segment. The TCP header options include an MD5 signature in every packet and are checked prior to the acceptance and processing of any TCP packet—including RST flags.</t>
    </r>
    <r>
      <rPr>
        <sz val="11"/>
        <color rgb="FF000000"/>
        <rFont val="Calibri"/>
      </rPr>
      <t xml:space="preserve">
</t>
    </r>
    <r>
      <rPr>
        <sz val="11"/>
        <color rgb="FF000000"/>
        <rFont val="Calibri"/>
      </rPr>
      <t>One way to create havoc in a network is to advertise bogus routes to a network. A rogue router could send a fictitious routing update to convince a BGP router to send traffic to an incorrect or rogue destination. This diverted traffic could be analyzed to learn confidential information of the site’s network, or merely used to disrupt the network’s ability to effectively communicate with other networks. An autonomous system can advertise incorrect information by sending BGP updates messages to routers in a neighboring AS. A malicious AS can advertise a prefix originated from another AS and claim that it is the originator (prefix hijacking). Neighboring autonomous systems receiving this announcement will believe that the malicious AS is the prefix owner and route packets to it.</t>
    </r>
  </si>
  <si>
    <r>
      <rPr>
        <sz val="11"/>
        <color rgb="FF000000"/>
        <rFont val="Calibri"/>
      </rPr>
      <t>Review the router configuration to determine if authentication is being used for all peers. A password should be defined for each BGP neighbor regardless of the autonomous system the peer belongs as shown in the following example:</t>
    </r>
    <r>
      <rPr>
        <sz val="11"/>
        <color rgb="FF000000"/>
        <rFont val="Calibri"/>
      </rPr>
      <t xml:space="preserve">
</t>
    </r>
    <r>
      <rPr>
        <sz val="11"/>
        <color rgb="FF000000"/>
        <rFont val="Calibri"/>
      </rPr>
      <t>outer bgp 100</t>
    </r>
    <r>
      <rPr>
        <sz val="11"/>
        <color rgb="FF000000"/>
        <rFont val="Calibri"/>
      </rPr>
      <t xml:space="preserve">
</t>
    </r>
    <r>
      <rPr>
        <sz val="11"/>
        <color rgb="FF000000"/>
        <rFont val="Calibri"/>
      </rPr>
      <t>neighbor external-peers peer-group</t>
    </r>
    <r>
      <rPr>
        <sz val="11"/>
        <color rgb="FF000000"/>
        <rFont val="Calibri"/>
      </rPr>
      <t xml:space="preserve">
</t>
    </r>
    <r>
      <rPr>
        <sz val="11"/>
        <color rgb="FF000000"/>
        <rFont val="Calibri"/>
      </rPr>
      <t>neighbor 171.69.232.90 remote-as 200</t>
    </r>
    <r>
      <rPr>
        <sz val="11"/>
        <color rgb="FF000000"/>
        <rFont val="Calibri"/>
      </rPr>
      <t xml:space="preserve">
</t>
    </r>
    <r>
      <rPr>
        <sz val="11"/>
        <color rgb="FF000000"/>
        <rFont val="Calibri"/>
      </rPr>
      <t>neighbor 171.69.232.90 peer-group external-peers</t>
    </r>
    <r>
      <rPr>
        <sz val="11"/>
        <color rgb="FF000000"/>
        <rFont val="Calibri"/>
      </rPr>
      <t xml:space="preserve">
</t>
    </r>
    <r>
      <rPr>
        <sz val="11"/>
        <color rgb="FF000000"/>
        <rFont val="Calibri"/>
      </rPr>
      <t>neighbor 171.69.232.100 remote-as 300</t>
    </r>
    <r>
      <rPr>
        <sz val="11"/>
        <color rgb="FF000000"/>
        <rFont val="Calibri"/>
      </rPr>
      <t xml:space="preserve">
</t>
    </r>
    <r>
      <rPr>
        <sz val="11"/>
        <color rgb="FF000000"/>
        <rFont val="Calibri"/>
      </rPr>
      <t>neighbor 171.69.232.100 peer-group external-peers</t>
    </r>
    <r>
      <rPr>
        <sz val="11"/>
        <color rgb="FF000000"/>
        <rFont val="Calibri"/>
      </rPr>
      <t xml:space="preserve">
</t>
    </r>
    <r>
      <rPr>
        <sz val="11"/>
        <color rgb="FF000000"/>
        <rFont val="Calibri"/>
      </rPr>
      <t>neighbor 171.69.232.90 password xxxxxxxxxx</t>
    </r>
    <r>
      <rPr>
        <sz val="11"/>
        <color rgb="FF000000"/>
        <rFont val="Calibri"/>
      </rPr>
      <t xml:space="preserve">
</t>
    </r>
    <r>
      <rPr>
        <sz val="11"/>
        <color rgb="FF000000"/>
        <rFont val="Calibri"/>
      </rPr>
      <t>neighbor 171.69.232.100 password xxxxxxxxxx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</si>
  <si>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</si>
  <si>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</si>
  <si>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</si>
  <si>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</si>
  <si>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</si>
  <si>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</si>
  <si>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</si>
  <si>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</si>
  <si>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</si>
  <si>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</si>
  <si>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</si>
  <si>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</si>
  <si>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</si>
  <si>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</si>
  <si>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</si>
  <si>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</si>
  <si>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</si>
  <si>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</si>
  <si>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</si>
  <si>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</si>
  <si>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</si>
  <si>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</si>
  <si>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</si>
  <si>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</si>
  <si>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</si>
  <si>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</si>
  <si>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</si>
  <si>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</si>
  <si>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</si>
  <si>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Infrastructure L3 Switch Secure Technical Implementation Guide - Cisco V8R29</t>
  </si>
  <si>
    <t>Developed By:</t>
  </si>
  <si>
    <t>Defense Information Systems Agency (DISA) for the US DoD</t>
  </si>
  <si>
    <t>Release Information:</t>
  </si>
  <si>
    <r>
      <rPr>
        <b/>
        <sz val="11"/>
        <color rgb="FF000000"/>
        <rFont val="Calibri"/>
      </rPr>
      <t>Version:</t>
    </r>
    <r>
      <rPr>
        <sz val="11"/>
        <color rgb="FF000000"/>
        <rFont val="Calibri"/>
      </rPr>
      <t xml:space="preserve"> V8R29    </t>
    </r>
    <r>
      <rPr>
        <b/>
        <sz val="11"/>
        <color rgb="FF000000"/>
        <rFont val="Calibri"/>
      </rPr>
      <t>Date:</t>
    </r>
    <r>
      <rPr>
        <sz val="11"/>
        <color rgb="FF000000"/>
        <rFont val="Calibri"/>
      </rPr>
      <t xml:space="preserve"> 25 January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110</t>
    </r>
  </si>
  <si>
    <t>Download Url:</t>
  </si>
  <si>
    <t>https://www.cyber.mil/stigs</t>
  </si>
  <si>
    <t>Guide Overview:</t>
  </si>
  <si>
    <r>
      <rPr>
        <sz val="11"/>
        <color rgb="FF000000"/>
        <rFont val="Calibri"/>
      </rPr>
      <t>The Infrastructure Router and L3 Switch Security Technical Implementation Guides (STIGs) are published as a tool to improve the security of Department of Defense (DoD) information systems. This document is meant for use in conjunction with the Enclave, Network Infrastructure, Secure Remote Computing, and appropriate operating system (OS) STIGs.</t>
    </r>
    <r>
      <rPr>
        <sz val="11"/>
        <color rgb="FF000000"/>
        <rFont val="Calibri"/>
      </rPr>
      <t xml:space="preserve">
</t>
    </r>
    <r>
      <rPr>
        <sz val="11"/>
        <color rgb="FF000000"/>
        <rFont val="Calibri"/>
      </rPr>
      <t>The Infrastructure Router and L3 Switch STIGs are written to address pre-JIE (Joint Information Environment) architectures/enclaves. While some of the requirements will carry over into guidance directly addressing JIE architecture, there may be differences between pre-JIE and JIE requirements due to the differences in scope and surrounding infrastructure; therefore the Infrastructure Router and L3 Switch STIGs do not apply to JIE or Joint Regional Security Stack (JRSS) environments. JIE-specific STIGs are being developed for devices and architectures used in the JIE framework.</t>
    </r>
  </si>
  <si>
    <t>Components:</t>
  </si>
  <si>
    <t>L3 Switch Secure Technical Implementation Guide - Cisco</t>
  </si>
  <si>
    <r>
      <rPr>
        <i/>
        <sz val="11"/>
        <color rgb="FF000000"/>
        <rFont val="Calibri"/>
      </rPr>
      <t>Title:</t>
    </r>
    <r>
      <rPr>
        <sz val="11"/>
        <color rgb="FF000000"/>
        <rFont val="Calibri"/>
      </rPr>
      <t xml:space="preserve"> Infrastructure L3 Switch Secure Technical Implementation Guide - Cisco</t>
    </r>
    <r>
      <rPr>
        <sz val="11"/>
        <color rgb="FF000000"/>
        <rFont val="Calibri"/>
      </rPr>
      <t xml:space="preserve">
</t>
    </r>
    <r>
      <rPr>
        <i/>
        <sz val="11"/>
        <color rgb="FF000000"/>
        <rFont val="Calibri"/>
      </rPr>
      <t>Version:</t>
    </r>
    <r>
      <rPr>
        <sz val="11"/>
        <color rgb="FF000000"/>
        <rFont val="Calibri"/>
      </rPr>
      <t xml:space="preserve"> V8R29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107</t>
    </r>
  </si>
  <si>
    <t>L3 Switch</t>
  </si>
  <si>
    <r>
      <rPr>
        <i/>
        <sz val="11"/>
        <color rgb="FF000000"/>
        <rFont val="Calibri"/>
      </rPr>
      <t>Title:</t>
    </r>
    <r>
      <rPr>
        <sz val="11"/>
        <color rgb="FF000000"/>
        <rFont val="Calibri"/>
      </rPr>
      <t xml:space="preserve"> Infrastructure L3 Switch Security Technical Implementation Guide</t>
    </r>
    <r>
      <rPr>
        <sz val="11"/>
        <color rgb="FF000000"/>
        <rFont val="Calibri"/>
      </rPr>
      <t xml:space="preserve">
</t>
    </r>
    <r>
      <rPr>
        <i/>
        <sz val="11"/>
        <color rgb="FF000000"/>
        <rFont val="Calibri"/>
      </rPr>
      <t>Version:</t>
    </r>
    <r>
      <rPr>
        <sz val="11"/>
        <color rgb="FF000000"/>
        <rFont val="Calibri"/>
      </rPr>
      <t xml:space="preserve"> V8R29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97</t>
    </r>
  </si>
  <si>
    <t>Router Security Technical Implementation Guide Cisco</t>
  </si>
  <si>
    <r>
      <rPr>
        <i/>
        <sz val="11"/>
        <color rgb="FF000000"/>
        <rFont val="Calibri"/>
      </rPr>
      <t>Title:</t>
    </r>
    <r>
      <rPr>
        <sz val="11"/>
        <color rgb="FF000000"/>
        <rFont val="Calibri"/>
      </rPr>
      <t xml:space="preserve"> Infrastructure Router Security Technical Implementation Guide  Cisco</t>
    </r>
    <r>
      <rPr>
        <sz val="11"/>
        <color rgb="FF000000"/>
        <rFont val="Calibri"/>
      </rPr>
      <t xml:space="preserve">
</t>
    </r>
    <r>
      <rPr>
        <i/>
        <sz val="11"/>
        <color rgb="FF000000"/>
        <rFont val="Calibri"/>
      </rPr>
      <t>Version:</t>
    </r>
    <r>
      <rPr>
        <sz val="11"/>
        <color rgb="FF000000"/>
        <rFont val="Calibri"/>
      </rPr>
      <t xml:space="preserve"> V8R29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88</t>
    </r>
  </si>
  <si>
    <r>
      <rPr>
        <i/>
        <sz val="11"/>
        <color rgb="FF000000"/>
        <rFont val="Calibri"/>
      </rPr>
      <t>Title:</t>
    </r>
    <r>
      <rPr>
        <sz val="11"/>
        <color rgb="FF000000"/>
        <rFont val="Calibri"/>
      </rPr>
      <t xml:space="preserve"> Infrastructure Router Security Technical Implementation Guide  Juniper</t>
    </r>
    <r>
      <rPr>
        <sz val="11"/>
        <color rgb="FF000000"/>
        <rFont val="Calibri"/>
      </rPr>
      <t xml:space="preserve">
</t>
    </r>
    <r>
      <rPr>
        <i/>
        <sz val="11"/>
        <color rgb="FF000000"/>
        <rFont val="Calibri"/>
      </rPr>
      <t>Version:</t>
    </r>
    <r>
      <rPr>
        <sz val="11"/>
        <color rgb="FF000000"/>
        <rFont val="Calibri"/>
      </rPr>
      <t xml:space="preserve"> V8R29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79</t>
    </r>
  </si>
  <si>
    <t>Router</t>
  </si>
  <si>
    <r>
      <rPr>
        <i/>
        <sz val="11"/>
        <color rgb="FF000000"/>
        <rFont val="Calibri"/>
      </rPr>
      <t>Title:</t>
    </r>
    <r>
      <rPr>
        <sz val="11"/>
        <color rgb="FF000000"/>
        <rFont val="Calibri"/>
      </rPr>
      <t xml:space="preserve"> Infrastructure Router Security Technical Implementation Guide</t>
    </r>
    <r>
      <rPr>
        <sz val="11"/>
        <color rgb="FF000000"/>
        <rFont val="Calibri"/>
      </rPr>
      <t xml:space="preserve">
</t>
    </r>
    <r>
      <rPr>
        <i/>
        <sz val="11"/>
        <color rgb="FF000000"/>
        <rFont val="Calibri"/>
      </rPr>
      <t>Version:</t>
    </r>
    <r>
      <rPr>
        <sz val="11"/>
        <color rgb="FF000000"/>
        <rFont val="Calibri"/>
      </rPr>
      <t xml:space="preserve"> V8R29     </t>
    </r>
    <r>
      <rPr>
        <i/>
        <sz val="11"/>
        <color rgb="FF000000"/>
        <rFont val="Calibri"/>
      </rPr>
      <t>Date:</t>
    </r>
    <r>
      <rPr>
        <sz val="11"/>
        <color rgb="FF000000"/>
        <rFont val="Calibri"/>
      </rPr>
      <t xml:space="preserve"> 25 January 2019     </t>
    </r>
    <r>
      <rPr>
        <i/>
        <sz val="11"/>
        <color rgb="FF000000"/>
        <rFont val="Calibri"/>
      </rPr>
      <t>Recommendation Count:</t>
    </r>
    <r>
      <rPr>
        <sz val="11"/>
        <color rgb="FF000000"/>
        <rFont val="Calibri"/>
      </rPr>
      <t xml:space="preserve"> 78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</si>
  <si>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</si>
  <si>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</si>
  <si>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</si>
  <si>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</si>
  <si>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</si>
  <si>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</si>
  <si>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</si>
  <si>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</si>
  <si>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</si>
  <si>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</si>
  <si>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</si>
  <si>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</si>
  <si>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</si>
  <si>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</si>
  <si>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</si>
  <si>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</si>
  <si>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</si>
  <si>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</si>
  <si>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</si>
  <si>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</si>
  <si>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</si>
  <si>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</si>
  <si>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</si>
  <si>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</si>
  <si>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</si>
  <si>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</si>
  <si>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</si>
  <si>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</si>
  <si>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</si>
  <si>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</si>
  <si>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</si>
  <si>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</si>
  <si>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</si>
  <si>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</si>
  <si>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</si>
  <si>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</si>
  <si>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</si>
  <si>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</si>
  <si>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</si>
  <si>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</si>
  <si>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</si>
  <si>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</si>
  <si>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</si>
  <si>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</si>
  <si>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</si>
  <si>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</si>
  <si>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</si>
  <si>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Infrastructure L3 Switch Secure Technical Implementation Guide - Cisco V8R29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</si>
  <si>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</si>
  <si>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</si>
  <si>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</si>
  <si>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</si>
  <si>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</si>
  <si>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</si>
  <si>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</si>
  <si>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</si>
  <si>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</si>
  <si>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</si>
  <si>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</si>
  <si>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</si>
  <si>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</si>
  <si>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</si>
  <si>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</si>
  <si>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</si>
  <si>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</si>
  <si>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</si>
  <si>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</si>
  <si>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</si>
  <si>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</si>
  <si>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</si>
  <si>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</si>
  <si>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</si>
  <si>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</si>
  <si>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</si>
  <si>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</si>
  <si>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</si>
  <si>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</si>
  <si>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</si>
  <si>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</si>
  <si>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</si>
  <si>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</si>
  <si>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</si>
  <si>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</si>
  <si>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</si>
  <si>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</si>
  <si>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</si>
  <si>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</si>
  <si>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</si>
  <si>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</si>
  <si>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</si>
  <si>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</si>
  <si>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</si>
  <si>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</si>
  <si>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</si>
  <si>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</si>
  <si>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(C92)</t>
  </si>
  <si>
    <t>% Must</t>
  </si>
  <si>
    <t>Should Count (C93)</t>
  </si>
  <si>
    <t>% Should</t>
  </si>
  <si>
    <t>Could Count (C94)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</si>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</sst>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F78-4AF4-B479-FF35D1D8F92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F78-4AF4-B479-FF35D1D8F92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110</c:v>
                </c:pt>
              </c:numCache>
            </c:numRef>
          </c:val>
          <c:extLst>
            <c:ext xmlns:c16="http://schemas.microsoft.com/office/drawing/2014/chart" uri="{C3380CC4-5D6E-409C-BE32-E72D297353CC}">
              <c16:uniqueId val="{00000002-2F78-4AF4-B479-FF35D1D8F92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L3 Switch Secure Technical Implementation Guide - Cisco; L3 Switch</c:v>
                </c:pt>
                <c:pt idx="1">
                  <c:v>L3 Switch Secure Technical Implementation Guide - Cisco; L3 Switch; Router Security Technical Implementation Guide Cisco; Router</c:v>
                </c:pt>
                <c:pt idx="2">
                  <c:v>L3 Switch Secure Technical Implementation Guide - Cisco; L3 Switch; Router Security Technical Implementation Guide Cisco; Router Security Technical Implementation Guide Juniper; Router</c:v>
                </c:pt>
                <c:pt idx="3">
                  <c:v>L3 Switch Secure Technical Implementation Guide - Cisco; Router Security Technical Implementation Guide Cisco</c:v>
                </c:pt>
                <c:pt idx="4">
                  <c:v>L3 Switch; Router Security Technical Implementation Guide Juniper; Router</c:v>
                </c:pt>
                <c:pt idx="5">
                  <c:v>Router Security Technical Implementation Guide Juniper</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DEF-47CF-BDE4-B198F121BA7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L3 Switch Secure Technical Implementation Guide - Cisco; L3 Switch</c:v>
                </c:pt>
                <c:pt idx="1">
                  <c:v>L3 Switch Secure Technical Implementation Guide - Cisco; L3 Switch; Router Security Technical Implementation Guide Cisco; Router</c:v>
                </c:pt>
                <c:pt idx="2">
                  <c:v>L3 Switch Secure Technical Implementation Guide - Cisco; L3 Switch; Router Security Technical Implementation Guide Cisco; Router Security Technical Implementation Guide Juniper; Router</c:v>
                </c:pt>
                <c:pt idx="3">
                  <c:v>L3 Switch Secure Technical Implementation Guide - Cisco; Router Security Technical Implementation Guide Cisco</c:v>
                </c:pt>
                <c:pt idx="4">
                  <c:v>L3 Switch; Router Security Technical Implementation Guide Juniper; Router</c:v>
                </c:pt>
                <c:pt idx="5">
                  <c:v>Router Security Technical Implementation Guide Juniper</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DEF-47CF-BDE4-B198F121BA7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L3 Switch Secure Technical Implementation Guide - Cisco; L3 Switch</c:v>
                </c:pt>
                <c:pt idx="1">
                  <c:v>L3 Switch Secure Technical Implementation Guide - Cisco; L3 Switch; Router Security Technical Implementation Guide Cisco; Router</c:v>
                </c:pt>
                <c:pt idx="2">
                  <c:v>L3 Switch Secure Technical Implementation Guide - Cisco; L3 Switch; Router Security Technical Implementation Guide Cisco; Router Security Technical Implementation Guide Juniper; Router</c:v>
                </c:pt>
                <c:pt idx="3">
                  <c:v>L3 Switch Secure Technical Implementation Guide - Cisco; Router Security Technical Implementation Guide Cisco</c:v>
                </c:pt>
                <c:pt idx="4">
                  <c:v>L3 Switch; Router Security Technical Implementation Guide Juniper; Router</c:v>
                </c:pt>
                <c:pt idx="5">
                  <c:v>Router Security Technical Implementation Guide Juniper</c:v>
                </c:pt>
              </c:strCache>
            </c:strRef>
          </c:cat>
          <c:val>
            <c:numRef>
              <c:f>Dashboard!$E$29:$E$34</c:f>
              <c:numCache>
                <c:formatCode>General</c:formatCode>
                <c:ptCount val="6"/>
                <c:pt idx="0">
                  <c:v>19</c:v>
                </c:pt>
                <c:pt idx="1">
                  <c:v>1</c:v>
                </c:pt>
                <c:pt idx="2">
                  <c:v>76</c:v>
                </c:pt>
                <c:pt idx="3">
                  <c:v>11</c:v>
                </c:pt>
                <c:pt idx="4">
                  <c:v>1</c:v>
                </c:pt>
                <c:pt idx="5">
                  <c:v>2</c:v>
                </c:pt>
              </c:numCache>
            </c:numRef>
          </c:val>
          <c:extLst>
            <c:ext xmlns:c16="http://schemas.microsoft.com/office/drawing/2014/chart" uri="{C3380CC4-5D6E-409C-BE32-E72D297353CC}">
              <c16:uniqueId val="{00000002-6DEF-47CF-BDE4-B198F121BA7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Dashboard!$C$52:$C$57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208-4C2D-997D-41CE6473672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Dashboard!$D$52:$D$57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208-4C2D-997D-41CE6473672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Dashboard!$E$52:$E$57</c:f>
              <c:numCache>
                <c:formatCode>General</c:formatCode>
                <c:ptCount val="6"/>
                <c:pt idx="0">
                  <c:v>0</c:v>
                </c:pt>
                <c:pt idx="1">
                  <c:v>0</c:v>
                </c:pt>
                <c:pt idx="2">
                  <c:v>0</c:v>
                </c:pt>
                <c:pt idx="3">
                  <c:v>0</c:v>
                </c:pt>
                <c:pt idx="4">
                  <c:v>0</c:v>
                </c:pt>
                <c:pt idx="5">
                  <c:v>110</c:v>
                </c:pt>
              </c:numCache>
            </c:numRef>
          </c:val>
          <c:extLst>
            <c:ext xmlns:c16="http://schemas.microsoft.com/office/drawing/2014/chart" uri="{C3380CC4-5D6E-409C-BE32-E72D297353CC}">
              <c16:uniqueId val="{00000002-D208-4C2D-997D-41CE6473672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Dashboard!$C$75:$C$77</c:f>
              <c:numCache>
                <c:formatCode>General</c:formatCode>
                <c:ptCount val="3"/>
                <c:pt idx="0">
                  <c:v>0</c:v>
                </c:pt>
                <c:pt idx="1">
                  <c:v>0</c:v>
                </c:pt>
                <c:pt idx="2">
                  <c:v>0</c:v>
                </c:pt>
              </c:numCache>
            </c:numRef>
          </c:val>
          <c:extLst>
            <c:ext xmlns:c16="http://schemas.microsoft.com/office/drawing/2014/chart" uri="{C3380CC4-5D6E-409C-BE32-E72D297353CC}">
              <c16:uniqueId val="{00000000-B877-4FEF-82B4-F74B5E2DFE6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Dashboard!$D$75:$D$77</c:f>
              <c:numCache>
                <c:formatCode>General</c:formatCode>
                <c:ptCount val="3"/>
                <c:pt idx="0">
                  <c:v>0</c:v>
                </c:pt>
                <c:pt idx="1">
                  <c:v>0</c:v>
                </c:pt>
                <c:pt idx="2">
                  <c:v>0</c:v>
                </c:pt>
              </c:numCache>
            </c:numRef>
          </c:val>
          <c:extLst>
            <c:ext xmlns:c16="http://schemas.microsoft.com/office/drawing/2014/chart" uri="{C3380CC4-5D6E-409C-BE32-E72D297353CC}">
              <c16:uniqueId val="{00000001-B877-4FEF-82B4-F74B5E2DFE6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Dashboard!$E$75:$E$77</c:f>
              <c:numCache>
                <c:formatCode>General</c:formatCode>
                <c:ptCount val="3"/>
                <c:pt idx="0">
                  <c:v>11</c:v>
                </c:pt>
                <c:pt idx="1">
                  <c:v>64</c:v>
                </c:pt>
                <c:pt idx="2">
                  <c:v>35</c:v>
                </c:pt>
              </c:numCache>
            </c:numRef>
          </c:val>
          <c:extLst>
            <c:ext xmlns:c16="http://schemas.microsoft.com/office/drawing/2014/chart" uri="{C3380CC4-5D6E-409C-BE32-E72D297353CC}">
              <c16:uniqueId val="{00000002-B877-4FEF-82B4-F74B5E2DFE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Dashboard!$C$92:$C$96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178-4FCA-B99F-72D75BA9B74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Dashboard!$D$92:$D$96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178-4FCA-B99F-72D75BA9B74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Dashboard!$E$92:$E$96</c:f>
              <c:numCache>
                <c:formatCode>General</c:formatCode>
                <c:ptCount val="5"/>
                <c:pt idx="0">
                  <c:v>0</c:v>
                </c:pt>
                <c:pt idx="1">
                  <c:v>0</c:v>
                </c:pt>
                <c:pt idx="2">
                  <c:v>0</c:v>
                </c:pt>
                <c:pt idx="3">
                  <c:v>0</c:v>
                </c:pt>
                <c:pt idx="4">
                  <c:v>110</c:v>
                </c:pt>
              </c:numCache>
            </c:numRef>
          </c:val>
          <c:extLst>
            <c:ext xmlns:c16="http://schemas.microsoft.com/office/drawing/2014/chart" uri="{C3380CC4-5D6E-409C-BE32-E72D297353CC}">
              <c16:uniqueId val="{00000002-7178-4FCA-B99F-72D75BA9B74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Dashboard!$C$113:$C$116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DB3-4060-AD50-C64CA31234D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Dashboard!$D$113:$D$116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DB3-4060-AD50-C64CA31234D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Dashboard!$E$113:$E$116</c:f>
              <c:numCache>
                <c:formatCode>General</c:formatCode>
                <c:ptCount val="4"/>
                <c:pt idx="0">
                  <c:v>0</c:v>
                </c:pt>
                <c:pt idx="1">
                  <c:v>0</c:v>
                </c:pt>
                <c:pt idx="2">
                  <c:v>0</c:v>
                </c:pt>
                <c:pt idx="3">
                  <c:v>110</c:v>
                </c:pt>
              </c:numCache>
            </c:numRef>
          </c:val>
          <c:extLst>
            <c:ext xmlns:c16="http://schemas.microsoft.com/office/drawing/2014/chart" uri="{C3380CC4-5D6E-409C-BE32-E72D297353CC}">
              <c16:uniqueId val="{00000002-CDB3-4060-AD50-C64CA31234D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Dashboard!$P$149:$P$178</c:f>
              <c:numCache>
                <c:formatCode>yyyy\-mm\-dd</c:formatCode>
                <c:ptCount val="30"/>
              </c:numCache>
            </c:numRef>
          </c:cat>
          <c:val>
            <c:numRef>
              <c:f>Dashboard!$R$149:$R$178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647-430E-910E-199CA6A05257}"/>
            </c:ext>
          </c:extLst>
        </c:ser>
        <c:ser>
          <c:idx val="1"/>
          <c:order val="1"/>
          <c:tx>
            <c:v>Must % Resolved</c:v>
          </c:tx>
          <c:spPr>
            <a:ln w="22225" cap="rnd">
              <a:solidFill>
                <a:schemeClr val="accent2"/>
              </a:solidFill>
              <a:round/>
            </a:ln>
            <a:effectLst/>
          </c:spPr>
          <c:marker>
            <c:symbol val="none"/>
          </c:marker>
          <c:cat>
            <c:numRef>
              <c:f>Dashboard!$P$149:$P$178</c:f>
              <c:numCache>
                <c:formatCode>yyyy\-mm\-dd</c:formatCode>
                <c:ptCount val="30"/>
              </c:numCache>
            </c:numRef>
          </c:cat>
          <c:val>
            <c:numRef>
              <c:f>Dashboard!$T$149:$T$178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647-430E-910E-199CA6A05257}"/>
            </c:ext>
          </c:extLst>
        </c:ser>
        <c:ser>
          <c:idx val="2"/>
          <c:order val="2"/>
          <c:tx>
            <c:v>Should % Resolved</c:v>
          </c:tx>
          <c:spPr>
            <a:ln w="22225" cap="rnd">
              <a:solidFill>
                <a:schemeClr val="accent3"/>
              </a:solidFill>
              <a:round/>
            </a:ln>
            <a:effectLst/>
          </c:spPr>
          <c:marker>
            <c:symbol val="none"/>
          </c:marker>
          <c:cat>
            <c:numRef>
              <c:f>Dashboard!$P$149:$P$178</c:f>
              <c:numCache>
                <c:formatCode>yyyy\-mm\-dd</c:formatCode>
                <c:ptCount val="30"/>
              </c:numCache>
            </c:numRef>
          </c:cat>
          <c:val>
            <c:numRef>
              <c:f>Dashboard!$V$149:$V$178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647-430E-910E-199CA6A05257}"/>
            </c:ext>
          </c:extLst>
        </c:ser>
        <c:ser>
          <c:idx val="3"/>
          <c:order val="3"/>
          <c:tx>
            <c:v>Could % Resolved</c:v>
          </c:tx>
          <c:spPr>
            <a:ln w="22225" cap="rnd">
              <a:solidFill>
                <a:schemeClr val="accent4"/>
              </a:solidFill>
              <a:round/>
            </a:ln>
            <a:effectLst/>
          </c:spPr>
          <c:marker>
            <c:symbol val="none"/>
          </c:marker>
          <c:cat>
            <c:numRef>
              <c:f>Dashboard!$P$149:$P$178</c:f>
              <c:numCache>
                <c:formatCode>yyyy\-mm\-dd</c:formatCode>
                <c:ptCount val="30"/>
              </c:numCache>
            </c:numRef>
          </c:cat>
          <c:val>
            <c:numRef>
              <c:f>Dashboard!$X$149:$X$178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647-430E-910E-199CA6A0525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Dashboard!$P$191:$P$210</c:f>
              <c:numCache>
                <c:formatCode>yyyy\-mm\-dd</c:formatCode>
                <c:ptCount val="20"/>
              </c:numCache>
            </c:numRef>
          </c:cat>
          <c:val>
            <c:numRef>
              <c:f>Dashboard!$R$191:$R$210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336-421C-8A84-DE6EAD867D6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15hy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zikku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49</xdr:row>
      <xdr:rowOff>95250</xdr:rowOff>
    </xdr:from>
    <xdr:to>
      <xdr:col>15</xdr:col>
      <xdr:colOff>28575</xdr:colOff>
      <xdr:row>66</xdr:row>
      <xdr:rowOff>0</xdr:rowOff>
    </xdr:to>
    <xdr:graphicFrame macro="">
      <xdr:nvGraphicFramePr>
        <xdr:cNvPr id="4" name="Chartj0er5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69</xdr:row>
      <xdr:rowOff>95250</xdr:rowOff>
    </xdr:from>
    <xdr:to>
      <xdr:col>15</xdr:col>
      <xdr:colOff>28575</xdr:colOff>
      <xdr:row>84</xdr:row>
      <xdr:rowOff>47625</xdr:rowOff>
    </xdr:to>
    <xdr:graphicFrame macro="">
      <xdr:nvGraphicFramePr>
        <xdr:cNvPr id="5" name="Chartqqigr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88</xdr:row>
      <xdr:rowOff>95250</xdr:rowOff>
    </xdr:from>
    <xdr:to>
      <xdr:col>15</xdr:col>
      <xdr:colOff>28575</xdr:colOff>
      <xdr:row>104</xdr:row>
      <xdr:rowOff>0</xdr:rowOff>
    </xdr:to>
    <xdr:graphicFrame macro="">
      <xdr:nvGraphicFramePr>
        <xdr:cNvPr id="6" name="Chart21250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107</xdr:row>
      <xdr:rowOff>95250</xdr:rowOff>
    </xdr:from>
    <xdr:to>
      <xdr:col>15</xdr:col>
      <xdr:colOff>28575</xdr:colOff>
      <xdr:row>122</xdr:row>
      <xdr:rowOff>142875</xdr:rowOff>
    </xdr:to>
    <xdr:graphicFrame macro="">
      <xdr:nvGraphicFramePr>
        <xdr:cNvPr id="7" name="Chartgdtxj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144</xdr:row>
      <xdr:rowOff>95250</xdr:rowOff>
    </xdr:from>
    <xdr:to>
      <xdr:col>14</xdr:col>
      <xdr:colOff>0</xdr:colOff>
      <xdr:row>167</xdr:row>
      <xdr:rowOff>38100</xdr:rowOff>
    </xdr:to>
    <xdr:graphicFrame macro="">
      <xdr:nvGraphicFramePr>
        <xdr:cNvPr id="8" name="Chart43eva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185</xdr:row>
      <xdr:rowOff>95250</xdr:rowOff>
    </xdr:from>
    <xdr:to>
      <xdr:col>14</xdr:col>
      <xdr:colOff>0</xdr:colOff>
      <xdr:row>203</xdr:row>
      <xdr:rowOff>123825</xdr:rowOff>
    </xdr:to>
    <xdr:graphicFrame macro="">
      <xdr:nvGraphicFramePr>
        <xdr:cNvPr id="9" name="Chartg5y3s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11">
  <autoFilter ref="A1:N11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576</v>
      </c>
    </row>
    <row r="3" spans="2:3" ht="15" customHeight="1" x14ac:dyDescent="0.35"/>
    <row r="4" spans="2:3" ht="58" x14ac:dyDescent="0.35">
      <c r="B4" s="20" t="s">
        <v>577</v>
      </c>
      <c r="C4" s="21" t="s">
        <v>578</v>
      </c>
    </row>
    <row r="5" spans="2:3" x14ac:dyDescent="0.35">
      <c r="C5" s="21" t="s">
        <v>579</v>
      </c>
    </row>
    <row r="6" spans="2:3" x14ac:dyDescent="0.35">
      <c r="C6" s="18" t="s">
        <v>580</v>
      </c>
    </row>
    <row r="7" spans="2:3" ht="10" customHeight="1" x14ac:dyDescent="0.35"/>
    <row r="8" spans="2:3" ht="232" x14ac:dyDescent="0.35">
      <c r="B8" s="22" t="s">
        <v>581</v>
      </c>
      <c r="C8" s="21" t="s">
        <v>582</v>
      </c>
    </row>
    <row r="9" spans="2:3" ht="10" customHeight="1" x14ac:dyDescent="0.35"/>
    <row r="10" spans="2:3" ht="35" customHeight="1" x14ac:dyDescent="0.35">
      <c r="B10" s="22" t="s">
        <v>583</v>
      </c>
      <c r="C10" s="21" t="s">
        <v>584</v>
      </c>
    </row>
    <row r="11" spans="2:3" ht="75" customHeight="1" x14ac:dyDescent="0.35">
      <c r="B11" s="18" t="s">
        <v>21</v>
      </c>
      <c r="C11" s="21" t="s">
        <v>585</v>
      </c>
    </row>
    <row r="12" spans="2:3" ht="47" customHeight="1" x14ac:dyDescent="0.35">
      <c r="B12" s="18" t="s">
        <v>21</v>
      </c>
      <c r="C12" s="21" t="s">
        <v>586</v>
      </c>
    </row>
    <row r="13" spans="2:3" ht="35" customHeight="1" x14ac:dyDescent="0.35">
      <c r="B13" s="18" t="s">
        <v>21</v>
      </c>
      <c r="C13" s="21" t="s">
        <v>587</v>
      </c>
    </row>
    <row r="14" spans="2:3" ht="32" customHeight="1" x14ac:dyDescent="0.35">
      <c r="B14" s="18" t="s">
        <v>21</v>
      </c>
      <c r="C14" s="21" t="s">
        <v>588</v>
      </c>
    </row>
    <row r="15" spans="2:3" ht="30" customHeight="1" x14ac:dyDescent="0.35">
      <c r="B15" s="18" t="s">
        <v>21</v>
      </c>
      <c r="C15" s="21" t="s">
        <v>589</v>
      </c>
    </row>
    <row r="16" spans="2:3" ht="10" customHeight="1" x14ac:dyDescent="0.35"/>
    <row r="17" spans="1:3" ht="145" customHeight="1" x14ac:dyDescent="0.35">
      <c r="B17" s="22" t="s">
        <v>590</v>
      </c>
      <c r="C17" s="21" t="s">
        <v>591</v>
      </c>
    </row>
    <row r="18" spans="1:3" ht="10" customHeight="1" x14ac:dyDescent="0.35"/>
    <row r="19" spans="1:3" ht="3" customHeight="1" x14ac:dyDescent="0.35">
      <c r="B19" s="23"/>
      <c r="C19" s="23"/>
    </row>
    <row r="20" spans="1:3" ht="12" customHeight="1" x14ac:dyDescent="0.35"/>
    <row r="21" spans="1:3" ht="35" customHeight="1" x14ac:dyDescent="0.35">
      <c r="A21" s="25"/>
      <c r="B21" s="26" t="s">
        <v>592</v>
      </c>
      <c r="C21" s="27" t="s">
        <v>593</v>
      </c>
    </row>
    <row r="22" spans="1:3" ht="18" customHeight="1" x14ac:dyDescent="0.35">
      <c r="A22" s="25"/>
      <c r="B22" s="25" t="s">
        <v>21</v>
      </c>
      <c r="C22" s="27" t="s">
        <v>594</v>
      </c>
    </row>
    <row r="23" spans="1:3" ht="18" customHeight="1" x14ac:dyDescent="0.35">
      <c r="A23" s="25"/>
      <c r="B23" s="25" t="s">
        <v>21</v>
      </c>
      <c r="C23" s="27" t="s">
        <v>595</v>
      </c>
    </row>
    <row r="24" spans="1:3" ht="18" customHeight="1" x14ac:dyDescent="0.35">
      <c r="A24" s="25"/>
      <c r="B24" s="25" t="s">
        <v>21</v>
      </c>
      <c r="C24" s="27" t="s">
        <v>596</v>
      </c>
    </row>
    <row r="25" spans="1:3" ht="18" customHeight="1" x14ac:dyDescent="0.35">
      <c r="A25" s="25"/>
      <c r="B25" s="25" t="s">
        <v>21</v>
      </c>
      <c r="C25" s="27" t="s">
        <v>597</v>
      </c>
    </row>
    <row r="26" spans="1:3" ht="18" customHeight="1" x14ac:dyDescent="0.35">
      <c r="A26" s="25"/>
      <c r="B26" s="25" t="s">
        <v>21</v>
      </c>
      <c r="C26" s="27" t="s">
        <v>598</v>
      </c>
    </row>
    <row r="27" spans="1:3" ht="18" customHeight="1" x14ac:dyDescent="0.35">
      <c r="A27" s="25"/>
      <c r="B27" s="25" t="s">
        <v>21</v>
      </c>
      <c r="C27" s="27" t="s">
        <v>599</v>
      </c>
    </row>
    <row r="28" spans="1:3" ht="18" customHeight="1" x14ac:dyDescent="0.35">
      <c r="A28" s="25"/>
      <c r="B28" s="25" t="s">
        <v>21</v>
      </c>
      <c r="C28" s="27" t="s">
        <v>600</v>
      </c>
    </row>
    <row r="29" spans="1:3" ht="18" customHeight="1" x14ac:dyDescent="0.35">
      <c r="A29" s="25"/>
      <c r="B29" s="25" t="s">
        <v>21</v>
      </c>
      <c r="C29" s="27" t="s">
        <v>601</v>
      </c>
    </row>
    <row r="30" spans="1:3" ht="44" customHeight="1" x14ac:dyDescent="0.35">
      <c r="A30" s="25"/>
      <c r="B30" s="25" t="s">
        <v>21</v>
      </c>
      <c r="C30" s="28" t="s">
        <v>602</v>
      </c>
    </row>
    <row r="31" spans="1:3" ht="10" customHeight="1" x14ac:dyDescent="0.35"/>
    <row r="32" spans="1:3" ht="3" customHeight="1" x14ac:dyDescent="0.35">
      <c r="B32" s="23"/>
      <c r="C32" s="23"/>
    </row>
    <row r="33" spans="2:3" ht="12" customHeight="1" x14ac:dyDescent="0.35"/>
    <row r="34" spans="2:3" ht="24" customHeight="1" x14ac:dyDescent="0.35">
      <c r="B34" s="29" t="s">
        <v>603</v>
      </c>
      <c r="C34" s="30" t="s">
        <v>604</v>
      </c>
    </row>
    <row r="35" spans="2:3" ht="18.5" x14ac:dyDescent="0.35">
      <c r="B35" s="29" t="s">
        <v>605</v>
      </c>
      <c r="C35" s="31" t="s">
        <v>606</v>
      </c>
    </row>
    <row r="36" spans="2:3" ht="27" customHeight="1" x14ac:dyDescent="0.35">
      <c r="B36" s="32" t="s">
        <v>607</v>
      </c>
      <c r="C36" s="24" t="s">
        <v>608</v>
      </c>
    </row>
    <row r="37" spans="2:3" x14ac:dyDescent="0.35">
      <c r="B37" s="29" t="s">
        <v>609</v>
      </c>
      <c r="C37" s="33" t="s">
        <v>610</v>
      </c>
    </row>
    <row r="38" spans="2:3" ht="10" customHeight="1" x14ac:dyDescent="0.35"/>
    <row r="39" spans="2:3" ht="159.5" x14ac:dyDescent="0.35">
      <c r="B39" s="29" t="s">
        <v>611</v>
      </c>
      <c r="C39" s="34" t="s">
        <v>612</v>
      </c>
    </row>
    <row r="40" spans="2:3" ht="10" customHeight="1" x14ac:dyDescent="0.35"/>
    <row r="41" spans="2:3" ht="20" customHeight="1" x14ac:dyDescent="0.35">
      <c r="B41" s="29" t="s">
        <v>613</v>
      </c>
      <c r="C41" s="35" t="s">
        <v>614</v>
      </c>
    </row>
    <row r="42" spans="2:3" ht="29" x14ac:dyDescent="0.35">
      <c r="C42" s="21" t="s">
        <v>615</v>
      </c>
    </row>
    <row r="43" spans="2:3" ht="10" customHeight="1" x14ac:dyDescent="0.35"/>
    <row r="44" spans="2:3" ht="20" customHeight="1" x14ac:dyDescent="0.35">
      <c r="C44" s="35" t="s">
        <v>616</v>
      </c>
    </row>
    <row r="45" spans="2:3" ht="29" x14ac:dyDescent="0.35">
      <c r="C45" s="21" t="s">
        <v>617</v>
      </c>
    </row>
    <row r="46" spans="2:3" ht="10" customHeight="1" x14ac:dyDescent="0.35"/>
    <row r="47" spans="2:3" ht="20" customHeight="1" x14ac:dyDescent="0.35">
      <c r="C47" s="35" t="s">
        <v>618</v>
      </c>
    </row>
    <row r="48" spans="2:3" ht="29" x14ac:dyDescent="0.35">
      <c r="C48" s="21" t="s">
        <v>619</v>
      </c>
    </row>
    <row r="49" spans="2:3" ht="10" customHeight="1" x14ac:dyDescent="0.35"/>
    <row r="50" spans="2:3" ht="20" customHeight="1" x14ac:dyDescent="0.35">
      <c r="C50" s="35" t="s">
        <v>207</v>
      </c>
    </row>
    <row r="51" spans="2:3" ht="29" x14ac:dyDescent="0.35">
      <c r="C51" s="21" t="s">
        <v>620</v>
      </c>
    </row>
    <row r="52" spans="2:3" ht="10" customHeight="1" x14ac:dyDescent="0.35"/>
    <row r="53" spans="2:3" ht="20" customHeight="1" x14ac:dyDescent="0.35">
      <c r="C53" s="35" t="s">
        <v>621</v>
      </c>
    </row>
    <row r="54" spans="2:3" ht="29" x14ac:dyDescent="0.35">
      <c r="C54" s="21" t="s">
        <v>622</v>
      </c>
    </row>
    <row r="55" spans="2:3" ht="10" customHeight="1" x14ac:dyDescent="0.35"/>
    <row r="56" spans="2:3" ht="43.5" x14ac:dyDescent="0.35">
      <c r="B56" s="29" t="s">
        <v>623</v>
      </c>
      <c r="C56" s="21" t="s">
        <v>624</v>
      </c>
    </row>
    <row r="57" spans="2:3" ht="10" customHeight="1" x14ac:dyDescent="0.35"/>
    <row r="58" spans="2:3" ht="15.5" x14ac:dyDescent="0.35">
      <c r="C58" s="36" t="s">
        <v>33</v>
      </c>
    </row>
    <row r="59" spans="2:3" ht="29" x14ac:dyDescent="0.35">
      <c r="C59" s="21" t="s">
        <v>625</v>
      </c>
    </row>
    <row r="60" spans="2:3" ht="10" customHeight="1" x14ac:dyDescent="0.35"/>
    <row r="61" spans="2:3" ht="15.5" x14ac:dyDescent="0.35">
      <c r="C61" s="37" t="s">
        <v>27</v>
      </c>
    </row>
    <row r="62" spans="2:3" ht="29" x14ac:dyDescent="0.35">
      <c r="C62" s="21" t="s">
        <v>626</v>
      </c>
    </row>
    <row r="63" spans="2:3" ht="10" customHeight="1" x14ac:dyDescent="0.35"/>
    <row r="64" spans="2:3" ht="15.5" x14ac:dyDescent="0.35">
      <c r="C64" s="38" t="s">
        <v>16</v>
      </c>
    </row>
    <row r="65" spans="2:3" ht="29" x14ac:dyDescent="0.35">
      <c r="C65" s="21" t="s">
        <v>627</v>
      </c>
    </row>
    <row r="66" spans="2:3" ht="10" customHeight="1" x14ac:dyDescent="0.35"/>
    <row r="67" spans="2:3" ht="3" customHeight="1" x14ac:dyDescent="0.35">
      <c r="B67" s="23"/>
      <c r="C67" s="23"/>
    </row>
    <row r="68" spans="2:3" ht="12" customHeight="1" x14ac:dyDescent="0.35"/>
    <row r="69" spans="2:3" ht="130.5" x14ac:dyDescent="0.35">
      <c r="B69" s="20" t="s">
        <v>628</v>
      </c>
      <c r="C69" s="21" t="s">
        <v>629</v>
      </c>
    </row>
    <row r="70" spans="2:3" ht="6" customHeight="1" x14ac:dyDescent="0.35"/>
    <row r="71" spans="2:3" ht="217.5" x14ac:dyDescent="0.35">
      <c r="C71" s="21" t="s">
        <v>630</v>
      </c>
    </row>
    <row r="72" spans="2:3" ht="6" customHeight="1" x14ac:dyDescent="0.35"/>
    <row r="73" spans="2:3" ht="43.5" x14ac:dyDescent="0.35">
      <c r="C73" s="21" t="s">
        <v>631</v>
      </c>
    </row>
    <row r="74" spans="2:3" ht="10" customHeight="1" x14ac:dyDescent="0.35"/>
    <row r="75" spans="2:3" ht="3" customHeight="1" x14ac:dyDescent="0.35">
      <c r="B75" s="23"/>
      <c r="C75" s="23"/>
    </row>
    <row r="76" spans="2:3" ht="12" customHeight="1" x14ac:dyDescent="0.35"/>
    <row r="77" spans="2:3" ht="145" x14ac:dyDescent="0.35">
      <c r="B77" s="20" t="s">
        <v>632</v>
      </c>
      <c r="C77" s="21" t="s">
        <v>633</v>
      </c>
    </row>
    <row r="78" spans="2:3" ht="6" customHeight="1" x14ac:dyDescent="0.35"/>
    <row r="79" spans="2:3" ht="203" x14ac:dyDescent="0.35">
      <c r="C79" s="21" t="s">
        <v>634</v>
      </c>
    </row>
    <row r="80" spans="2:3" ht="6" customHeight="1" x14ac:dyDescent="0.35"/>
    <row r="81" spans="2:3" ht="43.5" x14ac:dyDescent="0.35">
      <c r="C81" s="21" t="s">
        <v>635</v>
      </c>
    </row>
    <row r="82" spans="2:3" ht="10" customHeight="1" x14ac:dyDescent="0.35"/>
    <row r="83" spans="2:3" ht="3" customHeight="1" x14ac:dyDescent="0.35">
      <c r="B83" s="23"/>
      <c r="C83" s="23"/>
    </row>
    <row r="84" spans="2:3" ht="12" customHeight="1" x14ac:dyDescent="0.35"/>
    <row r="85" spans="2:3" ht="101.5" x14ac:dyDescent="0.35">
      <c r="B85" s="20" t="s">
        <v>636</v>
      </c>
      <c r="C85" s="21" t="s">
        <v>637</v>
      </c>
    </row>
    <row r="86" spans="2:3" ht="6" customHeight="1" x14ac:dyDescent="0.35"/>
    <row r="87" spans="2:3" ht="145" x14ac:dyDescent="0.35">
      <c r="C87" s="21" t="s">
        <v>638</v>
      </c>
    </row>
    <row r="88" spans="2:3" ht="6" customHeight="1" x14ac:dyDescent="0.35"/>
    <row r="89" spans="2:3" ht="43.5" x14ac:dyDescent="0.35">
      <c r="C89" s="21" t="s">
        <v>639</v>
      </c>
    </row>
    <row r="90" spans="2:3" ht="10" customHeight="1" x14ac:dyDescent="0.35"/>
    <row r="91" spans="2:3" ht="3" customHeight="1" x14ac:dyDescent="0.35">
      <c r="B91" s="23"/>
      <c r="C91" s="23"/>
    </row>
    <row r="92" spans="2:3" ht="12" customHeight="1" x14ac:dyDescent="0.35"/>
    <row r="93" spans="2:3" ht="26" customHeight="1" x14ac:dyDescent="0.35">
      <c r="B93" s="39" t="s">
        <v>640</v>
      </c>
    </row>
    <row r="94" spans="2:3" ht="8" customHeight="1" x14ac:dyDescent="0.35"/>
    <row r="95" spans="2:3" ht="20" customHeight="1" x14ac:dyDescent="0.35">
      <c r="B95" s="29" t="s">
        <v>641</v>
      </c>
      <c r="C95" s="40" t="s">
        <v>642</v>
      </c>
    </row>
    <row r="96" spans="2:3" ht="116" x14ac:dyDescent="0.35">
      <c r="C96" s="21" t="s">
        <v>643</v>
      </c>
    </row>
    <row r="97" spans="2:3" ht="10" customHeight="1" x14ac:dyDescent="0.35"/>
    <row r="98" spans="2:3" ht="20" customHeight="1" x14ac:dyDescent="0.35">
      <c r="B98" s="29" t="s">
        <v>644</v>
      </c>
      <c r="C98" s="40" t="s">
        <v>645</v>
      </c>
    </row>
    <row r="99" spans="2:3" ht="116" x14ac:dyDescent="0.35">
      <c r="C99" s="21" t="s">
        <v>646</v>
      </c>
    </row>
    <row r="100" spans="2:3" ht="10" customHeight="1" x14ac:dyDescent="0.35"/>
    <row r="101" spans="2:3" ht="20" customHeight="1" x14ac:dyDescent="0.35">
      <c r="B101" s="29" t="s">
        <v>647</v>
      </c>
      <c r="C101" s="40" t="s">
        <v>648</v>
      </c>
    </row>
    <row r="102" spans="2:3" ht="130.5" x14ac:dyDescent="0.35">
      <c r="C102" s="21" t="s">
        <v>649</v>
      </c>
    </row>
    <row r="103" spans="2:3" ht="10" customHeight="1" x14ac:dyDescent="0.35"/>
    <row r="104" spans="2:3" ht="20" customHeight="1" x14ac:dyDescent="0.35">
      <c r="B104" s="29" t="s">
        <v>650</v>
      </c>
      <c r="C104" s="40" t="s">
        <v>651</v>
      </c>
    </row>
    <row r="105" spans="2:3" ht="130.5" x14ac:dyDescent="0.35">
      <c r="C105" s="21" t="s">
        <v>652</v>
      </c>
    </row>
    <row r="106" spans="2:3" ht="10" customHeight="1" x14ac:dyDescent="0.35"/>
    <row r="107" spans="2:3" ht="20" customHeight="1" x14ac:dyDescent="0.35">
      <c r="B107" s="29" t="s">
        <v>653</v>
      </c>
      <c r="C107" s="40" t="s">
        <v>654</v>
      </c>
    </row>
    <row r="108" spans="2:3" ht="116" x14ac:dyDescent="0.35">
      <c r="C108" s="21" t="s">
        <v>655</v>
      </c>
    </row>
    <row r="109" spans="2:3" ht="10" customHeight="1" x14ac:dyDescent="0.35"/>
    <row r="110" spans="2:3" ht="20" customHeight="1" x14ac:dyDescent="0.35">
      <c r="B110" s="29" t="s">
        <v>656</v>
      </c>
      <c r="C110" s="40" t="s">
        <v>657</v>
      </c>
    </row>
    <row r="111" spans="2:3" ht="116" x14ac:dyDescent="0.35">
      <c r="C111" s="21" t="s">
        <v>658</v>
      </c>
    </row>
    <row r="112" spans="2:3" ht="10" customHeight="1" x14ac:dyDescent="0.35"/>
    <row r="113" spans="2:3" ht="20" customHeight="1" x14ac:dyDescent="0.35">
      <c r="B113" s="29" t="s">
        <v>659</v>
      </c>
      <c r="C113" s="40" t="s">
        <v>660</v>
      </c>
    </row>
    <row r="114" spans="2:3" ht="130.5" x14ac:dyDescent="0.35">
      <c r="C114" s="21" t="s">
        <v>661</v>
      </c>
    </row>
    <row r="115" spans="2:3" ht="10" customHeight="1" x14ac:dyDescent="0.35"/>
    <row r="116" spans="2:3" ht="20" customHeight="1" x14ac:dyDescent="0.35">
      <c r="B116" s="29" t="s">
        <v>662</v>
      </c>
      <c r="C116" s="40" t="s">
        <v>663</v>
      </c>
    </row>
    <row r="117" spans="2:3" ht="203" x14ac:dyDescent="0.35">
      <c r="C117" s="21" t="s">
        <v>664</v>
      </c>
    </row>
    <row r="118" spans="2:3" ht="10" customHeight="1" x14ac:dyDescent="0.35"/>
    <row r="121" spans="2:3" ht="32" customHeight="1" x14ac:dyDescent="0.35">
      <c r="B121" s="291" t="s">
        <v>575</v>
      </c>
      <c r="C121" s="291"/>
    </row>
  </sheetData>
  <sheetProtection password="90EA" sheet="1"/>
  <mergeCells count="1">
    <mergeCell ref="B121:C121"/>
  </mergeCells>
  <hyperlinks>
    <hyperlink ref="C5" r:id="rId1" xr:uid="{00000000-0004-0000-0000-000000000000}"/>
    <hyperlink ref="C6" r:id="rId2" xr:uid="{00000000-0004-0000-0000-000001000000}"/>
    <hyperlink ref="C37" r:id="rId3" xr:uid="{00000000-0004-0000-0000-000002000000}"/>
    <hyperlink ref="B121"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3348</v>
      </c>
      <c r="B1" s="233" t="s">
        <v>0</v>
      </c>
      <c r="C1" s="233" t="s">
        <v>825</v>
      </c>
      <c r="D1" s="233" t="s">
        <v>826</v>
      </c>
      <c r="E1" s="233" t="s">
        <v>831</v>
      </c>
      <c r="F1" s="233" t="s">
        <v>832</v>
      </c>
      <c r="G1" s="233" t="s">
        <v>833</v>
      </c>
      <c r="H1" s="233" t="s">
        <v>834</v>
      </c>
      <c r="I1" s="233" t="s">
        <v>835</v>
      </c>
      <c r="J1" s="233" t="s">
        <v>836</v>
      </c>
      <c r="K1" s="233" t="s">
        <v>837</v>
      </c>
      <c r="L1" s="233" t="s">
        <v>838</v>
      </c>
      <c r="M1" s="233" t="s">
        <v>839</v>
      </c>
      <c r="N1" s="233" t="s">
        <v>840</v>
      </c>
      <c r="O1" s="233" t="s">
        <v>841</v>
      </c>
      <c r="P1" s="233" t="s">
        <v>842</v>
      </c>
      <c r="Q1" s="233" t="s">
        <v>843</v>
      </c>
      <c r="R1" s="233" t="s">
        <v>844</v>
      </c>
      <c r="S1" s="233" t="s">
        <v>845</v>
      </c>
      <c r="T1" s="233" t="s">
        <v>846</v>
      </c>
      <c r="U1" s="233" t="s">
        <v>847</v>
      </c>
      <c r="V1" s="233" t="s">
        <v>848</v>
      </c>
      <c r="W1" s="233" t="s">
        <v>849</v>
      </c>
      <c r="X1" s="233" t="s">
        <v>850</v>
      </c>
      <c r="Y1" s="233" t="s">
        <v>851</v>
      </c>
      <c r="Z1" s="233" t="s">
        <v>852</v>
      </c>
      <c r="AA1" s="233" t="s">
        <v>853</v>
      </c>
      <c r="AB1" s="233" t="s">
        <v>854</v>
      </c>
      <c r="AC1" s="233" t="s">
        <v>855</v>
      </c>
      <c r="AD1" s="233" t="s">
        <v>856</v>
      </c>
      <c r="AE1" s="233" t="s">
        <v>857</v>
      </c>
      <c r="AF1" s="233" t="s">
        <v>858</v>
      </c>
      <c r="AG1" s="233" t="s">
        <v>859</v>
      </c>
      <c r="AH1" s="233" t="s">
        <v>860</v>
      </c>
      <c r="AI1" s="233" t="s">
        <v>861</v>
      </c>
      <c r="AJ1" s="233" t="s">
        <v>862</v>
      </c>
      <c r="AK1" s="233" t="s">
        <v>863</v>
      </c>
      <c r="AL1" s="233" t="s">
        <v>864</v>
      </c>
      <c r="AM1" s="233" t="s">
        <v>865</v>
      </c>
      <c r="AN1" s="233" t="s">
        <v>866</v>
      </c>
      <c r="AO1" s="233" t="s">
        <v>867</v>
      </c>
      <c r="AP1" s="233" t="s">
        <v>868</v>
      </c>
      <c r="AQ1" s="233" t="s">
        <v>869</v>
      </c>
      <c r="AR1" s="233" t="s">
        <v>870</v>
      </c>
      <c r="AS1" s="234" t="s">
        <v>871</v>
      </c>
    </row>
    <row r="2" spans="1:45" ht="60" customHeight="1" outlineLevel="1" x14ac:dyDescent="0.35">
      <c r="A2" s="226" t="s">
        <v>3349</v>
      </c>
      <c r="B2" s="213" t="s">
        <v>3350</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3349</v>
      </c>
      <c r="B3" s="214" t="s">
        <v>3351</v>
      </c>
      <c r="C3" s="215" t="s">
        <v>3352</v>
      </c>
      <c r="D3" s="217" t="s">
        <v>3353</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3349</v>
      </c>
      <c r="B4" s="214" t="s">
        <v>3354</v>
      </c>
      <c r="C4" s="215" t="s">
        <v>3355</v>
      </c>
      <c r="D4" s="217" t="s">
        <v>3356</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3349</v>
      </c>
      <c r="B5" s="214" t="s">
        <v>3357</v>
      </c>
      <c r="C5" s="215" t="s">
        <v>3358</v>
      </c>
      <c r="D5" s="217" t="s">
        <v>3359</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3349</v>
      </c>
      <c r="B6" s="214" t="s">
        <v>3360</v>
      </c>
      <c r="C6" s="215" t="s">
        <v>3361</v>
      </c>
      <c r="D6" s="217" t="s">
        <v>3362</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3349</v>
      </c>
      <c r="B7" s="214" t="s">
        <v>3363</v>
      </c>
      <c r="C7" s="215" t="s">
        <v>3364</v>
      </c>
      <c r="D7" s="217" t="s">
        <v>3365</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3349</v>
      </c>
      <c r="B8" s="214" t="s">
        <v>3366</v>
      </c>
      <c r="C8" s="215" t="s">
        <v>3367</v>
      </c>
      <c r="D8" s="217" t="s">
        <v>3368</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3349</v>
      </c>
      <c r="B9" s="214" t="s">
        <v>3369</v>
      </c>
      <c r="C9" s="215" t="s">
        <v>3370</v>
      </c>
      <c r="D9" s="217" t="s">
        <v>3371</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3349</v>
      </c>
      <c r="B10" s="214" t="s">
        <v>3372</v>
      </c>
      <c r="C10" s="215" t="s">
        <v>3373</v>
      </c>
      <c r="D10" s="217" t="s">
        <v>3374</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3349</v>
      </c>
      <c r="B11" s="214" t="s">
        <v>3375</v>
      </c>
      <c r="C11" s="215" t="s">
        <v>3376</v>
      </c>
      <c r="D11" s="217" t="s">
        <v>3377</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3349</v>
      </c>
      <c r="B12" s="214" t="s">
        <v>3378</v>
      </c>
      <c r="C12" s="215" t="s">
        <v>3379</v>
      </c>
      <c r="D12" s="217" t="s">
        <v>3380</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3349</v>
      </c>
      <c r="B13" s="214" t="s">
        <v>3381</v>
      </c>
      <c r="C13" s="215" t="s">
        <v>3382</v>
      </c>
      <c r="D13" s="217" t="s">
        <v>3383</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3349</v>
      </c>
      <c r="B14" s="214" t="s">
        <v>3384</v>
      </c>
      <c r="C14" s="215" t="s">
        <v>3385</v>
      </c>
      <c r="D14" s="217" t="s">
        <v>3386</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3349</v>
      </c>
      <c r="B15" s="214" t="s">
        <v>3387</v>
      </c>
      <c r="C15" s="215" t="s">
        <v>3388</v>
      </c>
      <c r="D15" s="217" t="s">
        <v>3389</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3349</v>
      </c>
      <c r="B16" s="214" t="s">
        <v>3390</v>
      </c>
      <c r="C16" s="215" t="s">
        <v>3391</v>
      </c>
      <c r="D16" s="217" t="s">
        <v>3392</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3349</v>
      </c>
      <c r="B17" s="214" t="s">
        <v>3393</v>
      </c>
      <c r="C17" s="215" t="s">
        <v>3394</v>
      </c>
      <c r="D17" s="217" t="s">
        <v>3395</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3349</v>
      </c>
      <c r="B18" s="214" t="s">
        <v>3396</v>
      </c>
      <c r="C18" s="215" t="s">
        <v>3397</v>
      </c>
      <c r="D18" s="217" t="s">
        <v>3398</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3349</v>
      </c>
      <c r="B19" s="214" t="s">
        <v>3399</v>
      </c>
      <c r="C19" s="215" t="s">
        <v>3400</v>
      </c>
      <c r="D19" s="217" t="s">
        <v>3401</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3349</v>
      </c>
      <c r="B20" s="214" t="s">
        <v>3402</v>
      </c>
      <c r="C20" s="215" t="s">
        <v>3403</v>
      </c>
      <c r="D20" s="217" t="s">
        <v>3404</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3349</v>
      </c>
      <c r="B21" s="214" t="s">
        <v>3405</v>
      </c>
      <c r="C21" s="215" t="s">
        <v>3406</v>
      </c>
      <c r="D21" s="217" t="s">
        <v>3407</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3349</v>
      </c>
      <c r="B22" s="214" t="s">
        <v>3408</v>
      </c>
      <c r="C22" s="215" t="s">
        <v>3409</v>
      </c>
      <c r="D22" s="217" t="s">
        <v>3410</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3349</v>
      </c>
      <c r="B23" s="214" t="s">
        <v>3411</v>
      </c>
      <c r="C23" s="215" t="s">
        <v>3412</v>
      </c>
      <c r="D23" s="217" t="s">
        <v>3413</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3349</v>
      </c>
      <c r="B24" s="214" t="s">
        <v>3414</v>
      </c>
      <c r="C24" s="215" t="s">
        <v>3415</v>
      </c>
      <c r="D24" s="217" t="s">
        <v>3416</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3349</v>
      </c>
      <c r="B25" s="214" t="s">
        <v>3417</v>
      </c>
      <c r="C25" s="215" t="s">
        <v>3418</v>
      </c>
      <c r="D25" s="217" t="s">
        <v>3419</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3349</v>
      </c>
      <c r="B26" s="214" t="s">
        <v>3420</v>
      </c>
      <c r="C26" s="215" t="s">
        <v>3421</v>
      </c>
      <c r="D26" s="217" t="s">
        <v>3422</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3349</v>
      </c>
      <c r="B27" s="214" t="s">
        <v>3423</v>
      </c>
      <c r="C27" s="215" t="s">
        <v>3424</v>
      </c>
      <c r="D27" s="217" t="s">
        <v>3425</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3349</v>
      </c>
      <c r="B28" s="214" t="s">
        <v>3426</v>
      </c>
      <c r="C28" s="215" t="s">
        <v>3427</v>
      </c>
      <c r="D28" s="217" t="s">
        <v>3428</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3349</v>
      </c>
      <c r="B29" s="214" t="s">
        <v>3429</v>
      </c>
      <c r="C29" s="215" t="s">
        <v>3430</v>
      </c>
      <c r="D29" s="217" t="s">
        <v>3431</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3349</v>
      </c>
      <c r="B30" s="214" t="s">
        <v>3432</v>
      </c>
      <c r="C30" s="215" t="s">
        <v>3433</v>
      </c>
      <c r="D30" s="217" t="s">
        <v>3434</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3349</v>
      </c>
      <c r="B31" s="214" t="s">
        <v>3435</v>
      </c>
      <c r="C31" s="215" t="s">
        <v>3436</v>
      </c>
      <c r="D31" s="217" t="s">
        <v>3437</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3349</v>
      </c>
      <c r="B32" s="214" t="s">
        <v>3438</v>
      </c>
      <c r="C32" s="215" t="s">
        <v>3439</v>
      </c>
      <c r="D32" s="217" t="s">
        <v>3440</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3349</v>
      </c>
      <c r="B33" s="214" t="s">
        <v>3441</v>
      </c>
      <c r="C33" s="215" t="s">
        <v>3442</v>
      </c>
      <c r="D33" s="217" t="s">
        <v>3443</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3349</v>
      </c>
      <c r="B34" s="214" t="s">
        <v>3444</v>
      </c>
      <c r="C34" s="215" t="s">
        <v>3445</v>
      </c>
      <c r="D34" s="217" t="s">
        <v>3446</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3349</v>
      </c>
      <c r="B35" s="214" t="s">
        <v>3447</v>
      </c>
      <c r="C35" s="215" t="s">
        <v>3448</v>
      </c>
      <c r="D35" s="217" t="s">
        <v>3449</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3349</v>
      </c>
      <c r="B36" s="214" t="s">
        <v>3450</v>
      </c>
      <c r="C36" s="215" t="s">
        <v>3451</v>
      </c>
      <c r="D36" s="217" t="s">
        <v>3452</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3349</v>
      </c>
      <c r="B37" s="214" t="s">
        <v>3453</v>
      </c>
      <c r="C37" s="215" t="s">
        <v>3454</v>
      </c>
      <c r="D37" s="217" t="s">
        <v>3455</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3349</v>
      </c>
      <c r="B38" s="214" t="s">
        <v>3456</v>
      </c>
      <c r="C38" s="215" t="s">
        <v>3457</v>
      </c>
      <c r="D38" s="217" t="s">
        <v>3458</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3349</v>
      </c>
      <c r="B39" s="214" t="s">
        <v>3459</v>
      </c>
      <c r="C39" s="215" t="s">
        <v>3460</v>
      </c>
      <c r="D39" s="217" t="s">
        <v>3461</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3462</v>
      </c>
      <c r="B40" s="213" t="s">
        <v>3463</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3462</v>
      </c>
      <c r="B41" s="214" t="s">
        <v>3464</v>
      </c>
      <c r="C41" s="215" t="s">
        <v>3465</v>
      </c>
      <c r="D41" s="217" t="s">
        <v>3466</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3462</v>
      </c>
      <c r="B42" s="214" t="s">
        <v>3467</v>
      </c>
      <c r="C42" s="215" t="s">
        <v>3468</v>
      </c>
      <c r="D42" s="217" t="s">
        <v>3469</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3462</v>
      </c>
      <c r="B43" s="214" t="s">
        <v>3470</v>
      </c>
      <c r="C43" s="215" t="s">
        <v>3471</v>
      </c>
      <c r="D43" s="217" t="s">
        <v>3472</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3462</v>
      </c>
      <c r="B44" s="214" t="s">
        <v>3473</v>
      </c>
      <c r="C44" s="215" t="s">
        <v>3474</v>
      </c>
      <c r="D44" s="217" t="s">
        <v>3475</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3462</v>
      </c>
      <c r="B45" s="214" t="s">
        <v>3476</v>
      </c>
      <c r="C45" s="215" t="s">
        <v>3477</v>
      </c>
      <c r="D45" s="217" t="s">
        <v>3478</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3462</v>
      </c>
      <c r="B46" s="214" t="s">
        <v>3479</v>
      </c>
      <c r="C46" s="215" t="s">
        <v>3480</v>
      </c>
      <c r="D46" s="217" t="s">
        <v>3481</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3462</v>
      </c>
      <c r="B47" s="214" t="s">
        <v>3482</v>
      </c>
      <c r="C47" s="215" t="s">
        <v>3483</v>
      </c>
      <c r="D47" s="217" t="s">
        <v>3484</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3462</v>
      </c>
      <c r="B48" s="214" t="s">
        <v>3485</v>
      </c>
      <c r="C48" s="215" t="s">
        <v>3486</v>
      </c>
      <c r="D48" s="217" t="s">
        <v>3487</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3488</v>
      </c>
      <c r="B49" s="213" t="s">
        <v>3489</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3488</v>
      </c>
      <c r="B50" s="214" t="s">
        <v>3490</v>
      </c>
      <c r="C50" s="215" t="s">
        <v>3491</v>
      </c>
      <c r="D50" s="217" t="s">
        <v>3492</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3488</v>
      </c>
      <c r="B51" s="214" t="s">
        <v>3493</v>
      </c>
      <c r="C51" s="215" t="s">
        <v>3494</v>
      </c>
      <c r="D51" s="217" t="s">
        <v>3495</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3488</v>
      </c>
      <c r="B52" s="214" t="s">
        <v>3496</v>
      </c>
      <c r="C52" s="215" t="s">
        <v>3497</v>
      </c>
      <c r="D52" s="217" t="s">
        <v>3498</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3488</v>
      </c>
      <c r="B53" s="214" t="s">
        <v>3499</v>
      </c>
      <c r="C53" s="215" t="s">
        <v>3500</v>
      </c>
      <c r="D53" s="217" t="s">
        <v>3501</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3488</v>
      </c>
      <c r="B54" s="214" t="s">
        <v>3502</v>
      </c>
      <c r="C54" s="215" t="s">
        <v>3503</v>
      </c>
      <c r="D54" s="217" t="s">
        <v>3504</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3488</v>
      </c>
      <c r="B55" s="214" t="s">
        <v>3505</v>
      </c>
      <c r="C55" s="215" t="s">
        <v>3506</v>
      </c>
      <c r="D55" s="217" t="s">
        <v>3507</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3488</v>
      </c>
      <c r="B56" s="214" t="s">
        <v>3508</v>
      </c>
      <c r="C56" s="215" t="s">
        <v>3509</v>
      </c>
      <c r="D56" s="217" t="s">
        <v>3510</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3488</v>
      </c>
      <c r="B57" s="214" t="s">
        <v>3511</v>
      </c>
      <c r="C57" s="215" t="s">
        <v>3512</v>
      </c>
      <c r="D57" s="217" t="s">
        <v>3513</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3488</v>
      </c>
      <c r="B58" s="214" t="s">
        <v>3514</v>
      </c>
      <c r="C58" s="215" t="s">
        <v>3515</v>
      </c>
      <c r="D58" s="217" t="s">
        <v>3516</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3488</v>
      </c>
      <c r="B59" s="214" t="s">
        <v>3517</v>
      </c>
      <c r="C59" s="215" t="s">
        <v>3518</v>
      </c>
      <c r="D59" s="217" t="s">
        <v>3519</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3488</v>
      </c>
      <c r="B60" s="214" t="s">
        <v>3520</v>
      </c>
      <c r="C60" s="215" t="s">
        <v>3521</v>
      </c>
      <c r="D60" s="217" t="s">
        <v>3522</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3488</v>
      </c>
      <c r="B61" s="214" t="s">
        <v>3523</v>
      </c>
      <c r="C61" s="215" t="s">
        <v>3524</v>
      </c>
      <c r="D61" s="217" t="s">
        <v>3525</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3488</v>
      </c>
      <c r="B62" s="214" t="s">
        <v>3526</v>
      </c>
      <c r="C62" s="215" t="s">
        <v>3527</v>
      </c>
      <c r="D62" s="217" t="s">
        <v>3528</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3488</v>
      </c>
      <c r="B63" s="214" t="s">
        <v>3529</v>
      </c>
      <c r="C63" s="215" t="s">
        <v>3530</v>
      </c>
      <c r="D63" s="217" t="s">
        <v>3531</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3532</v>
      </c>
      <c r="B64" s="213" t="s">
        <v>3533</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3532</v>
      </c>
      <c r="B65" s="214" t="s">
        <v>3534</v>
      </c>
      <c r="C65" s="215" t="s">
        <v>3535</v>
      </c>
      <c r="D65" s="217" t="s">
        <v>3536</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3532</v>
      </c>
      <c r="B66" s="214" t="s">
        <v>3537</v>
      </c>
      <c r="C66" s="215" t="s">
        <v>3538</v>
      </c>
      <c r="D66" s="217" t="s">
        <v>3539</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3532</v>
      </c>
      <c r="B67" s="214" t="s">
        <v>3540</v>
      </c>
      <c r="C67" s="215" t="s">
        <v>3541</v>
      </c>
      <c r="D67" s="217" t="s">
        <v>3542</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3532</v>
      </c>
      <c r="B68" s="214" t="s">
        <v>3543</v>
      </c>
      <c r="C68" s="215" t="s">
        <v>3544</v>
      </c>
      <c r="D68" s="217" t="s">
        <v>3545</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3532</v>
      </c>
      <c r="B69" s="214" t="s">
        <v>3546</v>
      </c>
      <c r="C69" s="215" t="s">
        <v>3547</v>
      </c>
      <c r="D69" s="217" t="s">
        <v>3548</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3532</v>
      </c>
      <c r="B70" s="214" t="s">
        <v>3549</v>
      </c>
      <c r="C70" s="215" t="s">
        <v>3550</v>
      </c>
      <c r="D70" s="217" t="s">
        <v>3551</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3532</v>
      </c>
      <c r="B71" s="214" t="s">
        <v>3552</v>
      </c>
      <c r="C71" s="215" t="s">
        <v>3553</v>
      </c>
      <c r="D71" s="217" t="s">
        <v>3554</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3532</v>
      </c>
      <c r="B72" s="214" t="s">
        <v>3555</v>
      </c>
      <c r="C72" s="215" t="s">
        <v>3556</v>
      </c>
      <c r="D72" s="217" t="s">
        <v>3557</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3532</v>
      </c>
      <c r="B73" s="214" t="s">
        <v>3558</v>
      </c>
      <c r="C73" s="215" t="s">
        <v>3559</v>
      </c>
      <c r="D73" s="217" t="s">
        <v>3560</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3532</v>
      </c>
      <c r="B74" s="214" t="s">
        <v>3561</v>
      </c>
      <c r="C74" s="215" t="s">
        <v>3562</v>
      </c>
      <c r="D74" s="217" t="s">
        <v>3563</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3532</v>
      </c>
      <c r="B75" s="214" t="s">
        <v>3564</v>
      </c>
      <c r="C75" s="215" t="s">
        <v>3565</v>
      </c>
      <c r="D75" s="217" t="s">
        <v>3566</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3532</v>
      </c>
      <c r="B76" s="214" t="s">
        <v>3567</v>
      </c>
      <c r="C76" s="215" t="s">
        <v>3568</v>
      </c>
      <c r="D76" s="217" t="s">
        <v>3569</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3532</v>
      </c>
      <c r="B77" s="214" t="s">
        <v>3570</v>
      </c>
      <c r="C77" s="215" t="s">
        <v>3571</v>
      </c>
      <c r="D77" s="217" t="s">
        <v>3572</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3532</v>
      </c>
      <c r="B78" s="214" t="s">
        <v>3573</v>
      </c>
      <c r="C78" s="215" t="s">
        <v>3574</v>
      </c>
      <c r="D78" s="217" t="s">
        <v>3575</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3532</v>
      </c>
      <c r="B79" s="214" t="s">
        <v>3576</v>
      </c>
      <c r="C79" s="215" t="s">
        <v>3577</v>
      </c>
      <c r="D79" s="217" t="s">
        <v>3578</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3532</v>
      </c>
      <c r="B80" s="214" t="s">
        <v>3579</v>
      </c>
      <c r="C80" s="215" t="s">
        <v>3580</v>
      </c>
      <c r="D80" s="217" t="s">
        <v>3581</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3532</v>
      </c>
      <c r="B81" s="214" t="s">
        <v>3582</v>
      </c>
      <c r="C81" s="215" t="s">
        <v>3583</v>
      </c>
      <c r="D81" s="217" t="s">
        <v>3584</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3532</v>
      </c>
      <c r="B82" s="214" t="s">
        <v>3585</v>
      </c>
      <c r="C82" s="215" t="s">
        <v>3586</v>
      </c>
      <c r="D82" s="217" t="s">
        <v>3587</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3532</v>
      </c>
      <c r="B83" s="214" t="s">
        <v>3588</v>
      </c>
      <c r="C83" s="215" t="s">
        <v>3589</v>
      </c>
      <c r="D83" s="217" t="s">
        <v>3590</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3532</v>
      </c>
      <c r="B84" s="214" t="s">
        <v>3591</v>
      </c>
      <c r="C84" s="215" t="s">
        <v>3592</v>
      </c>
      <c r="D84" s="217" t="s">
        <v>3593</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3532</v>
      </c>
      <c r="B85" s="214" t="s">
        <v>3594</v>
      </c>
      <c r="C85" s="215" t="s">
        <v>3595</v>
      </c>
      <c r="D85" s="217" t="s">
        <v>3596</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3532</v>
      </c>
      <c r="B86" s="214" t="s">
        <v>3597</v>
      </c>
      <c r="C86" s="215" t="s">
        <v>3598</v>
      </c>
      <c r="D86" s="217" t="s">
        <v>3599</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3532</v>
      </c>
      <c r="B87" s="214" t="s">
        <v>3600</v>
      </c>
      <c r="C87" s="215" t="s">
        <v>3601</v>
      </c>
      <c r="D87" s="217" t="s">
        <v>3602</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3532</v>
      </c>
      <c r="B88" s="214" t="s">
        <v>3603</v>
      </c>
      <c r="C88" s="215" t="s">
        <v>3604</v>
      </c>
      <c r="D88" s="217" t="s">
        <v>3605</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3532</v>
      </c>
      <c r="B89" s="214" t="s">
        <v>3606</v>
      </c>
      <c r="C89" s="215" t="s">
        <v>3607</v>
      </c>
      <c r="D89" s="217" t="s">
        <v>3608</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3532</v>
      </c>
      <c r="B90" s="214" t="s">
        <v>3609</v>
      </c>
      <c r="C90" s="215" t="s">
        <v>3610</v>
      </c>
      <c r="D90" s="217" t="s">
        <v>3611</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3532</v>
      </c>
      <c r="B91" s="214" t="s">
        <v>3612</v>
      </c>
      <c r="C91" s="215" t="s">
        <v>3613</v>
      </c>
      <c r="D91" s="217" t="s">
        <v>3614</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3532</v>
      </c>
      <c r="B92" s="214" t="s">
        <v>3615</v>
      </c>
      <c r="C92" s="215" t="s">
        <v>3616</v>
      </c>
      <c r="D92" s="217" t="s">
        <v>3617</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3532</v>
      </c>
      <c r="B93" s="214" t="s">
        <v>3618</v>
      </c>
      <c r="C93" s="215" t="s">
        <v>3619</v>
      </c>
      <c r="D93" s="217" t="s">
        <v>3620</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3532</v>
      </c>
      <c r="B94" s="214" t="s">
        <v>3621</v>
      </c>
      <c r="C94" s="215" t="s">
        <v>3622</v>
      </c>
      <c r="D94" s="217" t="s">
        <v>3623</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3532</v>
      </c>
      <c r="B95" s="214" t="s">
        <v>3624</v>
      </c>
      <c r="C95" s="215" t="s">
        <v>3625</v>
      </c>
      <c r="D95" s="217" t="s">
        <v>3626</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3532</v>
      </c>
      <c r="B96" s="214" t="s">
        <v>3627</v>
      </c>
      <c r="C96" s="215" t="s">
        <v>3628</v>
      </c>
      <c r="D96" s="217" t="s">
        <v>3629</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3532</v>
      </c>
      <c r="B97" s="214" t="s">
        <v>3630</v>
      </c>
      <c r="C97" s="215" t="s">
        <v>3631</v>
      </c>
      <c r="D97" s="217" t="s">
        <v>3632</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3532</v>
      </c>
      <c r="B98" s="221" t="s">
        <v>3633</v>
      </c>
      <c r="C98" s="222" t="s">
        <v>3634</v>
      </c>
      <c r="D98" s="223" t="s">
        <v>3635</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575</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IFERROR(INDEX('Recommendations'!$H$2:$H$111, MATCH(F2,'Recommendations'!$A$2:$A$111,0))="Implemented", FALSE))</xm:f>
            <x14:dxf>
              <font>
                <color rgb="FF000000"/>
              </font>
              <fill>
                <patternFill>
                  <bgColor rgb="FF3C7D22"/>
                </patternFill>
              </fill>
            </x14:dxf>
          </x14:cfRule>
          <x14:cfRule type="expression" priority="2" id="{00000000-000E-0000-0900-000002000000}">
            <xm:f>AND(F2&lt;&gt;"", IFERROR(INDEX('Recommendations'!$H$2:$H$111, MATCH(F2,'Recommendations'!$A$2:$A$111,0))="Compensated", FALSE))</xm:f>
            <x14:dxf>
              <font>
                <color rgb="FF000000"/>
              </font>
              <fill>
                <patternFill>
                  <bgColor rgb="FFC6E0B4"/>
                </patternFill>
              </fill>
            </x14:dxf>
          </x14:cfRule>
          <x14:cfRule type="expression" priority="3" id="{00000000-000E-0000-0900-000003000000}">
            <xm:f>AND(F2&lt;&gt;"", IFERROR(INDEX('Recommendations'!$H$2:$H$111, MATCH(F2,'Recommendations'!$A$2:$A$111,0))="Testing", FALSE))</xm:f>
            <x14:dxf>
              <font>
                <color rgb="FF000000"/>
              </font>
              <fill>
                <patternFill>
                  <bgColor rgb="FFFFC000"/>
                </patternFill>
              </fill>
            </x14:dxf>
          </x14:cfRule>
          <x14:cfRule type="expression" priority="4" id="{00000000-000E-0000-0900-000004000000}">
            <xm:f>AND(F2&lt;&gt;"", IFERROR(INDEX('Recommendations'!$H$2:$H$111, MATCH(F2,'Recommendations'!$A$2:$A$111,0))="Failed", FALSE))</xm:f>
            <x14:dxf>
              <font>
                <color rgb="FF000000"/>
              </font>
              <fill>
                <patternFill>
                  <bgColor rgb="FFD82891"/>
                </patternFill>
              </fill>
            </x14:dxf>
          </x14:cfRule>
          <x14:cfRule type="expression" priority="5" id="{00000000-000E-0000-0900-000005000000}">
            <xm:f>AND(F2&lt;&gt;"", IFERROR(INDEX('Recommendations'!$H$2:$H$111, MATCH(F2,'Recommendations'!$A$2:$A$111,0))="Risk Accepted", FALSE))</xm:f>
            <x14:dxf>
              <font>
                <color rgb="FF000000"/>
              </font>
              <fill>
                <patternFill>
                  <bgColor rgb="FFD9D9D9"/>
                </patternFill>
              </fill>
            </x14:dxf>
          </x14:cfRule>
          <x14:cfRule type="expression" priority="6" id="{00000000-000E-0000-0900-000006000000}">
            <xm:f>AND(F2&lt;&gt;"", IFERROR(INDEX('Recommendations'!$H$2:$H$111, MATCH(F2,'Recommendations'!$A$2:$A$111,0))="N/A",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3636</v>
      </c>
      <c r="C1" s="256" t="s">
        <v>3637</v>
      </c>
      <c r="D1" s="256" t="s">
        <v>3638</v>
      </c>
      <c r="E1" s="256" t="s">
        <v>3639</v>
      </c>
      <c r="F1" s="256" t="s">
        <v>2465</v>
      </c>
      <c r="G1" s="256" t="s">
        <v>3640</v>
      </c>
      <c r="H1" s="256" t="s">
        <v>3641</v>
      </c>
      <c r="I1" s="256" t="s">
        <v>3642</v>
      </c>
      <c r="J1" s="256" t="s">
        <v>11</v>
      </c>
      <c r="K1" s="256" t="s">
        <v>831</v>
      </c>
      <c r="L1" s="256" t="s">
        <v>832</v>
      </c>
      <c r="M1" s="256" t="s">
        <v>833</v>
      </c>
      <c r="N1" s="256" t="s">
        <v>834</v>
      </c>
      <c r="O1" s="256" t="s">
        <v>835</v>
      </c>
      <c r="P1" s="256" t="s">
        <v>836</v>
      </c>
      <c r="Q1" s="256" t="s">
        <v>837</v>
      </c>
      <c r="R1" s="256" t="s">
        <v>838</v>
      </c>
      <c r="S1" s="256" t="s">
        <v>839</v>
      </c>
      <c r="T1" s="256" t="s">
        <v>840</v>
      </c>
      <c r="U1" s="256" t="s">
        <v>841</v>
      </c>
      <c r="V1" s="256" t="s">
        <v>842</v>
      </c>
      <c r="W1" s="256" t="s">
        <v>843</v>
      </c>
      <c r="X1" s="256" t="s">
        <v>844</v>
      </c>
      <c r="Y1" s="256" t="s">
        <v>845</v>
      </c>
      <c r="Z1" s="256" t="s">
        <v>846</v>
      </c>
      <c r="AA1" s="256" t="s">
        <v>847</v>
      </c>
      <c r="AB1" s="256" t="s">
        <v>848</v>
      </c>
      <c r="AC1" s="256" t="s">
        <v>849</v>
      </c>
      <c r="AD1" s="256" t="s">
        <v>850</v>
      </c>
      <c r="AE1" s="256" t="s">
        <v>851</v>
      </c>
      <c r="AF1" s="256" t="s">
        <v>852</v>
      </c>
      <c r="AG1" s="256" t="s">
        <v>853</v>
      </c>
      <c r="AH1" s="256" t="s">
        <v>854</v>
      </c>
      <c r="AI1" s="256" t="s">
        <v>855</v>
      </c>
      <c r="AJ1" s="256" t="s">
        <v>856</v>
      </c>
      <c r="AK1" s="256" t="s">
        <v>857</v>
      </c>
      <c r="AL1" s="256" t="s">
        <v>858</v>
      </c>
      <c r="AM1" s="256" t="s">
        <v>859</v>
      </c>
      <c r="AN1" s="256" t="s">
        <v>860</v>
      </c>
      <c r="AO1" s="256" t="s">
        <v>861</v>
      </c>
      <c r="AP1" s="256" t="s">
        <v>862</v>
      </c>
      <c r="AQ1" s="256" t="s">
        <v>863</v>
      </c>
      <c r="AR1" s="256" t="s">
        <v>864</v>
      </c>
      <c r="AS1" s="256" t="s">
        <v>865</v>
      </c>
      <c r="AT1" s="256" t="s">
        <v>866</v>
      </c>
      <c r="AU1" s="256" t="s">
        <v>867</v>
      </c>
      <c r="AV1" s="256" t="s">
        <v>868</v>
      </c>
      <c r="AW1" s="256" t="s">
        <v>869</v>
      </c>
      <c r="AX1" s="256" t="s">
        <v>870</v>
      </c>
      <c r="AY1" s="257" t="s">
        <v>871</v>
      </c>
    </row>
    <row r="2" spans="1:51" ht="60" customHeight="1" outlineLevel="1" x14ac:dyDescent="0.35">
      <c r="A2" s="247" t="s">
        <v>3643</v>
      </c>
      <c r="B2" s="235" t="s">
        <v>3644</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874</v>
      </c>
      <c r="B3" s="236" t="s">
        <v>3645</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3646</v>
      </c>
      <c r="B4" s="237" t="s">
        <v>3647</v>
      </c>
      <c r="C4" s="237" t="s">
        <v>3648</v>
      </c>
      <c r="D4" s="237" t="s">
        <v>3649</v>
      </c>
      <c r="E4" s="237" t="s">
        <v>3650</v>
      </c>
      <c r="F4" s="237" t="s">
        <v>21</v>
      </c>
      <c r="G4" s="237" t="s">
        <v>21</v>
      </c>
      <c r="H4" s="237" t="s">
        <v>3651</v>
      </c>
      <c r="I4" s="237" t="s">
        <v>21</v>
      </c>
      <c r="J4" s="237" t="s">
        <v>3652</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3653</v>
      </c>
      <c r="B5" s="237" t="s">
        <v>3654</v>
      </c>
      <c r="C5" s="237" t="s">
        <v>3655</v>
      </c>
      <c r="D5" s="237" t="s">
        <v>3656</v>
      </c>
      <c r="E5" s="237" t="s">
        <v>3657</v>
      </c>
      <c r="F5" s="237" t="s">
        <v>3658</v>
      </c>
      <c r="G5" s="237" t="s">
        <v>21</v>
      </c>
      <c r="H5" s="237" t="s">
        <v>3659</v>
      </c>
      <c r="I5" s="237" t="s">
        <v>21</v>
      </c>
      <c r="J5" s="237" t="s">
        <v>3660</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880</v>
      </c>
      <c r="B6" s="236" t="s">
        <v>3661</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3662</v>
      </c>
      <c r="B7" s="237" t="s">
        <v>3663</v>
      </c>
      <c r="C7" s="237" t="s">
        <v>3664</v>
      </c>
      <c r="D7" s="237" t="s">
        <v>3665</v>
      </c>
      <c r="E7" s="237" t="s">
        <v>3657</v>
      </c>
      <c r="F7" s="237" t="s">
        <v>3666</v>
      </c>
      <c r="G7" s="237" t="s">
        <v>21</v>
      </c>
      <c r="H7" s="237" t="s">
        <v>3667</v>
      </c>
      <c r="I7" s="237" t="s">
        <v>21</v>
      </c>
      <c r="J7" s="237" t="s">
        <v>3668</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3669</v>
      </c>
      <c r="B8" s="237" t="s">
        <v>3670</v>
      </c>
      <c r="C8" s="237" t="s">
        <v>3671</v>
      </c>
      <c r="D8" s="237" t="s">
        <v>3672</v>
      </c>
      <c r="E8" s="237" t="s">
        <v>21</v>
      </c>
      <c r="F8" s="237" t="s">
        <v>21</v>
      </c>
      <c r="G8" s="237" t="s">
        <v>21</v>
      </c>
      <c r="H8" s="237" t="s">
        <v>3673</v>
      </c>
      <c r="I8" s="237" t="s">
        <v>3674</v>
      </c>
      <c r="J8" s="237" t="s">
        <v>3675</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3676</v>
      </c>
      <c r="B9" s="237" t="s">
        <v>3677</v>
      </c>
      <c r="C9" s="237" t="s">
        <v>3678</v>
      </c>
      <c r="D9" s="237" t="s">
        <v>3679</v>
      </c>
      <c r="E9" s="237" t="s">
        <v>21</v>
      </c>
      <c r="F9" s="237" t="s">
        <v>21</v>
      </c>
      <c r="G9" s="237" t="s">
        <v>21</v>
      </c>
      <c r="H9" s="237" t="s">
        <v>3680</v>
      </c>
      <c r="I9" s="237" t="s">
        <v>3681</v>
      </c>
      <c r="J9" s="237" t="s">
        <v>3682</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3683</v>
      </c>
      <c r="B10" s="237" t="s">
        <v>3684</v>
      </c>
      <c r="C10" s="237" t="s">
        <v>3685</v>
      </c>
      <c r="D10" s="237" t="s">
        <v>3686</v>
      </c>
      <c r="E10" s="237" t="s">
        <v>21</v>
      </c>
      <c r="F10" s="237" t="s">
        <v>21</v>
      </c>
      <c r="G10" s="237" t="s">
        <v>21</v>
      </c>
      <c r="H10" s="237" t="s">
        <v>3687</v>
      </c>
      <c r="I10" s="237" t="s">
        <v>3688</v>
      </c>
      <c r="J10" s="237" t="s">
        <v>3689</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3690</v>
      </c>
      <c r="B11" s="237" t="s">
        <v>3691</v>
      </c>
      <c r="C11" s="237" t="s">
        <v>3692</v>
      </c>
      <c r="D11" s="237" t="s">
        <v>3693</v>
      </c>
      <c r="E11" s="237" t="s">
        <v>21</v>
      </c>
      <c r="F11" s="237" t="s">
        <v>21</v>
      </c>
      <c r="G11" s="237" t="s">
        <v>21</v>
      </c>
      <c r="H11" s="237" t="s">
        <v>3694</v>
      </c>
      <c r="I11" s="237" t="s">
        <v>21</v>
      </c>
      <c r="J11" s="237" t="s">
        <v>3695</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3696</v>
      </c>
      <c r="B12" s="237" t="s">
        <v>3697</v>
      </c>
      <c r="C12" s="237" t="s">
        <v>3698</v>
      </c>
      <c r="D12" s="237" t="s">
        <v>3699</v>
      </c>
      <c r="E12" s="237" t="s">
        <v>21</v>
      </c>
      <c r="F12" s="237" t="s">
        <v>21</v>
      </c>
      <c r="G12" s="237" t="s">
        <v>3700</v>
      </c>
      <c r="H12" s="237" t="s">
        <v>3701</v>
      </c>
      <c r="I12" s="237" t="s">
        <v>21</v>
      </c>
      <c r="J12" s="237" t="s">
        <v>3702</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3703</v>
      </c>
      <c r="B13" s="237" t="s">
        <v>3704</v>
      </c>
      <c r="C13" s="237" t="s">
        <v>3705</v>
      </c>
      <c r="D13" s="237" t="s">
        <v>3706</v>
      </c>
      <c r="E13" s="237" t="s">
        <v>21</v>
      </c>
      <c r="F13" s="237" t="s">
        <v>21</v>
      </c>
      <c r="G13" s="237" t="s">
        <v>21</v>
      </c>
      <c r="H13" s="237" t="s">
        <v>3707</v>
      </c>
      <c r="I13" s="237" t="s">
        <v>21</v>
      </c>
      <c r="J13" s="237" t="s">
        <v>3708</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3709</v>
      </c>
      <c r="B14" s="237" t="s">
        <v>3710</v>
      </c>
      <c r="C14" s="237" t="s">
        <v>3711</v>
      </c>
      <c r="D14" s="237" t="s">
        <v>3712</v>
      </c>
      <c r="E14" s="237" t="s">
        <v>21</v>
      </c>
      <c r="F14" s="237" t="s">
        <v>3713</v>
      </c>
      <c r="G14" s="237" t="s">
        <v>21</v>
      </c>
      <c r="H14" s="237" t="s">
        <v>3714</v>
      </c>
      <c r="I14" s="237" t="s">
        <v>3715</v>
      </c>
      <c r="J14" s="237" t="s">
        <v>3716</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885</v>
      </c>
      <c r="B15" s="236" t="s">
        <v>3717</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3718</v>
      </c>
      <c r="B16" s="237" t="s">
        <v>3719</v>
      </c>
      <c r="C16" s="237" t="s">
        <v>3720</v>
      </c>
      <c r="D16" s="237" t="s">
        <v>3712</v>
      </c>
      <c r="E16" s="237" t="s">
        <v>21</v>
      </c>
      <c r="F16" s="237" t="s">
        <v>3721</v>
      </c>
      <c r="G16" s="237" t="s">
        <v>21</v>
      </c>
      <c r="H16" s="237" t="s">
        <v>3722</v>
      </c>
      <c r="I16" s="237" t="s">
        <v>21</v>
      </c>
      <c r="J16" s="237" t="s">
        <v>3723</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3724</v>
      </c>
      <c r="B17" s="237" t="s">
        <v>3725</v>
      </c>
      <c r="C17" s="237" t="s">
        <v>3726</v>
      </c>
      <c r="D17" s="237" t="s">
        <v>3727</v>
      </c>
      <c r="E17" s="237" t="s">
        <v>21</v>
      </c>
      <c r="F17" s="237" t="s">
        <v>3721</v>
      </c>
      <c r="G17" s="237" t="s">
        <v>21</v>
      </c>
      <c r="H17" s="237" t="s">
        <v>3728</v>
      </c>
      <c r="I17" s="237" t="s">
        <v>21</v>
      </c>
      <c r="J17" s="237" t="s">
        <v>3729</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3730</v>
      </c>
      <c r="B18" s="237" t="s">
        <v>3731</v>
      </c>
      <c r="C18" s="237" t="s">
        <v>3732</v>
      </c>
      <c r="D18" s="237" t="s">
        <v>21</v>
      </c>
      <c r="E18" s="237" t="s">
        <v>21</v>
      </c>
      <c r="F18" s="237" t="s">
        <v>21</v>
      </c>
      <c r="G18" s="237" t="s">
        <v>21</v>
      </c>
      <c r="H18" s="237" t="s">
        <v>3733</v>
      </c>
      <c r="I18" s="237" t="s">
        <v>21</v>
      </c>
      <c r="J18" s="237" t="s">
        <v>3734</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890</v>
      </c>
      <c r="B19" s="236" t="s">
        <v>3735</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3736</v>
      </c>
      <c r="B20" s="237" t="s">
        <v>3737</v>
      </c>
      <c r="C20" s="237" t="s">
        <v>3738</v>
      </c>
      <c r="D20" s="237" t="s">
        <v>3739</v>
      </c>
      <c r="E20" s="237" t="s">
        <v>21</v>
      </c>
      <c r="F20" s="237" t="s">
        <v>3740</v>
      </c>
      <c r="G20" s="237" t="s">
        <v>21</v>
      </c>
      <c r="H20" s="237" t="s">
        <v>3741</v>
      </c>
      <c r="I20" s="237" t="s">
        <v>21</v>
      </c>
      <c r="J20" s="237" t="s">
        <v>3742</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3743</v>
      </c>
      <c r="B21" s="237" t="s">
        <v>3744</v>
      </c>
      <c r="C21" s="237" t="s">
        <v>3745</v>
      </c>
      <c r="D21" s="237" t="s">
        <v>3746</v>
      </c>
      <c r="E21" s="237" t="s">
        <v>3747</v>
      </c>
      <c r="F21" s="237" t="s">
        <v>21</v>
      </c>
      <c r="G21" s="237" t="s">
        <v>21</v>
      </c>
      <c r="H21" s="237" t="s">
        <v>3748</v>
      </c>
      <c r="I21" s="237" t="s">
        <v>3749</v>
      </c>
      <c r="J21" s="237" t="s">
        <v>3750</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3751</v>
      </c>
      <c r="B22" s="237" t="s">
        <v>3752</v>
      </c>
      <c r="C22" s="237" t="s">
        <v>3753</v>
      </c>
      <c r="D22" s="237" t="s">
        <v>3754</v>
      </c>
      <c r="E22" s="237" t="s">
        <v>21</v>
      </c>
      <c r="F22" s="237" t="s">
        <v>3755</v>
      </c>
      <c r="G22" s="237" t="s">
        <v>21</v>
      </c>
      <c r="H22" s="237" t="s">
        <v>3756</v>
      </c>
      <c r="I22" s="237" t="s">
        <v>21</v>
      </c>
      <c r="J22" s="237" t="s">
        <v>3757</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3758</v>
      </c>
      <c r="B23" s="237" t="s">
        <v>3759</v>
      </c>
      <c r="C23" s="237" t="s">
        <v>3760</v>
      </c>
      <c r="D23" s="237" t="s">
        <v>3761</v>
      </c>
      <c r="E23" s="237" t="s">
        <v>21</v>
      </c>
      <c r="F23" s="237" t="s">
        <v>21</v>
      </c>
      <c r="G23" s="237" t="s">
        <v>21</v>
      </c>
      <c r="H23" s="237" t="s">
        <v>3762</v>
      </c>
      <c r="I23" s="237" t="s">
        <v>3763</v>
      </c>
      <c r="J23" s="237" t="s">
        <v>3764</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3765</v>
      </c>
      <c r="B24" s="237" t="s">
        <v>3766</v>
      </c>
      <c r="C24" s="237" t="s">
        <v>3767</v>
      </c>
      <c r="D24" s="237" t="s">
        <v>3761</v>
      </c>
      <c r="E24" s="237" t="s">
        <v>21</v>
      </c>
      <c r="F24" s="237" t="s">
        <v>3768</v>
      </c>
      <c r="G24" s="237" t="s">
        <v>21</v>
      </c>
      <c r="H24" s="237" t="s">
        <v>3769</v>
      </c>
      <c r="I24" s="237" t="s">
        <v>21</v>
      </c>
      <c r="J24" s="237" t="s">
        <v>3770</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894</v>
      </c>
      <c r="B25" s="236" t="s">
        <v>3771</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3772</v>
      </c>
      <c r="B26" s="237" t="s">
        <v>3773</v>
      </c>
      <c r="C26" s="237" t="s">
        <v>3774</v>
      </c>
      <c r="D26" s="237" t="s">
        <v>3775</v>
      </c>
      <c r="E26" s="237" t="s">
        <v>21</v>
      </c>
      <c r="F26" s="237" t="s">
        <v>3776</v>
      </c>
      <c r="G26" s="237" t="s">
        <v>21</v>
      </c>
      <c r="H26" s="237" t="s">
        <v>3777</v>
      </c>
      <c r="I26" s="237" t="s">
        <v>21</v>
      </c>
      <c r="J26" s="237" t="s">
        <v>3778</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3779</v>
      </c>
      <c r="B27" s="235" t="s">
        <v>3780</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900</v>
      </c>
      <c r="B28" s="236" t="s">
        <v>3781</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3782</v>
      </c>
      <c r="B29" s="237" t="s">
        <v>3783</v>
      </c>
      <c r="C29" s="237" t="s">
        <v>3784</v>
      </c>
      <c r="D29" s="237" t="s">
        <v>3785</v>
      </c>
      <c r="E29" s="237" t="s">
        <v>3786</v>
      </c>
      <c r="F29" s="237" t="s">
        <v>21</v>
      </c>
      <c r="G29" s="237" t="s">
        <v>21</v>
      </c>
      <c r="H29" s="237" t="s">
        <v>3787</v>
      </c>
      <c r="I29" s="237" t="s">
        <v>21</v>
      </c>
      <c r="J29" s="237" t="s">
        <v>3788</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3789</v>
      </c>
      <c r="B30" s="237" t="s">
        <v>3790</v>
      </c>
      <c r="C30" s="237" t="s">
        <v>3655</v>
      </c>
      <c r="D30" s="237" t="s">
        <v>3656</v>
      </c>
      <c r="E30" s="237" t="s">
        <v>21</v>
      </c>
      <c r="F30" s="237" t="s">
        <v>3658</v>
      </c>
      <c r="G30" s="237" t="s">
        <v>21</v>
      </c>
      <c r="H30" s="237" t="s">
        <v>3791</v>
      </c>
      <c r="I30" s="237" t="s">
        <v>21</v>
      </c>
      <c r="J30" s="237" t="s">
        <v>3792</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905</v>
      </c>
      <c r="B31" s="236" t="s">
        <v>3793</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3794</v>
      </c>
      <c r="B32" s="237" t="s">
        <v>3795</v>
      </c>
      <c r="C32" s="237" t="s">
        <v>3796</v>
      </c>
      <c r="D32" s="237" t="s">
        <v>3797</v>
      </c>
      <c r="E32" s="237" t="s">
        <v>21</v>
      </c>
      <c r="F32" s="237" t="s">
        <v>21</v>
      </c>
      <c r="G32" s="237" t="s">
        <v>3798</v>
      </c>
      <c r="H32" s="237" t="s">
        <v>3799</v>
      </c>
      <c r="I32" s="237" t="s">
        <v>21</v>
      </c>
      <c r="J32" s="237" t="s">
        <v>3800</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3801</v>
      </c>
      <c r="B33" s="237" t="s">
        <v>3802</v>
      </c>
      <c r="C33" s="237" t="s">
        <v>3803</v>
      </c>
      <c r="D33" s="237" t="s">
        <v>3804</v>
      </c>
      <c r="E33" s="237" t="s">
        <v>21</v>
      </c>
      <c r="F33" s="237" t="s">
        <v>3805</v>
      </c>
      <c r="G33" s="237" t="s">
        <v>21</v>
      </c>
      <c r="H33" s="237" t="s">
        <v>3806</v>
      </c>
      <c r="I33" s="237" t="s">
        <v>3807</v>
      </c>
      <c r="J33" s="237" t="s">
        <v>3808</v>
      </c>
      <c r="K33" s="240">
        <f>IF(COUNTIF(L33:AY33,"&lt;&gt;")=0,"",SUMPRODUCT(((Recommendations[ImplStatus]="Implemented")+(Recommendations[ImplStatus]="Compensated"))*ISNUMBER(MATCH(Recommendations[Id],L33:AY33,0)))/COUNTIF(L33:AY33,"&lt;&gt;"))</f>
        <v>0</v>
      </c>
      <c r="L33" s="243" t="s">
        <v>139</v>
      </c>
      <c r="M33" s="243" t="s">
        <v>159</v>
      </c>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3809</v>
      </c>
      <c r="B34" s="237" t="s">
        <v>3810</v>
      </c>
      <c r="C34" s="237" t="s">
        <v>3811</v>
      </c>
      <c r="D34" s="237" t="s">
        <v>3812</v>
      </c>
      <c r="E34" s="237" t="s">
        <v>21</v>
      </c>
      <c r="F34" s="237" t="s">
        <v>21</v>
      </c>
      <c r="G34" s="237" t="s">
        <v>21</v>
      </c>
      <c r="H34" s="237" t="s">
        <v>3813</v>
      </c>
      <c r="I34" s="237" t="s">
        <v>21</v>
      </c>
      <c r="J34" s="237" t="s">
        <v>3814</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3815</v>
      </c>
      <c r="B35" s="237" t="s">
        <v>3816</v>
      </c>
      <c r="C35" s="237" t="s">
        <v>3817</v>
      </c>
      <c r="D35" s="237" t="s">
        <v>3818</v>
      </c>
      <c r="E35" s="237" t="s">
        <v>21</v>
      </c>
      <c r="F35" s="237" t="s">
        <v>3819</v>
      </c>
      <c r="G35" s="237" t="s">
        <v>21</v>
      </c>
      <c r="H35" s="237" t="s">
        <v>3820</v>
      </c>
      <c r="I35" s="237" t="s">
        <v>21</v>
      </c>
      <c r="J35" s="237" t="s">
        <v>3821</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3822</v>
      </c>
      <c r="B36" s="237" t="s">
        <v>3823</v>
      </c>
      <c r="C36" s="237" t="s">
        <v>3824</v>
      </c>
      <c r="D36" s="237" t="s">
        <v>3825</v>
      </c>
      <c r="E36" s="237" t="s">
        <v>21</v>
      </c>
      <c r="F36" s="237" t="s">
        <v>21</v>
      </c>
      <c r="G36" s="237" t="s">
        <v>3826</v>
      </c>
      <c r="H36" s="237" t="s">
        <v>3827</v>
      </c>
      <c r="I36" s="237" t="s">
        <v>21</v>
      </c>
      <c r="J36" s="237" t="s">
        <v>3828</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3829</v>
      </c>
      <c r="B37" s="237" t="s">
        <v>3830</v>
      </c>
      <c r="C37" s="237" t="s">
        <v>3831</v>
      </c>
      <c r="D37" s="237" t="s">
        <v>3832</v>
      </c>
      <c r="E37" s="237" t="s">
        <v>21</v>
      </c>
      <c r="F37" s="237" t="s">
        <v>3833</v>
      </c>
      <c r="G37" s="237" t="s">
        <v>3834</v>
      </c>
      <c r="H37" s="237" t="s">
        <v>3835</v>
      </c>
      <c r="I37" s="237" t="s">
        <v>21</v>
      </c>
      <c r="J37" s="237" t="s">
        <v>3836</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3837</v>
      </c>
      <c r="B38" s="237" t="s">
        <v>3838</v>
      </c>
      <c r="C38" s="237" t="s">
        <v>3839</v>
      </c>
      <c r="D38" s="237" t="s">
        <v>3840</v>
      </c>
      <c r="E38" s="237" t="s">
        <v>21</v>
      </c>
      <c r="F38" s="237" t="s">
        <v>3833</v>
      </c>
      <c r="G38" s="237" t="s">
        <v>3841</v>
      </c>
      <c r="H38" s="237" t="s">
        <v>3842</v>
      </c>
      <c r="I38" s="237" t="s">
        <v>3843</v>
      </c>
      <c r="J38" s="237" t="s">
        <v>3844</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909</v>
      </c>
      <c r="B39" s="236" t="s">
        <v>3845</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3846</v>
      </c>
      <c r="B40" s="237" t="s">
        <v>3847</v>
      </c>
      <c r="C40" s="237" t="s">
        <v>3848</v>
      </c>
      <c r="D40" s="237" t="s">
        <v>3849</v>
      </c>
      <c r="E40" s="237" t="s">
        <v>21</v>
      </c>
      <c r="F40" s="237" t="s">
        <v>21</v>
      </c>
      <c r="G40" s="237" t="s">
        <v>21</v>
      </c>
      <c r="H40" s="237" t="s">
        <v>3850</v>
      </c>
      <c r="I40" s="237" t="s">
        <v>3851</v>
      </c>
      <c r="J40" s="237" t="s">
        <v>3852</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3853</v>
      </c>
      <c r="B41" s="237" t="s">
        <v>3854</v>
      </c>
      <c r="C41" s="237" t="s">
        <v>3855</v>
      </c>
      <c r="D41" s="237" t="s">
        <v>21</v>
      </c>
      <c r="E41" s="237" t="s">
        <v>21</v>
      </c>
      <c r="F41" s="237" t="s">
        <v>21</v>
      </c>
      <c r="G41" s="237" t="s">
        <v>21</v>
      </c>
      <c r="H41" s="237" t="s">
        <v>3856</v>
      </c>
      <c r="I41" s="237" t="s">
        <v>21</v>
      </c>
      <c r="J41" s="237" t="s">
        <v>3857</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3858</v>
      </c>
      <c r="B42" s="235" t="s">
        <v>3859</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932</v>
      </c>
      <c r="B43" s="236" t="s">
        <v>3860</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3861</v>
      </c>
      <c r="B44" s="237" t="s">
        <v>3862</v>
      </c>
      <c r="C44" s="237" t="s">
        <v>3863</v>
      </c>
      <c r="D44" s="237" t="s">
        <v>3864</v>
      </c>
      <c r="E44" s="237" t="s">
        <v>3650</v>
      </c>
      <c r="F44" s="237" t="s">
        <v>21</v>
      </c>
      <c r="G44" s="237" t="s">
        <v>21</v>
      </c>
      <c r="H44" s="237" t="s">
        <v>3865</v>
      </c>
      <c r="I44" s="237" t="s">
        <v>21</v>
      </c>
      <c r="J44" s="237" t="s">
        <v>3866</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3867</v>
      </c>
      <c r="B45" s="237" t="s">
        <v>3868</v>
      </c>
      <c r="C45" s="237" t="s">
        <v>3869</v>
      </c>
      <c r="D45" s="237" t="s">
        <v>3656</v>
      </c>
      <c r="E45" s="237" t="s">
        <v>21</v>
      </c>
      <c r="F45" s="237" t="s">
        <v>3658</v>
      </c>
      <c r="G45" s="237" t="s">
        <v>21</v>
      </c>
      <c r="H45" s="237" t="s">
        <v>3870</v>
      </c>
      <c r="I45" s="237" t="s">
        <v>21</v>
      </c>
      <c r="J45" s="237" t="s">
        <v>3871</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938</v>
      </c>
      <c r="B46" s="236" t="s">
        <v>3872</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3873</v>
      </c>
      <c r="B47" s="237" t="s">
        <v>3874</v>
      </c>
      <c r="C47" s="237" t="s">
        <v>3875</v>
      </c>
      <c r="D47" s="237" t="s">
        <v>3876</v>
      </c>
      <c r="E47" s="237" t="s">
        <v>21</v>
      </c>
      <c r="F47" s="237" t="s">
        <v>3877</v>
      </c>
      <c r="G47" s="237" t="s">
        <v>3878</v>
      </c>
      <c r="H47" s="237" t="s">
        <v>3879</v>
      </c>
      <c r="I47" s="237" t="s">
        <v>3880</v>
      </c>
      <c r="J47" s="237" t="s">
        <v>3881</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942</v>
      </c>
      <c r="B48" s="236" t="s">
        <v>3882</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3883</v>
      </c>
      <c r="B49" s="237" t="s">
        <v>3884</v>
      </c>
      <c r="C49" s="237" t="s">
        <v>3885</v>
      </c>
      <c r="D49" s="237" t="s">
        <v>3886</v>
      </c>
      <c r="E49" s="237" t="s">
        <v>3887</v>
      </c>
      <c r="F49" s="237" t="s">
        <v>21</v>
      </c>
      <c r="G49" s="237" t="s">
        <v>21</v>
      </c>
      <c r="H49" s="237" t="s">
        <v>3888</v>
      </c>
      <c r="I49" s="237" t="s">
        <v>3889</v>
      </c>
      <c r="J49" s="237" t="s">
        <v>3890</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3891</v>
      </c>
      <c r="B50" s="237" t="s">
        <v>3892</v>
      </c>
      <c r="C50" s="237" t="s">
        <v>3893</v>
      </c>
      <c r="D50" s="237" t="s">
        <v>21</v>
      </c>
      <c r="E50" s="237" t="s">
        <v>3894</v>
      </c>
      <c r="F50" s="237" t="s">
        <v>3895</v>
      </c>
      <c r="G50" s="237" t="s">
        <v>21</v>
      </c>
      <c r="H50" s="237" t="s">
        <v>3888</v>
      </c>
      <c r="I50" s="237" t="s">
        <v>3896</v>
      </c>
      <c r="J50" s="237" t="s">
        <v>3897</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3898</v>
      </c>
      <c r="B51" s="237" t="s">
        <v>3899</v>
      </c>
      <c r="C51" s="237" t="s">
        <v>3900</v>
      </c>
      <c r="D51" s="237" t="s">
        <v>21</v>
      </c>
      <c r="E51" s="237" t="s">
        <v>21</v>
      </c>
      <c r="F51" s="237" t="s">
        <v>3901</v>
      </c>
      <c r="G51" s="237" t="s">
        <v>21</v>
      </c>
      <c r="H51" s="237" t="s">
        <v>3888</v>
      </c>
      <c r="I51" s="237" t="s">
        <v>3902</v>
      </c>
      <c r="J51" s="237" t="s">
        <v>3903</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3904</v>
      </c>
      <c r="B52" s="237" t="s">
        <v>3905</v>
      </c>
      <c r="C52" s="237" t="s">
        <v>3906</v>
      </c>
      <c r="D52" s="237" t="s">
        <v>21</v>
      </c>
      <c r="E52" s="237" t="s">
        <v>21</v>
      </c>
      <c r="F52" s="237" t="s">
        <v>3907</v>
      </c>
      <c r="G52" s="237" t="s">
        <v>21</v>
      </c>
      <c r="H52" s="237" t="s">
        <v>3888</v>
      </c>
      <c r="I52" s="237" t="s">
        <v>3908</v>
      </c>
      <c r="J52" s="237" t="s">
        <v>3909</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3910</v>
      </c>
      <c r="B53" s="237" t="s">
        <v>3911</v>
      </c>
      <c r="C53" s="237" t="s">
        <v>3912</v>
      </c>
      <c r="D53" s="237" t="s">
        <v>3913</v>
      </c>
      <c r="E53" s="237" t="s">
        <v>3914</v>
      </c>
      <c r="F53" s="237" t="s">
        <v>21</v>
      </c>
      <c r="G53" s="237" t="s">
        <v>21</v>
      </c>
      <c r="H53" s="237" t="s">
        <v>3915</v>
      </c>
      <c r="I53" s="237" t="s">
        <v>21</v>
      </c>
      <c r="J53" s="237" t="s">
        <v>3916</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3917</v>
      </c>
      <c r="B54" s="237" t="s">
        <v>3918</v>
      </c>
      <c r="C54" s="237" t="s">
        <v>3912</v>
      </c>
      <c r="D54" s="237" t="s">
        <v>3913</v>
      </c>
      <c r="E54" s="237" t="s">
        <v>21</v>
      </c>
      <c r="F54" s="237" t="s">
        <v>21</v>
      </c>
      <c r="G54" s="237" t="s">
        <v>21</v>
      </c>
      <c r="H54" s="237" t="s">
        <v>3919</v>
      </c>
      <c r="I54" s="237" t="s">
        <v>3920</v>
      </c>
      <c r="J54" s="237" t="s">
        <v>3921</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946</v>
      </c>
      <c r="B55" s="236" t="s">
        <v>3922</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3923</v>
      </c>
      <c r="B56" s="237" t="s">
        <v>3924</v>
      </c>
      <c r="C56" s="237" t="s">
        <v>3925</v>
      </c>
      <c r="D56" s="237" t="s">
        <v>3926</v>
      </c>
      <c r="E56" s="237" t="s">
        <v>3927</v>
      </c>
      <c r="F56" s="237" t="s">
        <v>21</v>
      </c>
      <c r="G56" s="237" t="s">
        <v>3928</v>
      </c>
      <c r="H56" s="237" t="s">
        <v>21</v>
      </c>
      <c r="I56" s="237" t="s">
        <v>21</v>
      </c>
      <c r="J56" s="237" t="s">
        <v>3929</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3930</v>
      </c>
      <c r="B57" s="237" t="s">
        <v>3931</v>
      </c>
      <c r="C57" s="237" t="s">
        <v>3932</v>
      </c>
      <c r="D57" s="237" t="s">
        <v>3933</v>
      </c>
      <c r="E57" s="237" t="s">
        <v>3934</v>
      </c>
      <c r="F57" s="237" t="s">
        <v>21</v>
      </c>
      <c r="G57" s="237" t="s">
        <v>3935</v>
      </c>
      <c r="H57" s="237" t="s">
        <v>3936</v>
      </c>
      <c r="I57" s="237" t="s">
        <v>21</v>
      </c>
      <c r="J57" s="237" t="s">
        <v>3937</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950</v>
      </c>
      <c r="B58" s="236" t="s">
        <v>3938</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3939</v>
      </c>
      <c r="B59" s="237" t="s">
        <v>3940</v>
      </c>
      <c r="C59" s="237" t="s">
        <v>3941</v>
      </c>
      <c r="D59" s="237" t="s">
        <v>3942</v>
      </c>
      <c r="E59" s="237" t="s">
        <v>21</v>
      </c>
      <c r="F59" s="237" t="s">
        <v>21</v>
      </c>
      <c r="G59" s="237" t="s">
        <v>3943</v>
      </c>
      <c r="H59" s="237" t="s">
        <v>3944</v>
      </c>
      <c r="I59" s="237" t="s">
        <v>3945</v>
      </c>
      <c r="J59" s="237" t="s">
        <v>3946</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3947</v>
      </c>
      <c r="B60" s="237" t="s">
        <v>3948</v>
      </c>
      <c r="C60" s="237" t="s">
        <v>3949</v>
      </c>
      <c r="D60" s="237" t="s">
        <v>21</v>
      </c>
      <c r="E60" s="237" t="s">
        <v>3950</v>
      </c>
      <c r="F60" s="237" t="s">
        <v>3951</v>
      </c>
      <c r="G60" s="237" t="s">
        <v>21</v>
      </c>
      <c r="H60" s="237" t="s">
        <v>3952</v>
      </c>
      <c r="I60" s="237" t="s">
        <v>3953</v>
      </c>
      <c r="J60" s="237" t="s">
        <v>3954</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3955</v>
      </c>
      <c r="B61" s="237" t="s">
        <v>3956</v>
      </c>
      <c r="C61" s="237" t="s">
        <v>3957</v>
      </c>
      <c r="D61" s="237" t="s">
        <v>21</v>
      </c>
      <c r="E61" s="237" t="s">
        <v>21</v>
      </c>
      <c r="F61" s="237" t="s">
        <v>21</v>
      </c>
      <c r="G61" s="237" t="s">
        <v>3958</v>
      </c>
      <c r="H61" s="237" t="s">
        <v>3959</v>
      </c>
      <c r="I61" s="237" t="s">
        <v>3960</v>
      </c>
      <c r="J61" s="237" t="s">
        <v>3961</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3962</v>
      </c>
      <c r="B62" s="237" t="s">
        <v>3963</v>
      </c>
      <c r="C62" s="237" t="s">
        <v>3964</v>
      </c>
      <c r="D62" s="237" t="s">
        <v>3965</v>
      </c>
      <c r="E62" s="237" t="s">
        <v>21</v>
      </c>
      <c r="F62" s="237" t="s">
        <v>21</v>
      </c>
      <c r="G62" s="237" t="s">
        <v>21</v>
      </c>
      <c r="H62" s="237" t="s">
        <v>3966</v>
      </c>
      <c r="I62" s="237" t="s">
        <v>3967</v>
      </c>
      <c r="J62" s="237" t="s">
        <v>3968</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954</v>
      </c>
      <c r="B63" s="236" t="s">
        <v>3969</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3970</v>
      </c>
      <c r="B64" s="237" t="s">
        <v>3971</v>
      </c>
      <c r="C64" s="237" t="s">
        <v>3972</v>
      </c>
      <c r="D64" s="237" t="s">
        <v>3973</v>
      </c>
      <c r="E64" s="237" t="s">
        <v>21</v>
      </c>
      <c r="F64" s="237" t="s">
        <v>21</v>
      </c>
      <c r="G64" s="237" t="s">
        <v>3974</v>
      </c>
      <c r="H64" s="237" t="s">
        <v>3975</v>
      </c>
      <c r="I64" s="237" t="s">
        <v>3976</v>
      </c>
      <c r="J64" s="237" t="s">
        <v>3977</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3978</v>
      </c>
      <c r="B65" s="237" t="s">
        <v>3979</v>
      </c>
      <c r="C65" s="237" t="s">
        <v>3980</v>
      </c>
      <c r="D65" s="237" t="s">
        <v>3981</v>
      </c>
      <c r="E65" s="237" t="s">
        <v>21</v>
      </c>
      <c r="F65" s="237" t="s">
        <v>21</v>
      </c>
      <c r="G65" s="237" t="s">
        <v>21</v>
      </c>
      <c r="H65" s="237" t="s">
        <v>3982</v>
      </c>
      <c r="I65" s="237" t="s">
        <v>3983</v>
      </c>
      <c r="J65" s="237" t="s">
        <v>3984</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3985</v>
      </c>
      <c r="B66" s="237" t="s">
        <v>3986</v>
      </c>
      <c r="C66" s="237" t="s">
        <v>3987</v>
      </c>
      <c r="D66" s="237" t="s">
        <v>3988</v>
      </c>
      <c r="E66" s="237" t="s">
        <v>21</v>
      </c>
      <c r="F66" s="237" t="s">
        <v>21</v>
      </c>
      <c r="G66" s="237" t="s">
        <v>21</v>
      </c>
      <c r="H66" s="237" t="s">
        <v>3989</v>
      </c>
      <c r="I66" s="237" t="s">
        <v>3990</v>
      </c>
      <c r="J66" s="237" t="s">
        <v>3991</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3992</v>
      </c>
      <c r="B67" s="237" t="s">
        <v>3993</v>
      </c>
      <c r="C67" s="237" t="s">
        <v>3994</v>
      </c>
      <c r="D67" s="237" t="s">
        <v>3995</v>
      </c>
      <c r="E67" s="237" t="s">
        <v>21</v>
      </c>
      <c r="F67" s="237" t="s">
        <v>21</v>
      </c>
      <c r="G67" s="237" t="s">
        <v>21</v>
      </c>
      <c r="H67" s="237" t="s">
        <v>3996</v>
      </c>
      <c r="I67" s="237" t="s">
        <v>21</v>
      </c>
      <c r="J67" s="237" t="s">
        <v>3997</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3998</v>
      </c>
      <c r="B68" s="237" t="s">
        <v>3999</v>
      </c>
      <c r="C68" s="237" t="s">
        <v>4000</v>
      </c>
      <c r="D68" s="237" t="s">
        <v>21</v>
      </c>
      <c r="E68" s="237" t="s">
        <v>21</v>
      </c>
      <c r="F68" s="237" t="s">
        <v>21</v>
      </c>
      <c r="G68" s="237" t="s">
        <v>21</v>
      </c>
      <c r="H68" s="237" t="s">
        <v>4001</v>
      </c>
      <c r="I68" s="237" t="s">
        <v>21</v>
      </c>
      <c r="J68" s="237" t="s">
        <v>4002</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958</v>
      </c>
      <c r="B69" s="236" t="s">
        <v>4003</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4004</v>
      </c>
      <c r="B70" s="237" t="s">
        <v>4005</v>
      </c>
      <c r="C70" s="237" t="s">
        <v>4006</v>
      </c>
      <c r="D70" s="237" t="s">
        <v>21</v>
      </c>
      <c r="E70" s="237" t="s">
        <v>21</v>
      </c>
      <c r="F70" s="237" t="s">
        <v>21</v>
      </c>
      <c r="G70" s="237" t="s">
        <v>4007</v>
      </c>
      <c r="H70" s="237" t="s">
        <v>4008</v>
      </c>
      <c r="I70" s="237" t="s">
        <v>21</v>
      </c>
      <c r="J70" s="237" t="s">
        <v>4009</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4010</v>
      </c>
      <c r="B71" s="237" t="s">
        <v>4011</v>
      </c>
      <c r="C71" s="237" t="s">
        <v>4012</v>
      </c>
      <c r="D71" s="237" t="s">
        <v>21</v>
      </c>
      <c r="E71" s="237" t="s">
        <v>21</v>
      </c>
      <c r="F71" s="237" t="s">
        <v>21</v>
      </c>
      <c r="G71" s="237" t="s">
        <v>21</v>
      </c>
      <c r="H71" s="237" t="s">
        <v>4013</v>
      </c>
      <c r="I71" s="237" t="s">
        <v>21</v>
      </c>
      <c r="J71" s="237" t="s">
        <v>4014</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4015</v>
      </c>
      <c r="B72" s="237" t="s">
        <v>4016</v>
      </c>
      <c r="C72" s="237" t="s">
        <v>4017</v>
      </c>
      <c r="D72" s="237" t="s">
        <v>4018</v>
      </c>
      <c r="E72" s="237" t="s">
        <v>4019</v>
      </c>
      <c r="F72" s="237" t="s">
        <v>21</v>
      </c>
      <c r="G72" s="237" t="s">
        <v>21</v>
      </c>
      <c r="H72" s="237" t="s">
        <v>4020</v>
      </c>
      <c r="I72" s="237" t="s">
        <v>21</v>
      </c>
      <c r="J72" s="237" t="s">
        <v>4021</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4022</v>
      </c>
      <c r="B73" s="237" t="s">
        <v>4023</v>
      </c>
      <c r="C73" s="237" t="s">
        <v>4024</v>
      </c>
      <c r="D73" s="237" t="s">
        <v>4025</v>
      </c>
      <c r="E73" s="237" t="s">
        <v>4019</v>
      </c>
      <c r="F73" s="237" t="s">
        <v>21</v>
      </c>
      <c r="G73" s="237" t="s">
        <v>4026</v>
      </c>
      <c r="H73" s="237" t="s">
        <v>4027</v>
      </c>
      <c r="I73" s="237" t="s">
        <v>21</v>
      </c>
      <c r="J73" s="237" t="s">
        <v>4028</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4029</v>
      </c>
      <c r="B74" s="237" t="s">
        <v>4030</v>
      </c>
      <c r="C74" s="237" t="s">
        <v>4031</v>
      </c>
      <c r="D74" s="237" t="s">
        <v>4025</v>
      </c>
      <c r="E74" s="237" t="s">
        <v>4032</v>
      </c>
      <c r="F74" s="237" t="s">
        <v>21</v>
      </c>
      <c r="G74" s="237" t="s">
        <v>4033</v>
      </c>
      <c r="H74" s="237" t="s">
        <v>4034</v>
      </c>
      <c r="I74" s="237" t="s">
        <v>4035</v>
      </c>
      <c r="J74" s="237" t="s">
        <v>4036</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4037</v>
      </c>
      <c r="B75" s="237" t="s">
        <v>4038</v>
      </c>
      <c r="C75" s="237" t="s">
        <v>4039</v>
      </c>
      <c r="D75" s="237" t="s">
        <v>4040</v>
      </c>
      <c r="E75" s="237" t="s">
        <v>4032</v>
      </c>
      <c r="F75" s="237" t="s">
        <v>4041</v>
      </c>
      <c r="G75" s="237" t="s">
        <v>4042</v>
      </c>
      <c r="H75" s="237" t="s">
        <v>4043</v>
      </c>
      <c r="I75" s="237" t="s">
        <v>4044</v>
      </c>
      <c r="J75" s="237" t="s">
        <v>4045</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4046</v>
      </c>
      <c r="B76" s="237" t="s">
        <v>4047</v>
      </c>
      <c r="C76" s="237" t="s">
        <v>4048</v>
      </c>
      <c r="D76" s="237" t="s">
        <v>4049</v>
      </c>
      <c r="E76" s="237" t="s">
        <v>21</v>
      </c>
      <c r="F76" s="237" t="s">
        <v>21</v>
      </c>
      <c r="G76" s="237" t="s">
        <v>21</v>
      </c>
      <c r="H76" s="237" t="s">
        <v>4050</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4051</v>
      </c>
      <c r="B77" s="237" t="s">
        <v>4052</v>
      </c>
      <c r="C77" s="237" t="s">
        <v>4053</v>
      </c>
      <c r="D77" s="237" t="s">
        <v>21</v>
      </c>
      <c r="E77" s="237" t="s">
        <v>21</v>
      </c>
      <c r="F77" s="237" t="s">
        <v>21</v>
      </c>
      <c r="G77" s="237" t="s">
        <v>4054</v>
      </c>
      <c r="H77" s="237" t="s">
        <v>4055</v>
      </c>
      <c r="I77" s="237" t="s">
        <v>21</v>
      </c>
      <c r="J77" s="237" t="s">
        <v>4056</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4057</v>
      </c>
      <c r="B78" s="237" t="s">
        <v>4058</v>
      </c>
      <c r="C78" s="237" t="s">
        <v>4059</v>
      </c>
      <c r="D78" s="237" t="s">
        <v>21</v>
      </c>
      <c r="E78" s="237" t="s">
        <v>21</v>
      </c>
      <c r="F78" s="237" t="s">
        <v>21</v>
      </c>
      <c r="G78" s="237" t="s">
        <v>4060</v>
      </c>
      <c r="H78" s="237" t="s">
        <v>4061</v>
      </c>
      <c r="I78" s="237" t="s">
        <v>4062</v>
      </c>
      <c r="J78" s="237" t="s">
        <v>4063</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4064</v>
      </c>
      <c r="B79" s="235" t="s">
        <v>4065</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992</v>
      </c>
      <c r="B80" s="236" t="s">
        <v>4066</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4067</v>
      </c>
      <c r="B81" s="237" t="s">
        <v>4068</v>
      </c>
      <c r="C81" s="237" t="s">
        <v>4069</v>
      </c>
      <c r="D81" s="237" t="s">
        <v>3864</v>
      </c>
      <c r="E81" s="237" t="s">
        <v>4070</v>
      </c>
      <c r="F81" s="237" t="s">
        <v>21</v>
      </c>
      <c r="G81" s="237" t="s">
        <v>21</v>
      </c>
      <c r="H81" s="237" t="s">
        <v>4071</v>
      </c>
      <c r="I81" s="237" t="s">
        <v>21</v>
      </c>
      <c r="J81" s="237" t="s">
        <v>4072</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4073</v>
      </c>
      <c r="B82" s="237" t="s">
        <v>4074</v>
      </c>
      <c r="C82" s="237" t="s">
        <v>3655</v>
      </c>
      <c r="D82" s="237" t="s">
        <v>3656</v>
      </c>
      <c r="E82" s="237" t="s">
        <v>21</v>
      </c>
      <c r="F82" s="237" t="s">
        <v>3658</v>
      </c>
      <c r="G82" s="237" t="s">
        <v>21</v>
      </c>
      <c r="H82" s="237" t="s">
        <v>4075</v>
      </c>
      <c r="I82" s="237" t="s">
        <v>21</v>
      </c>
      <c r="J82" s="237" t="s">
        <v>4076</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997</v>
      </c>
      <c r="B83" s="236" t="s">
        <v>4077</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4078</v>
      </c>
      <c r="B84" s="237" t="s">
        <v>4079</v>
      </c>
      <c r="C84" s="237" t="s">
        <v>4080</v>
      </c>
      <c r="D84" s="237" t="s">
        <v>4081</v>
      </c>
      <c r="E84" s="237" t="s">
        <v>21</v>
      </c>
      <c r="F84" s="237" t="s">
        <v>4082</v>
      </c>
      <c r="G84" s="237" t="s">
        <v>4083</v>
      </c>
      <c r="H84" s="237" t="s">
        <v>4084</v>
      </c>
      <c r="I84" s="237" t="s">
        <v>4085</v>
      </c>
      <c r="J84" s="237" t="s">
        <v>4086</v>
      </c>
      <c r="K84" s="240">
        <f>IF(COUNTIF(L84:AY84,"&lt;&gt;")=0,"",SUMPRODUCT(((Recommendations[ImplStatus]="Implemented")+(Recommendations[ImplStatus]="Compensated"))*ISNUMBER(MATCH(Recommendations[Id],L84:AY84,0)))/COUNTIF(L84:AY84,"&lt;&gt;"))</f>
        <v>0</v>
      </c>
      <c r="L84" s="243" t="s">
        <v>25</v>
      </c>
      <c r="M84" s="243" t="s">
        <v>87</v>
      </c>
      <c r="N84" s="243" t="s">
        <v>367</v>
      </c>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4087</v>
      </c>
      <c r="B85" s="237" t="s">
        <v>4088</v>
      </c>
      <c r="C85" s="237" t="s">
        <v>4089</v>
      </c>
      <c r="D85" s="237" t="s">
        <v>4090</v>
      </c>
      <c r="E85" s="237" t="s">
        <v>21</v>
      </c>
      <c r="F85" s="237" t="s">
        <v>21</v>
      </c>
      <c r="G85" s="237" t="s">
        <v>21</v>
      </c>
      <c r="H85" s="237" t="s">
        <v>4091</v>
      </c>
      <c r="I85" s="237" t="s">
        <v>4092</v>
      </c>
      <c r="J85" s="237" t="s">
        <v>4093</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4094</v>
      </c>
      <c r="B86" s="237" t="s">
        <v>4095</v>
      </c>
      <c r="C86" s="237" t="s">
        <v>4096</v>
      </c>
      <c r="D86" s="237" t="s">
        <v>4097</v>
      </c>
      <c r="E86" s="237" t="s">
        <v>21</v>
      </c>
      <c r="F86" s="237" t="s">
        <v>21</v>
      </c>
      <c r="G86" s="237" t="s">
        <v>4098</v>
      </c>
      <c r="H86" s="237" t="s">
        <v>4099</v>
      </c>
      <c r="I86" s="237" t="s">
        <v>21</v>
      </c>
      <c r="J86" s="237" t="s">
        <v>4100</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4101</v>
      </c>
      <c r="B87" s="237" t="s">
        <v>4102</v>
      </c>
      <c r="C87" s="237" t="s">
        <v>4103</v>
      </c>
      <c r="D87" s="237" t="s">
        <v>4104</v>
      </c>
      <c r="E87" s="237" t="s">
        <v>21</v>
      </c>
      <c r="F87" s="237" t="s">
        <v>4105</v>
      </c>
      <c r="G87" s="237" t="s">
        <v>21</v>
      </c>
      <c r="H87" s="237" t="s">
        <v>4106</v>
      </c>
      <c r="I87" s="237" t="s">
        <v>4107</v>
      </c>
      <c r="J87" s="237" t="s">
        <v>4108</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4109</v>
      </c>
      <c r="B88" s="235" t="s">
        <v>4110</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1044</v>
      </c>
      <c r="B89" s="236" t="s">
        <v>4111</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4112</v>
      </c>
      <c r="B90" s="237" t="s">
        <v>4113</v>
      </c>
      <c r="C90" s="237" t="s">
        <v>4114</v>
      </c>
      <c r="D90" s="237" t="s">
        <v>3864</v>
      </c>
      <c r="E90" s="237" t="s">
        <v>3650</v>
      </c>
      <c r="F90" s="237" t="s">
        <v>21</v>
      </c>
      <c r="G90" s="237" t="s">
        <v>21</v>
      </c>
      <c r="H90" s="237" t="s">
        <v>4115</v>
      </c>
      <c r="I90" s="237" t="s">
        <v>21</v>
      </c>
      <c r="J90" s="237" t="s">
        <v>4116</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4117</v>
      </c>
      <c r="B91" s="237" t="s">
        <v>4118</v>
      </c>
      <c r="C91" s="237" t="s">
        <v>4119</v>
      </c>
      <c r="D91" s="237" t="s">
        <v>3656</v>
      </c>
      <c r="E91" s="237" t="s">
        <v>21</v>
      </c>
      <c r="F91" s="237" t="s">
        <v>3658</v>
      </c>
      <c r="G91" s="237" t="s">
        <v>21</v>
      </c>
      <c r="H91" s="237" t="s">
        <v>4120</v>
      </c>
      <c r="I91" s="237" t="s">
        <v>21</v>
      </c>
      <c r="J91" s="237" t="s">
        <v>4121</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1048</v>
      </c>
      <c r="B92" s="236" t="s">
        <v>4122</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4123</v>
      </c>
      <c r="B93" s="237" t="s">
        <v>4124</v>
      </c>
      <c r="C93" s="237" t="s">
        <v>4125</v>
      </c>
      <c r="D93" s="237" t="s">
        <v>4126</v>
      </c>
      <c r="E93" s="237" t="s">
        <v>4127</v>
      </c>
      <c r="F93" s="237" t="s">
        <v>21</v>
      </c>
      <c r="G93" s="237" t="s">
        <v>21</v>
      </c>
      <c r="H93" s="237" t="s">
        <v>4128</v>
      </c>
      <c r="I93" s="237" t="s">
        <v>21</v>
      </c>
      <c r="J93" s="237" t="s">
        <v>4129</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4130</v>
      </c>
      <c r="B94" s="237" t="s">
        <v>4131</v>
      </c>
      <c r="C94" s="237" t="s">
        <v>4132</v>
      </c>
      <c r="D94" s="237" t="s">
        <v>4133</v>
      </c>
      <c r="E94" s="237" t="s">
        <v>21</v>
      </c>
      <c r="F94" s="237" t="s">
        <v>4134</v>
      </c>
      <c r="G94" s="237" t="s">
        <v>21</v>
      </c>
      <c r="H94" s="237" t="s">
        <v>4135</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4136</v>
      </c>
      <c r="B95" s="237" t="s">
        <v>4137</v>
      </c>
      <c r="C95" s="237" t="s">
        <v>4138</v>
      </c>
      <c r="D95" s="237" t="s">
        <v>4139</v>
      </c>
      <c r="E95" s="237" t="s">
        <v>21</v>
      </c>
      <c r="F95" s="237" t="s">
        <v>21</v>
      </c>
      <c r="G95" s="237" t="s">
        <v>21</v>
      </c>
      <c r="H95" s="237" t="s">
        <v>4140</v>
      </c>
      <c r="I95" s="237" t="s">
        <v>4141</v>
      </c>
      <c r="J95" s="237" t="s">
        <v>4142</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4143</v>
      </c>
      <c r="B96" s="237" t="s">
        <v>4144</v>
      </c>
      <c r="C96" s="237" t="s">
        <v>4145</v>
      </c>
      <c r="D96" s="237" t="s">
        <v>21</v>
      </c>
      <c r="E96" s="237" t="s">
        <v>21</v>
      </c>
      <c r="F96" s="237" t="s">
        <v>21</v>
      </c>
      <c r="G96" s="237" t="s">
        <v>21</v>
      </c>
      <c r="H96" s="237" t="s">
        <v>4146</v>
      </c>
      <c r="I96" s="237" t="s">
        <v>4092</v>
      </c>
      <c r="J96" s="237" t="s">
        <v>4147</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1052</v>
      </c>
      <c r="B97" s="236" t="s">
        <v>4148</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4149</v>
      </c>
      <c r="B98" s="237" t="s">
        <v>4150</v>
      </c>
      <c r="C98" s="237" t="s">
        <v>4151</v>
      </c>
      <c r="D98" s="237" t="s">
        <v>4152</v>
      </c>
      <c r="E98" s="237" t="s">
        <v>21</v>
      </c>
      <c r="F98" s="237" t="s">
        <v>21</v>
      </c>
      <c r="G98" s="237" t="s">
        <v>21</v>
      </c>
      <c r="H98" s="237" t="s">
        <v>4153</v>
      </c>
      <c r="I98" s="237" t="s">
        <v>21</v>
      </c>
      <c r="J98" s="237" t="s">
        <v>4154</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4155</v>
      </c>
      <c r="B99" s="237" t="s">
        <v>4156</v>
      </c>
      <c r="C99" s="237" t="s">
        <v>4157</v>
      </c>
      <c r="D99" s="237" t="s">
        <v>4158</v>
      </c>
      <c r="E99" s="237" t="s">
        <v>4159</v>
      </c>
      <c r="F99" s="237" t="s">
        <v>21</v>
      </c>
      <c r="G99" s="237" t="s">
        <v>21</v>
      </c>
      <c r="H99" s="237" t="s">
        <v>4160</v>
      </c>
      <c r="I99" s="237" t="s">
        <v>21</v>
      </c>
      <c r="J99" s="237" t="s">
        <v>4161</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4162</v>
      </c>
      <c r="B100" s="237" t="s">
        <v>4163</v>
      </c>
      <c r="C100" s="237" t="s">
        <v>4164</v>
      </c>
      <c r="D100" s="237" t="s">
        <v>21</v>
      </c>
      <c r="E100" s="237" t="s">
        <v>21</v>
      </c>
      <c r="F100" s="237" t="s">
        <v>21</v>
      </c>
      <c r="G100" s="237" t="s">
        <v>21</v>
      </c>
      <c r="H100" s="237" t="s">
        <v>4165</v>
      </c>
      <c r="I100" s="237" t="s">
        <v>4166</v>
      </c>
      <c r="J100" s="237" t="s">
        <v>4167</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4168</v>
      </c>
      <c r="B101" s="237" t="s">
        <v>4169</v>
      </c>
      <c r="C101" s="237" t="s">
        <v>4170</v>
      </c>
      <c r="D101" s="237" t="s">
        <v>21</v>
      </c>
      <c r="E101" s="237" t="s">
        <v>21</v>
      </c>
      <c r="F101" s="237" t="s">
        <v>21</v>
      </c>
      <c r="G101" s="237" t="s">
        <v>21</v>
      </c>
      <c r="H101" s="237" t="s">
        <v>4171</v>
      </c>
      <c r="I101" s="237" t="s">
        <v>4092</v>
      </c>
      <c r="J101" s="237" t="s">
        <v>4172</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4173</v>
      </c>
      <c r="B102" s="237" t="s">
        <v>4174</v>
      </c>
      <c r="C102" s="237" t="s">
        <v>4175</v>
      </c>
      <c r="D102" s="237" t="s">
        <v>4176</v>
      </c>
      <c r="E102" s="237" t="s">
        <v>21</v>
      </c>
      <c r="F102" s="237" t="s">
        <v>21</v>
      </c>
      <c r="G102" s="237" t="s">
        <v>21</v>
      </c>
      <c r="H102" s="237" t="s">
        <v>4177</v>
      </c>
      <c r="I102" s="237" t="s">
        <v>21</v>
      </c>
      <c r="J102" s="237" t="s">
        <v>4178</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4179</v>
      </c>
      <c r="B103" s="237" t="s">
        <v>4180</v>
      </c>
      <c r="C103" s="237" t="s">
        <v>4181</v>
      </c>
      <c r="D103" s="237" t="s">
        <v>4176</v>
      </c>
      <c r="E103" s="237" t="s">
        <v>21</v>
      </c>
      <c r="F103" s="237" t="s">
        <v>4182</v>
      </c>
      <c r="G103" s="237" t="s">
        <v>21</v>
      </c>
      <c r="H103" s="237" t="s">
        <v>4183</v>
      </c>
      <c r="I103" s="237" t="s">
        <v>4184</v>
      </c>
      <c r="J103" s="237" t="s">
        <v>4185</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1056</v>
      </c>
      <c r="B104" s="236" t="s">
        <v>4186</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4187</v>
      </c>
      <c r="B105" s="237" t="s">
        <v>4188</v>
      </c>
      <c r="C105" s="237" t="s">
        <v>4189</v>
      </c>
      <c r="D105" s="237" t="s">
        <v>4190</v>
      </c>
      <c r="E105" s="237" t="s">
        <v>4191</v>
      </c>
      <c r="F105" s="237" t="s">
        <v>21</v>
      </c>
      <c r="G105" s="237" t="s">
        <v>21</v>
      </c>
      <c r="H105" s="237" t="s">
        <v>4192</v>
      </c>
      <c r="I105" s="237" t="s">
        <v>4193</v>
      </c>
      <c r="J105" s="237" t="s">
        <v>4194</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4195</v>
      </c>
      <c r="B106" s="235" t="s">
        <v>4196</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1070</v>
      </c>
      <c r="B107" s="236" t="s">
        <v>4197</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4198</v>
      </c>
      <c r="B108" s="237" t="s">
        <v>4199</v>
      </c>
      <c r="C108" s="237" t="s">
        <v>4200</v>
      </c>
      <c r="D108" s="237" t="s">
        <v>3864</v>
      </c>
      <c r="E108" s="237" t="s">
        <v>3650</v>
      </c>
      <c r="F108" s="237" t="s">
        <v>21</v>
      </c>
      <c r="G108" s="237" t="s">
        <v>21</v>
      </c>
      <c r="H108" s="237" t="s">
        <v>4201</v>
      </c>
      <c r="I108" s="237" t="s">
        <v>21</v>
      </c>
      <c r="J108" s="237" t="s">
        <v>4202</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4203</v>
      </c>
      <c r="B109" s="237" t="s">
        <v>4204</v>
      </c>
      <c r="C109" s="237" t="s">
        <v>4205</v>
      </c>
      <c r="D109" s="237" t="s">
        <v>3656</v>
      </c>
      <c r="E109" s="237" t="s">
        <v>21</v>
      </c>
      <c r="F109" s="237" t="s">
        <v>3658</v>
      </c>
      <c r="G109" s="237" t="s">
        <v>21</v>
      </c>
      <c r="H109" s="237" t="s">
        <v>4206</v>
      </c>
      <c r="I109" s="237" t="s">
        <v>21</v>
      </c>
      <c r="J109" s="237" t="s">
        <v>4207</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1074</v>
      </c>
      <c r="B110" s="236" t="s">
        <v>4208</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4209</v>
      </c>
      <c r="B111" s="237" t="s">
        <v>4210</v>
      </c>
      <c r="C111" s="237" t="s">
        <v>4211</v>
      </c>
      <c r="D111" s="237" t="s">
        <v>4212</v>
      </c>
      <c r="E111" s="237" t="s">
        <v>21</v>
      </c>
      <c r="F111" s="237" t="s">
        <v>4213</v>
      </c>
      <c r="G111" s="237" t="s">
        <v>21</v>
      </c>
      <c r="H111" s="237" t="s">
        <v>4214</v>
      </c>
      <c r="I111" s="237" t="s">
        <v>4215</v>
      </c>
      <c r="J111" s="237" t="s">
        <v>4216</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4217</v>
      </c>
      <c r="B112" s="237" t="s">
        <v>4218</v>
      </c>
      <c r="C112" s="237" t="s">
        <v>4219</v>
      </c>
      <c r="D112" s="237" t="s">
        <v>4220</v>
      </c>
      <c r="E112" s="237" t="s">
        <v>21</v>
      </c>
      <c r="F112" s="237" t="s">
        <v>21</v>
      </c>
      <c r="G112" s="237" t="s">
        <v>21</v>
      </c>
      <c r="H112" s="237" t="s">
        <v>4221</v>
      </c>
      <c r="I112" s="237" t="s">
        <v>21</v>
      </c>
      <c r="J112" s="237" t="s">
        <v>4222</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4223</v>
      </c>
      <c r="B113" s="237" t="s">
        <v>4224</v>
      </c>
      <c r="C113" s="237" t="s">
        <v>4225</v>
      </c>
      <c r="D113" s="237" t="s">
        <v>4226</v>
      </c>
      <c r="E113" s="237" t="s">
        <v>21</v>
      </c>
      <c r="F113" s="237" t="s">
        <v>21</v>
      </c>
      <c r="G113" s="237" t="s">
        <v>21</v>
      </c>
      <c r="H113" s="237" t="s">
        <v>4227</v>
      </c>
      <c r="I113" s="237" t="s">
        <v>4228</v>
      </c>
      <c r="J113" s="237" t="s">
        <v>4229</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4230</v>
      </c>
      <c r="B114" s="237" t="s">
        <v>4231</v>
      </c>
      <c r="C114" s="237" t="s">
        <v>4232</v>
      </c>
      <c r="D114" s="237" t="s">
        <v>4233</v>
      </c>
      <c r="E114" s="237" t="s">
        <v>21</v>
      </c>
      <c r="F114" s="237" t="s">
        <v>21</v>
      </c>
      <c r="G114" s="237" t="s">
        <v>4234</v>
      </c>
      <c r="H114" s="237" t="s">
        <v>4235</v>
      </c>
      <c r="I114" s="237" t="s">
        <v>4236</v>
      </c>
      <c r="J114" s="237" t="s">
        <v>4237</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4238</v>
      </c>
      <c r="B115" s="237" t="s">
        <v>4239</v>
      </c>
      <c r="C115" s="237" t="s">
        <v>4240</v>
      </c>
      <c r="D115" s="237" t="s">
        <v>4241</v>
      </c>
      <c r="E115" s="237" t="s">
        <v>21</v>
      </c>
      <c r="F115" s="237" t="s">
        <v>4242</v>
      </c>
      <c r="G115" s="237" t="s">
        <v>21</v>
      </c>
      <c r="H115" s="237" t="s">
        <v>4243</v>
      </c>
      <c r="I115" s="237" t="s">
        <v>4243</v>
      </c>
      <c r="J115" s="237" t="s">
        <v>4244</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1078</v>
      </c>
      <c r="B116" s="236" t="s">
        <v>4245</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4246</v>
      </c>
      <c r="B117" s="237" t="s">
        <v>4247</v>
      </c>
      <c r="C117" s="237" t="s">
        <v>4248</v>
      </c>
      <c r="D117" s="237" t="s">
        <v>4249</v>
      </c>
      <c r="E117" s="237" t="s">
        <v>21</v>
      </c>
      <c r="F117" s="237" t="s">
        <v>4250</v>
      </c>
      <c r="G117" s="237" t="s">
        <v>4251</v>
      </c>
      <c r="H117" s="237" t="s">
        <v>4252</v>
      </c>
      <c r="I117" s="237" t="s">
        <v>4253</v>
      </c>
      <c r="J117" s="237" t="s">
        <v>4254</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4255</v>
      </c>
      <c r="B118" s="237" t="s">
        <v>4256</v>
      </c>
      <c r="C118" s="237" t="s">
        <v>4257</v>
      </c>
      <c r="D118" s="237" t="s">
        <v>4258</v>
      </c>
      <c r="E118" s="237" t="s">
        <v>21</v>
      </c>
      <c r="F118" s="237" t="s">
        <v>21</v>
      </c>
      <c r="G118" s="237" t="s">
        <v>21</v>
      </c>
      <c r="H118" s="237" t="s">
        <v>4259</v>
      </c>
      <c r="I118" s="237" t="s">
        <v>4092</v>
      </c>
      <c r="J118" s="237" t="s">
        <v>4260</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4261</v>
      </c>
      <c r="B119" s="237" t="s">
        <v>4262</v>
      </c>
      <c r="C119" s="237" t="s">
        <v>4263</v>
      </c>
      <c r="D119" s="237" t="s">
        <v>4264</v>
      </c>
      <c r="E119" s="237" t="s">
        <v>21</v>
      </c>
      <c r="F119" s="237" t="s">
        <v>4265</v>
      </c>
      <c r="G119" s="237" t="s">
        <v>21</v>
      </c>
      <c r="H119" s="237" t="s">
        <v>4266</v>
      </c>
      <c r="I119" s="237" t="s">
        <v>4267</v>
      </c>
      <c r="J119" s="237" t="s">
        <v>4268</v>
      </c>
      <c r="K119" s="240">
        <f>IF(COUNTIF(L119:AY119,"&lt;&gt;")=0,"",SUMPRODUCT(((Recommendations[ImplStatus]="Implemented")+(Recommendations[ImplStatus]="Compensated"))*ISNUMBER(MATCH(Recommendations[Id],L119:AY119,0)))/COUNTIF(L119:AY119,"&lt;&gt;"))</f>
        <v>0</v>
      </c>
      <c r="L119" s="243" t="s">
        <v>144</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1082</v>
      </c>
      <c r="B120" s="236" t="s">
        <v>4269</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4270</v>
      </c>
      <c r="B121" s="237" t="s">
        <v>4271</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4272</v>
      </c>
      <c r="B122" s="237" t="s">
        <v>4273</v>
      </c>
      <c r="C122" s="237" t="s">
        <v>4274</v>
      </c>
      <c r="D122" s="237" t="s">
        <v>4275</v>
      </c>
      <c r="E122" s="237" t="s">
        <v>21</v>
      </c>
      <c r="F122" s="237" t="s">
        <v>4276</v>
      </c>
      <c r="G122" s="237" t="s">
        <v>21</v>
      </c>
      <c r="H122" s="237" t="s">
        <v>4277</v>
      </c>
      <c r="I122" s="237" t="s">
        <v>4278</v>
      </c>
      <c r="J122" s="237" t="s">
        <v>4279</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4280</v>
      </c>
      <c r="B123" s="237" t="s">
        <v>4281</v>
      </c>
      <c r="C123" s="237" t="s">
        <v>4282</v>
      </c>
      <c r="D123" s="237" t="s">
        <v>4283</v>
      </c>
      <c r="E123" s="237" t="s">
        <v>21</v>
      </c>
      <c r="F123" s="237" t="s">
        <v>4284</v>
      </c>
      <c r="G123" s="237" t="s">
        <v>21</v>
      </c>
      <c r="H123" s="237" t="s">
        <v>4285</v>
      </c>
      <c r="I123" s="237" t="s">
        <v>21</v>
      </c>
      <c r="J123" s="237" t="s">
        <v>4286</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1086</v>
      </c>
      <c r="B124" s="236" t="s">
        <v>4287</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4288</v>
      </c>
      <c r="B125" s="237" t="s">
        <v>4289</v>
      </c>
      <c r="C125" s="237" t="s">
        <v>4290</v>
      </c>
      <c r="D125" s="237" t="s">
        <v>4291</v>
      </c>
      <c r="E125" s="237" t="s">
        <v>21</v>
      </c>
      <c r="F125" s="237" t="s">
        <v>21</v>
      </c>
      <c r="G125" s="237" t="s">
        <v>21</v>
      </c>
      <c r="H125" s="237" t="s">
        <v>4292</v>
      </c>
      <c r="I125" s="237" t="s">
        <v>21</v>
      </c>
      <c r="J125" s="237" t="s">
        <v>4293</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4294</v>
      </c>
      <c r="B126" s="237" t="s">
        <v>4295</v>
      </c>
      <c r="C126" s="237" t="s">
        <v>4296</v>
      </c>
      <c r="D126" s="237" t="s">
        <v>4297</v>
      </c>
      <c r="E126" s="237" t="s">
        <v>21</v>
      </c>
      <c r="F126" s="237" t="s">
        <v>4298</v>
      </c>
      <c r="G126" s="237" t="s">
        <v>21</v>
      </c>
      <c r="H126" s="237" t="s">
        <v>4299</v>
      </c>
      <c r="I126" s="237" t="s">
        <v>4300</v>
      </c>
      <c r="J126" s="237" t="s">
        <v>4301</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4302</v>
      </c>
      <c r="B127" s="237" t="s">
        <v>4303</v>
      </c>
      <c r="C127" s="237" t="s">
        <v>4304</v>
      </c>
      <c r="D127" s="237" t="s">
        <v>4305</v>
      </c>
      <c r="E127" s="237" t="s">
        <v>4306</v>
      </c>
      <c r="F127" s="237" t="s">
        <v>21</v>
      </c>
      <c r="G127" s="237" t="s">
        <v>21</v>
      </c>
      <c r="H127" s="237" t="s">
        <v>4307</v>
      </c>
      <c r="I127" s="237" t="s">
        <v>21</v>
      </c>
      <c r="J127" s="237" t="s">
        <v>4308</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4309</v>
      </c>
      <c r="B128" s="237" t="s">
        <v>4310</v>
      </c>
      <c r="C128" s="237" t="s">
        <v>4311</v>
      </c>
      <c r="D128" s="237" t="s">
        <v>21</v>
      </c>
      <c r="E128" s="237" t="s">
        <v>21</v>
      </c>
      <c r="F128" s="237" t="s">
        <v>21</v>
      </c>
      <c r="G128" s="237" t="s">
        <v>21</v>
      </c>
      <c r="H128" s="237" t="s">
        <v>4312</v>
      </c>
      <c r="I128" s="237" t="s">
        <v>4313</v>
      </c>
      <c r="J128" s="237" t="s">
        <v>4314</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4315</v>
      </c>
      <c r="B129" s="237" t="s">
        <v>4316</v>
      </c>
      <c r="C129" s="237" t="s">
        <v>4317</v>
      </c>
      <c r="D129" s="237" t="s">
        <v>21</v>
      </c>
      <c r="E129" s="237" t="s">
        <v>4318</v>
      </c>
      <c r="F129" s="237" t="s">
        <v>21</v>
      </c>
      <c r="G129" s="237" t="s">
        <v>21</v>
      </c>
      <c r="H129" s="237" t="s">
        <v>4319</v>
      </c>
      <c r="I129" s="237" t="s">
        <v>21</v>
      </c>
      <c r="J129" s="237" t="s">
        <v>4320</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4321</v>
      </c>
      <c r="B130" s="237" t="s">
        <v>4322</v>
      </c>
      <c r="C130" s="237" t="s">
        <v>4323</v>
      </c>
      <c r="D130" s="237" t="s">
        <v>21</v>
      </c>
      <c r="E130" s="237" t="s">
        <v>21</v>
      </c>
      <c r="F130" s="237" t="s">
        <v>21</v>
      </c>
      <c r="G130" s="237" t="s">
        <v>21</v>
      </c>
      <c r="H130" s="237" t="s">
        <v>4324</v>
      </c>
      <c r="I130" s="237" t="s">
        <v>21</v>
      </c>
      <c r="J130" s="237" t="s">
        <v>4325</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4326</v>
      </c>
      <c r="B131" s="235" t="s">
        <v>4327</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1104</v>
      </c>
      <c r="B132" s="236" t="s">
        <v>4328</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4329</v>
      </c>
      <c r="B133" s="237" t="s">
        <v>4330</v>
      </c>
      <c r="C133" s="237" t="s">
        <v>4331</v>
      </c>
      <c r="D133" s="237" t="s">
        <v>3864</v>
      </c>
      <c r="E133" s="237" t="s">
        <v>3650</v>
      </c>
      <c r="F133" s="237" t="s">
        <v>21</v>
      </c>
      <c r="G133" s="237" t="s">
        <v>21</v>
      </c>
      <c r="H133" s="237" t="s">
        <v>4332</v>
      </c>
      <c r="I133" s="237" t="s">
        <v>21</v>
      </c>
      <c r="J133" s="237" t="s">
        <v>4333</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4334</v>
      </c>
      <c r="B134" s="237" t="s">
        <v>4335</v>
      </c>
      <c r="C134" s="237" t="s">
        <v>3869</v>
      </c>
      <c r="D134" s="237" t="s">
        <v>3656</v>
      </c>
      <c r="E134" s="237" t="s">
        <v>21</v>
      </c>
      <c r="F134" s="237" t="s">
        <v>3658</v>
      </c>
      <c r="G134" s="237" t="s">
        <v>21</v>
      </c>
      <c r="H134" s="237" t="s">
        <v>4336</v>
      </c>
      <c r="I134" s="237" t="s">
        <v>21</v>
      </c>
      <c r="J134" s="237" t="s">
        <v>4337</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1108</v>
      </c>
      <c r="B135" s="236" t="s">
        <v>4338</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4339</v>
      </c>
      <c r="B136" s="237" t="s">
        <v>4340</v>
      </c>
      <c r="C136" s="237" t="s">
        <v>4341</v>
      </c>
      <c r="D136" s="237" t="s">
        <v>4342</v>
      </c>
      <c r="E136" s="237" t="s">
        <v>4343</v>
      </c>
      <c r="F136" s="237" t="s">
        <v>4344</v>
      </c>
      <c r="G136" s="237" t="s">
        <v>21</v>
      </c>
      <c r="H136" s="237" t="s">
        <v>4345</v>
      </c>
      <c r="I136" s="237" t="s">
        <v>21</v>
      </c>
      <c r="J136" s="237" t="s">
        <v>4346</v>
      </c>
      <c r="K136" s="240">
        <f>IF(COUNTIF(L136:AY136,"&lt;&gt;")=0,"",SUMPRODUCT(((Recommendations[ImplStatus]="Implemented")+(Recommendations[ImplStatus]="Compensated"))*ISNUMBER(MATCH(Recommendations[Id],L136:AY136,0)))/COUNTIF(L136:AY136,"&lt;&gt;"))</f>
        <v>0</v>
      </c>
      <c r="L136" s="243" t="s">
        <v>72</v>
      </c>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4347</v>
      </c>
      <c r="B137" s="237" t="s">
        <v>4348</v>
      </c>
      <c r="C137" s="237" t="s">
        <v>4349</v>
      </c>
      <c r="D137" s="237" t="s">
        <v>4350</v>
      </c>
      <c r="E137" s="237" t="s">
        <v>21</v>
      </c>
      <c r="F137" s="237" t="s">
        <v>21</v>
      </c>
      <c r="G137" s="237" t="s">
        <v>21</v>
      </c>
      <c r="H137" s="237" t="s">
        <v>4351</v>
      </c>
      <c r="I137" s="237" t="s">
        <v>21</v>
      </c>
      <c r="J137" s="237" t="s">
        <v>4352</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4353</v>
      </c>
      <c r="B138" s="237" t="s">
        <v>4354</v>
      </c>
      <c r="C138" s="237" t="s">
        <v>4355</v>
      </c>
      <c r="D138" s="237" t="s">
        <v>21</v>
      </c>
      <c r="E138" s="237" t="s">
        <v>21</v>
      </c>
      <c r="F138" s="237" t="s">
        <v>21</v>
      </c>
      <c r="G138" s="237" t="s">
        <v>21</v>
      </c>
      <c r="H138" s="237" t="s">
        <v>4356</v>
      </c>
      <c r="I138" s="237" t="s">
        <v>21</v>
      </c>
      <c r="J138" s="237" t="s">
        <v>4357</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4358</v>
      </c>
      <c r="B139" s="237" t="s">
        <v>4359</v>
      </c>
      <c r="C139" s="237" t="s">
        <v>4360</v>
      </c>
      <c r="D139" s="237" t="s">
        <v>4361</v>
      </c>
      <c r="E139" s="237" t="s">
        <v>21</v>
      </c>
      <c r="F139" s="237" t="s">
        <v>21</v>
      </c>
      <c r="G139" s="237" t="s">
        <v>21</v>
      </c>
      <c r="H139" s="237" t="s">
        <v>4362</v>
      </c>
      <c r="I139" s="237" t="s">
        <v>4363</v>
      </c>
      <c r="J139" s="237" t="s">
        <v>4364</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4365</v>
      </c>
      <c r="B140" s="237" t="s">
        <v>4366</v>
      </c>
      <c r="C140" s="237" t="s">
        <v>4367</v>
      </c>
      <c r="D140" s="237" t="s">
        <v>4368</v>
      </c>
      <c r="E140" s="237" t="s">
        <v>21</v>
      </c>
      <c r="F140" s="237" t="s">
        <v>21</v>
      </c>
      <c r="G140" s="237" t="s">
        <v>21</v>
      </c>
      <c r="H140" s="237" t="s">
        <v>4369</v>
      </c>
      <c r="I140" s="237" t="s">
        <v>4092</v>
      </c>
      <c r="J140" s="237" t="s">
        <v>4370</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4371</v>
      </c>
      <c r="B141" s="237" t="s">
        <v>4372</v>
      </c>
      <c r="C141" s="237" t="s">
        <v>4373</v>
      </c>
      <c r="D141" s="237" t="s">
        <v>21</v>
      </c>
      <c r="E141" s="237" t="s">
        <v>4374</v>
      </c>
      <c r="F141" s="237" t="s">
        <v>21</v>
      </c>
      <c r="G141" s="237" t="s">
        <v>21</v>
      </c>
      <c r="H141" s="237" t="s">
        <v>4375</v>
      </c>
      <c r="I141" s="237" t="s">
        <v>4092</v>
      </c>
      <c r="J141" s="237" t="s">
        <v>4376</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4377</v>
      </c>
      <c r="B142" s="237" t="s">
        <v>4378</v>
      </c>
      <c r="C142" s="237" t="s">
        <v>4379</v>
      </c>
      <c r="D142" s="237" t="s">
        <v>4380</v>
      </c>
      <c r="E142" s="237" t="s">
        <v>4374</v>
      </c>
      <c r="F142" s="237" t="s">
        <v>21</v>
      </c>
      <c r="G142" s="237" t="s">
        <v>21</v>
      </c>
      <c r="H142" s="237" t="s">
        <v>4381</v>
      </c>
      <c r="I142" s="237" t="s">
        <v>4382</v>
      </c>
      <c r="J142" s="237" t="s">
        <v>4383</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1112</v>
      </c>
      <c r="B143" s="236" t="s">
        <v>4384</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4385</v>
      </c>
      <c r="B144" s="237" t="s">
        <v>4386</v>
      </c>
      <c r="C144" s="237" t="s">
        <v>4387</v>
      </c>
      <c r="D144" s="237" t="s">
        <v>21</v>
      </c>
      <c r="E144" s="237" t="s">
        <v>21</v>
      </c>
      <c r="F144" s="237" t="s">
        <v>21</v>
      </c>
      <c r="G144" s="237" t="s">
        <v>21</v>
      </c>
      <c r="H144" s="237" t="s">
        <v>4388</v>
      </c>
      <c r="I144" s="237" t="s">
        <v>21</v>
      </c>
      <c r="J144" s="237" t="s">
        <v>4389</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4390</v>
      </c>
      <c r="B145" s="237" t="s">
        <v>4391</v>
      </c>
      <c r="C145" s="237" t="s">
        <v>4392</v>
      </c>
      <c r="D145" s="237" t="s">
        <v>21</v>
      </c>
      <c r="E145" s="237" t="s">
        <v>21</v>
      </c>
      <c r="F145" s="237" t="s">
        <v>21</v>
      </c>
      <c r="G145" s="237" t="s">
        <v>21</v>
      </c>
      <c r="H145" s="237" t="s">
        <v>4393</v>
      </c>
      <c r="I145" s="237" t="s">
        <v>21</v>
      </c>
      <c r="J145" s="237" t="s">
        <v>4394</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4395</v>
      </c>
      <c r="B146" s="237" t="s">
        <v>4396</v>
      </c>
      <c r="C146" s="237" t="s">
        <v>4397</v>
      </c>
      <c r="D146" s="237" t="s">
        <v>4398</v>
      </c>
      <c r="E146" s="237" t="s">
        <v>21</v>
      </c>
      <c r="F146" s="237" t="s">
        <v>21</v>
      </c>
      <c r="G146" s="237" t="s">
        <v>21</v>
      </c>
      <c r="H146" s="237" t="s">
        <v>4399</v>
      </c>
      <c r="I146" s="237" t="s">
        <v>21</v>
      </c>
      <c r="J146" s="237" t="s">
        <v>4400</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4401</v>
      </c>
      <c r="B147" s="235" t="s">
        <v>4402</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1134</v>
      </c>
      <c r="B148" s="236" t="s">
        <v>4403</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4404</v>
      </c>
      <c r="B149" s="237" t="s">
        <v>4405</v>
      </c>
      <c r="C149" s="237" t="s">
        <v>4406</v>
      </c>
      <c r="D149" s="237" t="s">
        <v>3864</v>
      </c>
      <c r="E149" s="237" t="s">
        <v>3650</v>
      </c>
      <c r="F149" s="237" t="s">
        <v>21</v>
      </c>
      <c r="G149" s="237" t="s">
        <v>21</v>
      </c>
      <c r="H149" s="237" t="s">
        <v>4407</v>
      </c>
      <c r="I149" s="237" t="s">
        <v>21</v>
      </c>
      <c r="J149" s="237" t="s">
        <v>4408</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4409</v>
      </c>
      <c r="B150" s="237" t="s">
        <v>4410</v>
      </c>
      <c r="C150" s="237" t="s">
        <v>3655</v>
      </c>
      <c r="D150" s="237" t="s">
        <v>3656</v>
      </c>
      <c r="E150" s="237" t="s">
        <v>21</v>
      </c>
      <c r="F150" s="237" t="s">
        <v>3658</v>
      </c>
      <c r="G150" s="237" t="s">
        <v>21</v>
      </c>
      <c r="H150" s="237" t="s">
        <v>4411</v>
      </c>
      <c r="I150" s="237" t="s">
        <v>21</v>
      </c>
      <c r="J150" s="237" t="s">
        <v>4412</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1138</v>
      </c>
      <c r="B151" s="236" t="s">
        <v>4413</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4414</v>
      </c>
      <c r="B152" s="237" t="s">
        <v>4415</v>
      </c>
      <c r="C152" s="237" t="s">
        <v>4416</v>
      </c>
      <c r="D152" s="237" t="s">
        <v>21</v>
      </c>
      <c r="E152" s="237" t="s">
        <v>21</v>
      </c>
      <c r="F152" s="237" t="s">
        <v>21</v>
      </c>
      <c r="G152" s="237" t="s">
        <v>21</v>
      </c>
      <c r="H152" s="237" t="s">
        <v>4417</v>
      </c>
      <c r="I152" s="237" t="s">
        <v>4418</v>
      </c>
      <c r="J152" s="237" t="s">
        <v>4419</v>
      </c>
      <c r="K152" s="240">
        <f>IF(COUNTIF(L152:AY152,"&lt;&gt;")=0,"",SUMPRODUCT(((Recommendations[ImplStatus]="Implemented")+(Recommendations[ImplStatus]="Compensated"))*ISNUMBER(MATCH(Recommendations[Id],L152:AY152,0)))/COUNTIF(L152:AY152,"&lt;&gt;"))</f>
        <v>0</v>
      </c>
      <c r="L152" s="243" t="s">
        <v>31</v>
      </c>
      <c r="M152" s="243" t="s">
        <v>67</v>
      </c>
      <c r="N152" s="243" t="s">
        <v>149</v>
      </c>
      <c r="O152" s="243" t="s">
        <v>200</v>
      </c>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4420</v>
      </c>
      <c r="B153" s="237" t="s">
        <v>4421</v>
      </c>
      <c r="C153" s="237" t="s">
        <v>4422</v>
      </c>
      <c r="D153" s="237" t="s">
        <v>4423</v>
      </c>
      <c r="E153" s="237" t="s">
        <v>21</v>
      </c>
      <c r="F153" s="237" t="s">
        <v>4424</v>
      </c>
      <c r="G153" s="237" t="s">
        <v>21</v>
      </c>
      <c r="H153" s="237" t="s">
        <v>4425</v>
      </c>
      <c r="I153" s="237" t="s">
        <v>4426</v>
      </c>
      <c r="J153" s="237" t="s">
        <v>4427</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4428</v>
      </c>
      <c r="B154" s="237" t="s">
        <v>4429</v>
      </c>
      <c r="C154" s="237" t="s">
        <v>4430</v>
      </c>
      <c r="D154" s="237" t="s">
        <v>21</v>
      </c>
      <c r="E154" s="237" t="s">
        <v>21</v>
      </c>
      <c r="F154" s="237" t="s">
        <v>4431</v>
      </c>
      <c r="G154" s="237" t="s">
        <v>21</v>
      </c>
      <c r="H154" s="237" t="s">
        <v>4432</v>
      </c>
      <c r="I154" s="237" t="s">
        <v>21</v>
      </c>
      <c r="J154" s="237" t="s">
        <v>4433</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4434</v>
      </c>
      <c r="B155" s="237" t="s">
        <v>4435</v>
      </c>
      <c r="C155" s="237" t="s">
        <v>4436</v>
      </c>
      <c r="D155" s="237" t="s">
        <v>21</v>
      </c>
      <c r="E155" s="237" t="s">
        <v>21</v>
      </c>
      <c r="F155" s="237" t="s">
        <v>21</v>
      </c>
      <c r="G155" s="237" t="s">
        <v>21</v>
      </c>
      <c r="H155" s="237" t="s">
        <v>4437</v>
      </c>
      <c r="I155" s="237" t="s">
        <v>4438</v>
      </c>
      <c r="J155" s="237" t="s">
        <v>4439</v>
      </c>
      <c r="K155" s="240">
        <f>IF(COUNTIF(L155:AY155,"&lt;&gt;")=0,"",SUMPRODUCT(((Recommendations[ImplStatus]="Implemented")+(Recommendations[ImplStatus]="Compensated"))*ISNUMBER(MATCH(Recommendations[Id],L155:AY155,0)))/COUNTIF(L155:AY155,"&lt;&gt;"))</f>
        <v>0</v>
      </c>
      <c r="L155" s="243" t="s">
        <v>77</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4440</v>
      </c>
      <c r="B156" s="237" t="s">
        <v>4441</v>
      </c>
      <c r="C156" s="237" t="s">
        <v>4442</v>
      </c>
      <c r="D156" s="237" t="s">
        <v>21</v>
      </c>
      <c r="E156" s="237" t="s">
        <v>21</v>
      </c>
      <c r="F156" s="237" t="s">
        <v>21</v>
      </c>
      <c r="G156" s="237" t="s">
        <v>21</v>
      </c>
      <c r="H156" s="237" t="s">
        <v>4443</v>
      </c>
      <c r="I156" s="237" t="s">
        <v>21</v>
      </c>
      <c r="J156" s="237" t="s">
        <v>4444</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4445</v>
      </c>
      <c r="B157" s="237" t="s">
        <v>4446</v>
      </c>
      <c r="C157" s="237" t="s">
        <v>4447</v>
      </c>
      <c r="D157" s="237" t="s">
        <v>4448</v>
      </c>
      <c r="E157" s="237" t="s">
        <v>21</v>
      </c>
      <c r="F157" s="237" t="s">
        <v>21</v>
      </c>
      <c r="G157" s="237" t="s">
        <v>21</v>
      </c>
      <c r="H157" s="237" t="s">
        <v>4449</v>
      </c>
      <c r="I157" s="237" t="s">
        <v>21</v>
      </c>
      <c r="J157" s="237" t="s">
        <v>4450</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4451</v>
      </c>
      <c r="B158" s="237" t="s">
        <v>4452</v>
      </c>
      <c r="C158" s="237" t="s">
        <v>4453</v>
      </c>
      <c r="D158" s="237" t="s">
        <v>4454</v>
      </c>
      <c r="E158" s="237" t="s">
        <v>21</v>
      </c>
      <c r="F158" s="237" t="s">
        <v>21</v>
      </c>
      <c r="G158" s="237" t="s">
        <v>21</v>
      </c>
      <c r="H158" s="237" t="s">
        <v>21</v>
      </c>
      <c r="I158" s="237" t="s">
        <v>21</v>
      </c>
      <c r="J158" s="237" t="s">
        <v>4455</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4456</v>
      </c>
      <c r="B159" s="237" t="s">
        <v>4457</v>
      </c>
      <c r="C159" s="237" t="s">
        <v>4458</v>
      </c>
      <c r="D159" s="237" t="s">
        <v>4459</v>
      </c>
      <c r="E159" s="237" t="s">
        <v>21</v>
      </c>
      <c r="F159" s="237" t="s">
        <v>4460</v>
      </c>
      <c r="G159" s="237" t="s">
        <v>21</v>
      </c>
      <c r="H159" s="237" t="s">
        <v>4461</v>
      </c>
      <c r="I159" s="237" t="s">
        <v>4462</v>
      </c>
      <c r="J159" s="237" t="s">
        <v>4463</v>
      </c>
      <c r="K159" s="240">
        <f>IF(COUNTIF(L159:AY159,"&lt;&gt;")=0,"",SUMPRODUCT(((Recommendations[ImplStatus]="Implemented")+(Recommendations[ImplStatus]="Compensated"))*ISNUMBER(MATCH(Recommendations[Id],L159:AY159,0)))/COUNTIF(L159:AY159,"&lt;&gt;"))</f>
        <v>0</v>
      </c>
      <c r="L159" s="243" t="s">
        <v>42</v>
      </c>
      <c r="M159" s="243" t="s">
        <v>169</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1142</v>
      </c>
      <c r="B160" s="236" t="s">
        <v>4464</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4465</v>
      </c>
      <c r="B161" s="237" t="s">
        <v>4466</v>
      </c>
      <c r="C161" s="237" t="s">
        <v>4467</v>
      </c>
      <c r="D161" s="237" t="s">
        <v>4468</v>
      </c>
      <c r="E161" s="237" t="s">
        <v>21</v>
      </c>
      <c r="F161" s="237" t="s">
        <v>21</v>
      </c>
      <c r="G161" s="237" t="s">
        <v>4469</v>
      </c>
      <c r="H161" s="237" t="s">
        <v>4470</v>
      </c>
      <c r="I161" s="237" t="s">
        <v>4471</v>
      </c>
      <c r="J161" s="237" t="s">
        <v>4472</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4473</v>
      </c>
      <c r="B162" s="237" t="s">
        <v>4474</v>
      </c>
      <c r="C162" s="237" t="s">
        <v>4475</v>
      </c>
      <c r="D162" s="237" t="s">
        <v>4476</v>
      </c>
      <c r="E162" s="237" t="s">
        <v>21</v>
      </c>
      <c r="F162" s="237" t="s">
        <v>21</v>
      </c>
      <c r="G162" s="237" t="s">
        <v>21</v>
      </c>
      <c r="H162" s="237" t="s">
        <v>4477</v>
      </c>
      <c r="I162" s="237" t="s">
        <v>21</v>
      </c>
      <c r="J162" s="237" t="s">
        <v>4478</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4479</v>
      </c>
      <c r="B163" s="237" t="s">
        <v>4480</v>
      </c>
      <c r="C163" s="237" t="s">
        <v>4481</v>
      </c>
      <c r="D163" s="237" t="s">
        <v>4476</v>
      </c>
      <c r="E163" s="237" t="s">
        <v>21</v>
      </c>
      <c r="F163" s="237" t="s">
        <v>4482</v>
      </c>
      <c r="G163" s="237" t="s">
        <v>21</v>
      </c>
      <c r="H163" s="237" t="s">
        <v>4483</v>
      </c>
      <c r="I163" s="237" t="s">
        <v>21</v>
      </c>
      <c r="J163" s="237" t="s">
        <v>4484</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4485</v>
      </c>
      <c r="B164" s="237" t="s">
        <v>4486</v>
      </c>
      <c r="C164" s="237" t="s">
        <v>4487</v>
      </c>
      <c r="D164" s="237" t="s">
        <v>4488</v>
      </c>
      <c r="E164" s="237" t="s">
        <v>21</v>
      </c>
      <c r="F164" s="237" t="s">
        <v>21</v>
      </c>
      <c r="G164" s="237" t="s">
        <v>21</v>
      </c>
      <c r="H164" s="237" t="s">
        <v>4489</v>
      </c>
      <c r="I164" s="237" t="s">
        <v>4490</v>
      </c>
      <c r="J164" s="237" t="s">
        <v>4491</v>
      </c>
      <c r="K164" s="240">
        <f>IF(COUNTIF(L164:AY164,"&lt;&gt;")=0,"",SUMPRODUCT(((Recommendations[ImplStatus]="Implemented")+(Recommendations[ImplStatus]="Compensated"))*ISNUMBER(MATCH(Recommendations[Id],L164:AY164,0)))/COUNTIF(L164:AY164,"&lt;&gt;"))</f>
        <v>0</v>
      </c>
      <c r="L164" s="243" t="s">
        <v>226</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4492</v>
      </c>
      <c r="B165" s="237" t="s">
        <v>4493</v>
      </c>
      <c r="C165" s="237" t="s">
        <v>4494</v>
      </c>
      <c r="D165" s="237" t="s">
        <v>21</v>
      </c>
      <c r="E165" s="237" t="s">
        <v>21</v>
      </c>
      <c r="F165" s="237" t="s">
        <v>21</v>
      </c>
      <c r="G165" s="237" t="s">
        <v>21</v>
      </c>
      <c r="H165" s="237" t="s">
        <v>4495</v>
      </c>
      <c r="I165" s="237" t="s">
        <v>21</v>
      </c>
      <c r="J165" s="237" t="s">
        <v>4496</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4497</v>
      </c>
      <c r="B166" s="237" t="s">
        <v>4498</v>
      </c>
      <c r="C166" s="237" t="s">
        <v>4499</v>
      </c>
      <c r="D166" s="237" t="s">
        <v>4500</v>
      </c>
      <c r="E166" s="237" t="s">
        <v>21</v>
      </c>
      <c r="F166" s="237" t="s">
        <v>21</v>
      </c>
      <c r="G166" s="237" t="s">
        <v>21</v>
      </c>
      <c r="H166" s="237" t="s">
        <v>4501</v>
      </c>
      <c r="I166" s="237" t="s">
        <v>4502</v>
      </c>
      <c r="J166" s="237" t="s">
        <v>4503</v>
      </c>
      <c r="K166" s="240" t="str">
        <f>IF(COUNTIF(L166:AY166,"&lt;&gt;")=0,"",SUMPRODUCT(((Recommendations[ImplStatus]="Implemented")+(Recommendations[ImplStatus]="Compensated"))*ISNUMBER(MATCH(Recommendations[Id],L166:AY166,0)))/COUNTIF(L166:AY166,"&lt;&gt;"))</f>
        <v/>
      </c>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4504</v>
      </c>
      <c r="B167" s="237" t="s">
        <v>4505</v>
      </c>
      <c r="C167" s="237" t="s">
        <v>4506</v>
      </c>
      <c r="D167" s="237" t="s">
        <v>21</v>
      </c>
      <c r="E167" s="237" t="s">
        <v>21</v>
      </c>
      <c r="F167" s="237" t="s">
        <v>21</v>
      </c>
      <c r="G167" s="237" t="s">
        <v>21</v>
      </c>
      <c r="H167" s="237" t="s">
        <v>4507</v>
      </c>
      <c r="I167" s="237" t="s">
        <v>4508</v>
      </c>
      <c r="J167" s="237" t="s">
        <v>4509</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4510</v>
      </c>
      <c r="B168" s="237" t="s">
        <v>4511</v>
      </c>
      <c r="C168" s="237" t="s">
        <v>4512</v>
      </c>
      <c r="D168" s="237" t="s">
        <v>4513</v>
      </c>
      <c r="E168" s="237" t="s">
        <v>21</v>
      </c>
      <c r="F168" s="237" t="s">
        <v>21</v>
      </c>
      <c r="G168" s="237" t="s">
        <v>21</v>
      </c>
      <c r="H168" s="237" t="s">
        <v>4514</v>
      </c>
      <c r="I168" s="237" t="s">
        <v>21</v>
      </c>
      <c r="J168" s="237" t="s">
        <v>4515</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4516</v>
      </c>
      <c r="B169" s="237" t="s">
        <v>4517</v>
      </c>
      <c r="C169" s="237" t="s">
        <v>4518</v>
      </c>
      <c r="D169" s="237" t="s">
        <v>4519</v>
      </c>
      <c r="E169" s="237" t="s">
        <v>21</v>
      </c>
      <c r="F169" s="237" t="s">
        <v>21</v>
      </c>
      <c r="G169" s="237" t="s">
        <v>4520</v>
      </c>
      <c r="H169" s="237" t="s">
        <v>4521</v>
      </c>
      <c r="I169" s="237" t="s">
        <v>4522</v>
      </c>
      <c r="J169" s="237" t="s">
        <v>4523</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4524</v>
      </c>
      <c r="B170" s="237" t="s">
        <v>4525</v>
      </c>
      <c r="C170" s="237" t="s">
        <v>4526</v>
      </c>
      <c r="D170" s="237" t="s">
        <v>4527</v>
      </c>
      <c r="E170" s="237" t="s">
        <v>21</v>
      </c>
      <c r="F170" s="237" t="s">
        <v>21</v>
      </c>
      <c r="G170" s="237" t="s">
        <v>21</v>
      </c>
      <c r="H170" s="237" t="s">
        <v>4528</v>
      </c>
      <c r="I170" s="237" t="s">
        <v>4529</v>
      </c>
      <c r="J170" s="237" t="s">
        <v>4530</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4531</v>
      </c>
      <c r="B171" s="237" t="s">
        <v>4532</v>
      </c>
      <c r="C171" s="237" t="s">
        <v>4526</v>
      </c>
      <c r="D171" s="237" t="s">
        <v>4533</v>
      </c>
      <c r="E171" s="237" t="s">
        <v>21</v>
      </c>
      <c r="F171" s="237" t="s">
        <v>21</v>
      </c>
      <c r="G171" s="237" t="s">
        <v>4534</v>
      </c>
      <c r="H171" s="237" t="s">
        <v>4528</v>
      </c>
      <c r="I171" s="237" t="s">
        <v>4535</v>
      </c>
      <c r="J171" s="237" t="s">
        <v>4536</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4537</v>
      </c>
      <c r="B172" s="237" t="s">
        <v>4538</v>
      </c>
      <c r="C172" s="237" t="s">
        <v>4539</v>
      </c>
      <c r="D172" s="237" t="s">
        <v>4540</v>
      </c>
      <c r="E172" s="237" t="s">
        <v>21</v>
      </c>
      <c r="F172" s="237" t="s">
        <v>21</v>
      </c>
      <c r="G172" s="237" t="s">
        <v>21</v>
      </c>
      <c r="H172" s="237" t="s">
        <v>4541</v>
      </c>
      <c r="I172" s="237" t="s">
        <v>21</v>
      </c>
      <c r="J172" s="237" t="s">
        <v>4542</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1146</v>
      </c>
      <c r="B173" s="236" t="s">
        <v>4543</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4544</v>
      </c>
      <c r="B174" s="237" t="s">
        <v>4545</v>
      </c>
      <c r="C174" s="237" t="s">
        <v>4546</v>
      </c>
      <c r="D174" s="237" t="s">
        <v>4547</v>
      </c>
      <c r="E174" s="237" t="s">
        <v>4548</v>
      </c>
      <c r="F174" s="237" t="s">
        <v>21</v>
      </c>
      <c r="G174" s="237" t="s">
        <v>21</v>
      </c>
      <c r="H174" s="237" t="s">
        <v>4549</v>
      </c>
      <c r="I174" s="237" t="s">
        <v>4550</v>
      </c>
      <c r="J174" s="237" t="s">
        <v>4551</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4552</v>
      </c>
      <c r="B175" s="237" t="s">
        <v>4553</v>
      </c>
      <c r="C175" s="237" t="s">
        <v>4554</v>
      </c>
      <c r="D175" s="237" t="s">
        <v>21</v>
      </c>
      <c r="E175" s="237" t="s">
        <v>4555</v>
      </c>
      <c r="F175" s="237" t="s">
        <v>21</v>
      </c>
      <c r="G175" s="237" t="s">
        <v>21</v>
      </c>
      <c r="H175" s="237" t="s">
        <v>4556</v>
      </c>
      <c r="I175" s="237" t="s">
        <v>21</v>
      </c>
      <c r="J175" s="237" t="s">
        <v>4557</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4558</v>
      </c>
      <c r="B176" s="237" t="s">
        <v>4559</v>
      </c>
      <c r="C176" s="237" t="s">
        <v>4560</v>
      </c>
      <c r="D176" s="237" t="s">
        <v>21</v>
      </c>
      <c r="E176" s="237" t="s">
        <v>4561</v>
      </c>
      <c r="F176" s="237" t="s">
        <v>21</v>
      </c>
      <c r="G176" s="237" t="s">
        <v>21</v>
      </c>
      <c r="H176" s="237" t="s">
        <v>4562</v>
      </c>
      <c r="I176" s="237" t="s">
        <v>4563</v>
      </c>
      <c r="J176" s="237" t="s">
        <v>4564</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1151</v>
      </c>
      <c r="B177" s="236" t="s">
        <v>4565</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4566</v>
      </c>
      <c r="B178" s="237" t="s">
        <v>4567</v>
      </c>
      <c r="C178" s="237" t="s">
        <v>4568</v>
      </c>
      <c r="D178" s="237" t="s">
        <v>4569</v>
      </c>
      <c r="E178" s="237" t="s">
        <v>4570</v>
      </c>
      <c r="F178" s="237" t="s">
        <v>4571</v>
      </c>
      <c r="G178" s="237" t="s">
        <v>21</v>
      </c>
      <c r="H178" s="237" t="s">
        <v>4572</v>
      </c>
      <c r="I178" s="237" t="s">
        <v>4573</v>
      </c>
      <c r="J178" s="237" t="s">
        <v>4574</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1155</v>
      </c>
      <c r="B179" s="236" t="s">
        <v>4575</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4576</v>
      </c>
      <c r="B180" s="237" t="s">
        <v>4577</v>
      </c>
      <c r="C180" s="237" t="s">
        <v>4578</v>
      </c>
      <c r="D180" s="237" t="s">
        <v>4569</v>
      </c>
      <c r="E180" s="237" t="s">
        <v>4579</v>
      </c>
      <c r="F180" s="237" t="s">
        <v>21</v>
      </c>
      <c r="G180" s="237" t="s">
        <v>21</v>
      </c>
      <c r="H180" s="237" t="s">
        <v>4580</v>
      </c>
      <c r="I180" s="237" t="s">
        <v>4092</v>
      </c>
      <c r="J180" s="237" t="s">
        <v>4581</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4582</v>
      </c>
      <c r="B181" s="237" t="s">
        <v>4583</v>
      </c>
      <c r="C181" s="237" t="s">
        <v>4584</v>
      </c>
      <c r="D181" s="237" t="s">
        <v>4585</v>
      </c>
      <c r="E181" s="237" t="s">
        <v>21</v>
      </c>
      <c r="F181" s="237" t="s">
        <v>21</v>
      </c>
      <c r="G181" s="237" t="s">
        <v>21</v>
      </c>
      <c r="H181" s="237" t="s">
        <v>4586</v>
      </c>
      <c r="I181" s="237" t="s">
        <v>4587</v>
      </c>
      <c r="J181" s="237" t="s">
        <v>4588</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4589</v>
      </c>
      <c r="B182" s="237" t="s">
        <v>4590</v>
      </c>
      <c r="C182" s="237" t="s">
        <v>4591</v>
      </c>
      <c r="D182" s="237" t="s">
        <v>4592</v>
      </c>
      <c r="E182" s="237" t="s">
        <v>21</v>
      </c>
      <c r="F182" s="237" t="s">
        <v>21</v>
      </c>
      <c r="G182" s="237" t="s">
        <v>21</v>
      </c>
      <c r="H182" s="237" t="s">
        <v>4593</v>
      </c>
      <c r="I182" s="237" t="s">
        <v>4092</v>
      </c>
      <c r="J182" s="237" t="s">
        <v>4594</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4595</v>
      </c>
      <c r="B183" s="235" t="s">
        <v>4596</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1185</v>
      </c>
      <c r="B184" s="236" t="s">
        <v>4597</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4598</v>
      </c>
      <c r="B185" s="237" t="s">
        <v>4599</v>
      </c>
      <c r="C185" s="237" t="s">
        <v>4600</v>
      </c>
      <c r="D185" s="237" t="s">
        <v>3864</v>
      </c>
      <c r="E185" s="237" t="s">
        <v>4601</v>
      </c>
      <c r="F185" s="237" t="s">
        <v>21</v>
      </c>
      <c r="G185" s="237" t="s">
        <v>21</v>
      </c>
      <c r="H185" s="237" t="s">
        <v>4602</v>
      </c>
      <c r="I185" s="237" t="s">
        <v>21</v>
      </c>
      <c r="J185" s="237" t="s">
        <v>4603</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4604</v>
      </c>
      <c r="B186" s="237" t="s">
        <v>4605</v>
      </c>
      <c r="C186" s="237" t="s">
        <v>3869</v>
      </c>
      <c r="D186" s="237" t="s">
        <v>4606</v>
      </c>
      <c r="E186" s="237" t="s">
        <v>21</v>
      </c>
      <c r="F186" s="237" t="s">
        <v>21</v>
      </c>
      <c r="G186" s="237" t="s">
        <v>21</v>
      </c>
      <c r="H186" s="237" t="s">
        <v>4607</v>
      </c>
      <c r="I186" s="237" t="s">
        <v>21</v>
      </c>
      <c r="J186" s="237" t="s">
        <v>4608</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1189</v>
      </c>
      <c r="B187" s="236" t="s">
        <v>4609</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4610</v>
      </c>
      <c r="B188" s="237" t="s">
        <v>4611</v>
      </c>
      <c r="C188" s="237" t="s">
        <v>4612</v>
      </c>
      <c r="D188" s="237" t="s">
        <v>4613</v>
      </c>
      <c r="E188" s="237" t="s">
        <v>21</v>
      </c>
      <c r="F188" s="237" t="s">
        <v>4614</v>
      </c>
      <c r="G188" s="237" t="s">
        <v>21</v>
      </c>
      <c r="H188" s="237" t="s">
        <v>4615</v>
      </c>
      <c r="I188" s="237" t="s">
        <v>4616</v>
      </c>
      <c r="J188" s="237" t="s">
        <v>4617</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4618</v>
      </c>
      <c r="B189" s="237" t="s">
        <v>4619</v>
      </c>
      <c r="C189" s="237" t="s">
        <v>4620</v>
      </c>
      <c r="D189" s="237" t="s">
        <v>4621</v>
      </c>
      <c r="E189" s="237" t="s">
        <v>21</v>
      </c>
      <c r="F189" s="237" t="s">
        <v>21</v>
      </c>
      <c r="G189" s="237" t="s">
        <v>21</v>
      </c>
      <c r="H189" s="237" t="s">
        <v>4622</v>
      </c>
      <c r="I189" s="237" t="s">
        <v>21</v>
      </c>
      <c r="J189" s="237" t="s">
        <v>4623</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4624</v>
      </c>
      <c r="B190" s="237" t="s">
        <v>4625</v>
      </c>
      <c r="C190" s="237" t="s">
        <v>4626</v>
      </c>
      <c r="D190" s="237" t="s">
        <v>4627</v>
      </c>
      <c r="E190" s="237" t="s">
        <v>21</v>
      </c>
      <c r="F190" s="237" t="s">
        <v>4628</v>
      </c>
      <c r="G190" s="237" t="s">
        <v>21</v>
      </c>
      <c r="H190" s="237" t="s">
        <v>4629</v>
      </c>
      <c r="I190" s="237" t="s">
        <v>21</v>
      </c>
      <c r="J190" s="237" t="s">
        <v>4630</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4631</v>
      </c>
      <c r="B191" s="237" t="s">
        <v>4632</v>
      </c>
      <c r="C191" s="237" t="s">
        <v>4633</v>
      </c>
      <c r="D191" s="237" t="s">
        <v>21</v>
      </c>
      <c r="E191" s="237" t="s">
        <v>21</v>
      </c>
      <c r="F191" s="237" t="s">
        <v>21</v>
      </c>
      <c r="G191" s="237" t="s">
        <v>21</v>
      </c>
      <c r="H191" s="237" t="s">
        <v>4634</v>
      </c>
      <c r="I191" s="237" t="s">
        <v>21</v>
      </c>
      <c r="J191" s="237" t="s">
        <v>4635</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4636</v>
      </c>
      <c r="B192" s="237" t="s">
        <v>4637</v>
      </c>
      <c r="C192" s="237" t="s">
        <v>4638</v>
      </c>
      <c r="D192" s="237" t="s">
        <v>4639</v>
      </c>
      <c r="E192" s="237" t="s">
        <v>4640</v>
      </c>
      <c r="F192" s="237" t="s">
        <v>21</v>
      </c>
      <c r="G192" s="237" t="s">
        <v>21</v>
      </c>
      <c r="H192" s="237" t="s">
        <v>4641</v>
      </c>
      <c r="I192" s="237" t="s">
        <v>21</v>
      </c>
      <c r="J192" s="237" t="s">
        <v>4642</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1193</v>
      </c>
      <c r="B193" s="236" t="s">
        <v>4643</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4644</v>
      </c>
      <c r="B194" s="237" t="s">
        <v>4645</v>
      </c>
      <c r="C194" s="237" t="s">
        <v>4646</v>
      </c>
      <c r="D194" s="237" t="s">
        <v>4639</v>
      </c>
      <c r="E194" s="237" t="s">
        <v>4640</v>
      </c>
      <c r="F194" s="237" t="s">
        <v>4647</v>
      </c>
      <c r="G194" s="237" t="s">
        <v>21</v>
      </c>
      <c r="H194" s="237" t="s">
        <v>4648</v>
      </c>
      <c r="I194" s="237" t="s">
        <v>21</v>
      </c>
      <c r="J194" s="237" t="s">
        <v>4649</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4650</v>
      </c>
      <c r="B195" s="237" t="s">
        <v>4651</v>
      </c>
      <c r="C195" s="237" t="s">
        <v>4652</v>
      </c>
      <c r="D195" s="237" t="s">
        <v>4653</v>
      </c>
      <c r="E195" s="237" t="s">
        <v>21</v>
      </c>
      <c r="F195" s="237" t="s">
        <v>21</v>
      </c>
      <c r="G195" s="237" t="s">
        <v>21</v>
      </c>
      <c r="H195" s="237" t="s">
        <v>4654</v>
      </c>
      <c r="I195" s="237" t="s">
        <v>21</v>
      </c>
      <c r="J195" s="237" t="s">
        <v>4655</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4656</v>
      </c>
      <c r="B196" s="237" t="s">
        <v>4657</v>
      </c>
      <c r="C196" s="237" t="s">
        <v>4658</v>
      </c>
      <c r="D196" s="237" t="s">
        <v>21</v>
      </c>
      <c r="E196" s="237" t="s">
        <v>4659</v>
      </c>
      <c r="F196" s="237" t="s">
        <v>21</v>
      </c>
      <c r="G196" s="237" t="s">
        <v>21</v>
      </c>
      <c r="H196" s="237" t="s">
        <v>4660</v>
      </c>
      <c r="I196" s="237" t="s">
        <v>21</v>
      </c>
      <c r="J196" s="237" t="s">
        <v>4661</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4662</v>
      </c>
      <c r="B197" s="237" t="s">
        <v>4663</v>
      </c>
      <c r="C197" s="237" t="s">
        <v>4664</v>
      </c>
      <c r="D197" s="237" t="s">
        <v>21</v>
      </c>
      <c r="E197" s="237" t="s">
        <v>21</v>
      </c>
      <c r="F197" s="237" t="s">
        <v>21</v>
      </c>
      <c r="G197" s="237" t="s">
        <v>21</v>
      </c>
      <c r="H197" s="237" t="s">
        <v>4665</v>
      </c>
      <c r="I197" s="237" t="s">
        <v>21</v>
      </c>
      <c r="J197" s="237" t="s">
        <v>4666</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4667</v>
      </c>
      <c r="B198" s="237" t="s">
        <v>4668</v>
      </c>
      <c r="C198" s="237" t="s">
        <v>4669</v>
      </c>
      <c r="D198" s="237" t="s">
        <v>4670</v>
      </c>
      <c r="E198" s="237" t="s">
        <v>21</v>
      </c>
      <c r="F198" s="237" t="s">
        <v>21</v>
      </c>
      <c r="G198" s="237" t="s">
        <v>21</v>
      </c>
      <c r="H198" s="237" t="s">
        <v>4671</v>
      </c>
      <c r="I198" s="237" t="s">
        <v>21</v>
      </c>
      <c r="J198" s="237" t="s">
        <v>4672</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1197</v>
      </c>
      <c r="B199" s="236" t="s">
        <v>4673</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4674</v>
      </c>
      <c r="B200" s="237" t="s">
        <v>4675</v>
      </c>
      <c r="C200" s="237" t="s">
        <v>4676</v>
      </c>
      <c r="D200" s="237" t="s">
        <v>21</v>
      </c>
      <c r="E200" s="237" t="s">
        <v>21</v>
      </c>
      <c r="F200" s="237" t="s">
        <v>21</v>
      </c>
      <c r="G200" s="237" t="s">
        <v>21</v>
      </c>
      <c r="H200" s="237" t="s">
        <v>4677</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4678</v>
      </c>
      <c r="B201" s="237" t="s">
        <v>4679</v>
      </c>
      <c r="C201" s="237" t="s">
        <v>4680</v>
      </c>
      <c r="D201" s="237" t="s">
        <v>4681</v>
      </c>
      <c r="E201" s="237" t="s">
        <v>21</v>
      </c>
      <c r="F201" s="237" t="s">
        <v>21</v>
      </c>
      <c r="G201" s="237" t="s">
        <v>21</v>
      </c>
      <c r="H201" s="237" t="s">
        <v>4682</v>
      </c>
      <c r="I201" s="237" t="s">
        <v>21</v>
      </c>
      <c r="J201" s="237" t="s">
        <v>4683</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4684</v>
      </c>
      <c r="B202" s="237" t="s">
        <v>4685</v>
      </c>
      <c r="C202" s="237" t="s">
        <v>4686</v>
      </c>
      <c r="D202" s="237" t="s">
        <v>21</v>
      </c>
      <c r="E202" s="237" t="s">
        <v>21</v>
      </c>
      <c r="F202" s="237" t="s">
        <v>21</v>
      </c>
      <c r="G202" s="237" t="s">
        <v>21</v>
      </c>
      <c r="H202" s="237" t="s">
        <v>4687</v>
      </c>
      <c r="I202" s="237" t="s">
        <v>21</v>
      </c>
      <c r="J202" s="237" t="s">
        <v>4688</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4689</v>
      </c>
      <c r="B203" s="237" t="s">
        <v>4690</v>
      </c>
      <c r="C203" s="237" t="s">
        <v>4691</v>
      </c>
      <c r="D203" s="237" t="s">
        <v>4692</v>
      </c>
      <c r="E203" s="237" t="s">
        <v>21</v>
      </c>
      <c r="F203" s="237" t="s">
        <v>21</v>
      </c>
      <c r="G203" s="237" t="s">
        <v>21</v>
      </c>
      <c r="H203" s="237" t="s">
        <v>4693</v>
      </c>
      <c r="I203" s="237" t="s">
        <v>21</v>
      </c>
      <c r="J203" s="237" t="s">
        <v>4694</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4695</v>
      </c>
      <c r="B204" s="237" t="s">
        <v>4696</v>
      </c>
      <c r="C204" s="237" t="s">
        <v>4697</v>
      </c>
      <c r="D204" s="237" t="s">
        <v>21</v>
      </c>
      <c r="E204" s="237" t="s">
        <v>21</v>
      </c>
      <c r="F204" s="237" t="s">
        <v>21</v>
      </c>
      <c r="G204" s="237" t="s">
        <v>21</v>
      </c>
      <c r="H204" s="237" t="s">
        <v>4698</v>
      </c>
      <c r="I204" s="237" t="s">
        <v>21</v>
      </c>
      <c r="J204" s="237" t="s">
        <v>4699</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4700</v>
      </c>
      <c r="B205" s="237" t="s">
        <v>4701</v>
      </c>
      <c r="C205" s="237" t="s">
        <v>4702</v>
      </c>
      <c r="D205" s="237" t="s">
        <v>21</v>
      </c>
      <c r="E205" s="237" t="s">
        <v>21</v>
      </c>
      <c r="F205" s="237" t="s">
        <v>21</v>
      </c>
      <c r="G205" s="237" t="s">
        <v>21</v>
      </c>
      <c r="H205" s="237" t="s">
        <v>4703</v>
      </c>
      <c r="I205" s="237" t="s">
        <v>4704</v>
      </c>
      <c r="J205" s="237" t="s">
        <v>4705</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4706</v>
      </c>
      <c r="B206" s="237" t="s">
        <v>4707</v>
      </c>
      <c r="C206" s="237" t="s">
        <v>4708</v>
      </c>
      <c r="D206" s="237" t="s">
        <v>21</v>
      </c>
      <c r="E206" s="237" t="s">
        <v>21</v>
      </c>
      <c r="F206" s="237" t="s">
        <v>21</v>
      </c>
      <c r="G206" s="237" t="s">
        <v>21</v>
      </c>
      <c r="H206" s="237" t="s">
        <v>4709</v>
      </c>
      <c r="I206" s="237" t="s">
        <v>21</v>
      </c>
      <c r="J206" s="237" t="s">
        <v>4710</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4711</v>
      </c>
      <c r="B207" s="237" t="s">
        <v>4712</v>
      </c>
      <c r="C207" s="237" t="s">
        <v>4708</v>
      </c>
      <c r="D207" s="237" t="s">
        <v>4713</v>
      </c>
      <c r="E207" s="237" t="s">
        <v>21</v>
      </c>
      <c r="F207" s="237" t="s">
        <v>21</v>
      </c>
      <c r="G207" s="237" t="s">
        <v>21</v>
      </c>
      <c r="H207" s="237" t="s">
        <v>4714</v>
      </c>
      <c r="I207" s="237" t="s">
        <v>21</v>
      </c>
      <c r="J207" s="237" t="s">
        <v>4715</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4716</v>
      </c>
      <c r="B208" s="237" t="s">
        <v>4717</v>
      </c>
      <c r="C208" s="237" t="s">
        <v>4718</v>
      </c>
      <c r="D208" s="237" t="s">
        <v>4713</v>
      </c>
      <c r="E208" s="237" t="s">
        <v>21</v>
      </c>
      <c r="F208" s="237" t="s">
        <v>4719</v>
      </c>
      <c r="G208" s="237" t="s">
        <v>4720</v>
      </c>
      <c r="H208" s="237" t="s">
        <v>4721</v>
      </c>
      <c r="I208" s="237" t="s">
        <v>4722</v>
      </c>
      <c r="J208" s="237" t="s">
        <v>4723</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4724</v>
      </c>
      <c r="B209" s="237" t="s">
        <v>4725</v>
      </c>
      <c r="C209" s="237" t="s">
        <v>4726</v>
      </c>
      <c r="D209" s="237" t="s">
        <v>4727</v>
      </c>
      <c r="E209" s="237" t="s">
        <v>21</v>
      </c>
      <c r="F209" s="237" t="s">
        <v>4719</v>
      </c>
      <c r="G209" s="237" t="s">
        <v>4728</v>
      </c>
      <c r="H209" s="237" t="s">
        <v>4729</v>
      </c>
      <c r="I209" s="237" t="s">
        <v>4722</v>
      </c>
      <c r="J209" s="237" t="s">
        <v>4730</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1201</v>
      </c>
      <c r="B210" s="236" t="s">
        <v>4731</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4732</v>
      </c>
      <c r="B211" s="237" t="s">
        <v>4733</v>
      </c>
      <c r="C211" s="237" t="s">
        <v>4734</v>
      </c>
      <c r="D211" s="237" t="s">
        <v>4735</v>
      </c>
      <c r="E211" s="237" t="s">
        <v>21</v>
      </c>
      <c r="F211" s="237" t="s">
        <v>21</v>
      </c>
      <c r="G211" s="237" t="s">
        <v>4736</v>
      </c>
      <c r="H211" s="237" t="s">
        <v>4737</v>
      </c>
      <c r="I211" s="237" t="s">
        <v>4738</v>
      </c>
      <c r="J211" s="237" t="s">
        <v>4739</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4740</v>
      </c>
      <c r="B212" s="237" t="s">
        <v>4741</v>
      </c>
      <c r="C212" s="237" t="s">
        <v>4742</v>
      </c>
      <c r="D212" s="237" t="s">
        <v>4743</v>
      </c>
      <c r="E212" s="237" t="s">
        <v>21</v>
      </c>
      <c r="F212" s="237" t="s">
        <v>4744</v>
      </c>
      <c r="G212" s="237" t="s">
        <v>21</v>
      </c>
      <c r="H212" s="237" t="s">
        <v>21</v>
      </c>
      <c r="I212" s="237" t="s">
        <v>21</v>
      </c>
      <c r="J212" s="237" t="s">
        <v>4745</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4746</v>
      </c>
      <c r="B213" s="237" t="s">
        <v>4747</v>
      </c>
      <c r="C213" s="237" t="s">
        <v>4748</v>
      </c>
      <c r="D213" s="237" t="s">
        <v>4749</v>
      </c>
      <c r="E213" s="237" t="s">
        <v>21</v>
      </c>
      <c r="F213" s="237" t="s">
        <v>4750</v>
      </c>
      <c r="G213" s="237" t="s">
        <v>21</v>
      </c>
      <c r="H213" s="237" t="s">
        <v>4751</v>
      </c>
      <c r="I213" s="237" t="s">
        <v>21</v>
      </c>
      <c r="J213" s="237" t="s">
        <v>4752</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4753</v>
      </c>
      <c r="B214" s="237" t="s">
        <v>4754</v>
      </c>
      <c r="C214" s="237" t="s">
        <v>4755</v>
      </c>
      <c r="D214" s="237" t="s">
        <v>4756</v>
      </c>
      <c r="E214" s="237" t="s">
        <v>21</v>
      </c>
      <c r="F214" s="237" t="s">
        <v>21</v>
      </c>
      <c r="G214" s="237" t="s">
        <v>21</v>
      </c>
      <c r="H214" s="237" t="s">
        <v>4757</v>
      </c>
      <c r="I214" s="237" t="s">
        <v>4092</v>
      </c>
      <c r="J214" s="237" t="s">
        <v>4758</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4759</v>
      </c>
      <c r="B215" s="237" t="s">
        <v>4760</v>
      </c>
      <c r="C215" s="237" t="s">
        <v>4761</v>
      </c>
      <c r="D215" s="237" t="s">
        <v>4762</v>
      </c>
      <c r="E215" s="237" t="s">
        <v>21</v>
      </c>
      <c r="F215" s="237" t="s">
        <v>21</v>
      </c>
      <c r="G215" s="237" t="s">
        <v>21</v>
      </c>
      <c r="H215" s="237" t="s">
        <v>4763</v>
      </c>
      <c r="I215" s="237" t="s">
        <v>21</v>
      </c>
      <c r="J215" s="237" t="s">
        <v>4764</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4765</v>
      </c>
      <c r="B216" s="235" t="s">
        <v>4766</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1215</v>
      </c>
      <c r="B217" s="236" t="s">
        <v>4767</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4768</v>
      </c>
      <c r="B218" s="237" t="s">
        <v>4769</v>
      </c>
      <c r="C218" s="237" t="s">
        <v>4770</v>
      </c>
      <c r="D218" s="237" t="s">
        <v>3864</v>
      </c>
      <c r="E218" s="237" t="s">
        <v>3650</v>
      </c>
      <c r="F218" s="237" t="s">
        <v>21</v>
      </c>
      <c r="G218" s="237" t="s">
        <v>21</v>
      </c>
      <c r="H218" s="237" t="s">
        <v>4771</v>
      </c>
      <c r="I218" s="237" t="s">
        <v>21</v>
      </c>
      <c r="J218" s="237" t="s">
        <v>4772</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4773</v>
      </c>
      <c r="B219" s="237" t="s">
        <v>4774</v>
      </c>
      <c r="C219" s="237" t="s">
        <v>3655</v>
      </c>
      <c r="D219" s="237" t="s">
        <v>3656</v>
      </c>
      <c r="E219" s="237" t="s">
        <v>21</v>
      </c>
      <c r="F219" s="237" t="s">
        <v>3658</v>
      </c>
      <c r="G219" s="237" t="s">
        <v>21</v>
      </c>
      <c r="H219" s="237" t="s">
        <v>4775</v>
      </c>
      <c r="I219" s="237" t="s">
        <v>21</v>
      </c>
      <c r="J219" s="237" t="s">
        <v>4776</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1219</v>
      </c>
      <c r="B220" s="236" t="s">
        <v>4777</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4778</v>
      </c>
      <c r="B221" s="237" t="s">
        <v>4779</v>
      </c>
      <c r="C221" s="237" t="s">
        <v>4780</v>
      </c>
      <c r="D221" s="237" t="s">
        <v>4781</v>
      </c>
      <c r="E221" s="237" t="s">
        <v>21</v>
      </c>
      <c r="F221" s="237" t="s">
        <v>21</v>
      </c>
      <c r="G221" s="237" t="s">
        <v>21</v>
      </c>
      <c r="H221" s="237" t="s">
        <v>4782</v>
      </c>
      <c r="I221" s="237" t="s">
        <v>21</v>
      </c>
      <c r="J221" s="237" t="s">
        <v>4783</v>
      </c>
      <c r="K221" s="240">
        <f>IF(COUNTIF(L221:AY221,"&lt;&gt;")=0,"",SUMPRODUCT(((Recommendations[ImplStatus]="Implemented")+(Recommendations[ImplStatus]="Compensated"))*ISNUMBER(MATCH(Recommendations[Id],L221:AY221,0)))/COUNTIF(L221:AY221,"&lt;&gt;"))</f>
        <v>0</v>
      </c>
      <c r="L221" s="243" t="s">
        <v>14</v>
      </c>
      <c r="M221" s="243" t="s">
        <v>92</v>
      </c>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4784</v>
      </c>
      <c r="B222" s="237" t="s">
        <v>4785</v>
      </c>
      <c r="C222" s="237" t="s">
        <v>4786</v>
      </c>
      <c r="D222" s="237" t="s">
        <v>4787</v>
      </c>
      <c r="E222" s="237" t="s">
        <v>21</v>
      </c>
      <c r="F222" s="237" t="s">
        <v>21</v>
      </c>
      <c r="G222" s="237" t="s">
        <v>21</v>
      </c>
      <c r="H222" s="237" t="s">
        <v>4788</v>
      </c>
      <c r="I222" s="237" t="s">
        <v>21</v>
      </c>
      <c r="J222" s="237" t="s">
        <v>4789</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4790</v>
      </c>
      <c r="B223" s="237" t="s">
        <v>4791</v>
      </c>
      <c r="C223" s="237" t="s">
        <v>4792</v>
      </c>
      <c r="D223" s="237" t="s">
        <v>21</v>
      </c>
      <c r="E223" s="237" t="s">
        <v>4793</v>
      </c>
      <c r="F223" s="237" t="s">
        <v>21</v>
      </c>
      <c r="G223" s="237" t="s">
        <v>21</v>
      </c>
      <c r="H223" s="237" t="s">
        <v>4794</v>
      </c>
      <c r="I223" s="237" t="s">
        <v>21</v>
      </c>
      <c r="J223" s="237" t="s">
        <v>4795</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4796</v>
      </c>
      <c r="B224" s="237" t="s">
        <v>4797</v>
      </c>
      <c r="C224" s="237" t="s">
        <v>4798</v>
      </c>
      <c r="D224" s="237" t="s">
        <v>21</v>
      </c>
      <c r="E224" s="237" t="s">
        <v>21</v>
      </c>
      <c r="F224" s="237" t="s">
        <v>21</v>
      </c>
      <c r="G224" s="237" t="s">
        <v>21</v>
      </c>
      <c r="H224" s="237" t="s">
        <v>4799</v>
      </c>
      <c r="I224" s="237" t="s">
        <v>21</v>
      </c>
      <c r="J224" s="237" t="s">
        <v>4800</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4801</v>
      </c>
      <c r="B225" s="237" t="s">
        <v>4802</v>
      </c>
      <c r="C225" s="237" t="s">
        <v>4803</v>
      </c>
      <c r="D225" s="237" t="s">
        <v>21</v>
      </c>
      <c r="E225" s="237" t="s">
        <v>21</v>
      </c>
      <c r="F225" s="237" t="s">
        <v>21</v>
      </c>
      <c r="G225" s="237" t="s">
        <v>21</v>
      </c>
      <c r="H225" s="237" t="s">
        <v>4804</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4805</v>
      </c>
      <c r="B226" s="237" t="s">
        <v>4806</v>
      </c>
      <c r="C226" s="237" t="s">
        <v>4807</v>
      </c>
      <c r="D226" s="237" t="s">
        <v>21</v>
      </c>
      <c r="E226" s="237" t="s">
        <v>21</v>
      </c>
      <c r="F226" s="237" t="s">
        <v>21</v>
      </c>
      <c r="G226" s="237" t="s">
        <v>21</v>
      </c>
      <c r="H226" s="237" t="s">
        <v>4808</v>
      </c>
      <c r="I226" s="237" t="s">
        <v>21</v>
      </c>
      <c r="J226" s="237" t="s">
        <v>4809</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4810</v>
      </c>
      <c r="B227" s="237" t="s">
        <v>4811</v>
      </c>
      <c r="C227" s="237" t="s">
        <v>4812</v>
      </c>
      <c r="D227" s="237" t="s">
        <v>21</v>
      </c>
      <c r="E227" s="237" t="s">
        <v>21</v>
      </c>
      <c r="F227" s="237" t="s">
        <v>21</v>
      </c>
      <c r="G227" s="237" t="s">
        <v>21</v>
      </c>
      <c r="H227" s="237" t="s">
        <v>4813</v>
      </c>
      <c r="I227" s="237" t="s">
        <v>21</v>
      </c>
      <c r="J227" s="237" t="s">
        <v>4814</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4815</v>
      </c>
      <c r="B228" s="237" t="s">
        <v>4816</v>
      </c>
      <c r="C228" s="237" t="s">
        <v>4817</v>
      </c>
      <c r="D228" s="237" t="s">
        <v>21</v>
      </c>
      <c r="E228" s="237" t="s">
        <v>21</v>
      </c>
      <c r="F228" s="237" t="s">
        <v>21</v>
      </c>
      <c r="G228" s="237" t="s">
        <v>21</v>
      </c>
      <c r="H228" s="237" t="s">
        <v>4818</v>
      </c>
      <c r="I228" s="237" t="s">
        <v>21</v>
      </c>
      <c r="J228" s="237" t="s">
        <v>4819</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4820</v>
      </c>
      <c r="B229" s="237" t="s">
        <v>4821</v>
      </c>
      <c r="C229" s="237" t="s">
        <v>4822</v>
      </c>
      <c r="D229" s="237" t="s">
        <v>21</v>
      </c>
      <c r="E229" s="237" t="s">
        <v>21</v>
      </c>
      <c r="F229" s="237" t="s">
        <v>21</v>
      </c>
      <c r="G229" s="237" t="s">
        <v>21</v>
      </c>
      <c r="H229" s="237" t="s">
        <v>4823</v>
      </c>
      <c r="I229" s="237" t="s">
        <v>21</v>
      </c>
      <c r="J229" s="237" t="s">
        <v>4824</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1223</v>
      </c>
      <c r="B230" s="236" t="s">
        <v>4825</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4826</v>
      </c>
      <c r="B231" s="237" t="s">
        <v>4827</v>
      </c>
      <c r="C231" s="237" t="s">
        <v>4828</v>
      </c>
      <c r="D231" s="237" t="s">
        <v>4829</v>
      </c>
      <c r="E231" s="237" t="s">
        <v>21</v>
      </c>
      <c r="F231" s="237" t="s">
        <v>21</v>
      </c>
      <c r="G231" s="237" t="s">
        <v>21</v>
      </c>
      <c r="H231" s="237" t="s">
        <v>4830</v>
      </c>
      <c r="I231" s="237" t="s">
        <v>21</v>
      </c>
      <c r="J231" s="237" t="s">
        <v>4831</v>
      </c>
      <c r="K231" s="240">
        <f>IF(COUNTIF(L231:AY231,"&lt;&gt;")=0,"",SUMPRODUCT(((Recommendations[ImplStatus]="Implemented")+(Recommendations[ImplStatus]="Compensated"))*ISNUMBER(MATCH(Recommendations[Id],L231:AY231,0)))/COUNTIF(L231:AY231,"&lt;&gt;"))</f>
        <v>0</v>
      </c>
      <c r="L231" s="243" t="s">
        <v>211</v>
      </c>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4832</v>
      </c>
      <c r="B232" s="237" t="s">
        <v>4833</v>
      </c>
      <c r="C232" s="237" t="s">
        <v>4834</v>
      </c>
      <c r="D232" s="237" t="s">
        <v>4835</v>
      </c>
      <c r="E232" s="237" t="s">
        <v>21</v>
      </c>
      <c r="F232" s="237" t="s">
        <v>21</v>
      </c>
      <c r="G232" s="237" t="s">
        <v>21</v>
      </c>
      <c r="H232" s="237" t="s">
        <v>4836</v>
      </c>
      <c r="I232" s="237" t="s">
        <v>21</v>
      </c>
      <c r="J232" s="237" t="s">
        <v>4837</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4838</v>
      </c>
      <c r="B233" s="237" t="s">
        <v>4839</v>
      </c>
      <c r="C233" s="237" t="s">
        <v>4840</v>
      </c>
      <c r="D233" s="237" t="s">
        <v>4841</v>
      </c>
      <c r="E233" s="237" t="s">
        <v>21</v>
      </c>
      <c r="F233" s="237" t="s">
        <v>21</v>
      </c>
      <c r="G233" s="237" t="s">
        <v>21</v>
      </c>
      <c r="H233" s="237" t="s">
        <v>4842</v>
      </c>
      <c r="I233" s="237" t="s">
        <v>21</v>
      </c>
      <c r="J233" s="237" t="s">
        <v>4843</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4844</v>
      </c>
      <c r="B234" s="237" t="s">
        <v>4845</v>
      </c>
      <c r="C234" s="237" t="s">
        <v>4846</v>
      </c>
      <c r="D234" s="237" t="s">
        <v>4847</v>
      </c>
      <c r="E234" s="237" t="s">
        <v>21</v>
      </c>
      <c r="F234" s="237" t="s">
        <v>21</v>
      </c>
      <c r="G234" s="237" t="s">
        <v>21</v>
      </c>
      <c r="H234" s="237" t="s">
        <v>4848</v>
      </c>
      <c r="I234" s="237" t="s">
        <v>21</v>
      </c>
      <c r="J234" s="237" t="s">
        <v>4849</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1227</v>
      </c>
      <c r="B235" s="236" t="s">
        <v>4850</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4851</v>
      </c>
      <c r="B236" s="237" t="s">
        <v>4852</v>
      </c>
      <c r="C236" s="237" t="s">
        <v>4853</v>
      </c>
      <c r="D236" s="237" t="s">
        <v>4854</v>
      </c>
      <c r="E236" s="237" t="s">
        <v>21</v>
      </c>
      <c r="F236" s="237" t="s">
        <v>21</v>
      </c>
      <c r="G236" s="237" t="s">
        <v>21</v>
      </c>
      <c r="H236" s="237" t="s">
        <v>4855</v>
      </c>
      <c r="I236" s="237" t="s">
        <v>21</v>
      </c>
      <c r="J236" s="237" t="s">
        <v>4856</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4857</v>
      </c>
      <c r="B237" s="237" t="s">
        <v>4858</v>
      </c>
      <c r="C237" s="237" t="s">
        <v>4859</v>
      </c>
      <c r="D237" s="237" t="s">
        <v>4860</v>
      </c>
      <c r="E237" s="237" t="s">
        <v>21</v>
      </c>
      <c r="F237" s="237" t="s">
        <v>21</v>
      </c>
      <c r="G237" s="237" t="s">
        <v>4861</v>
      </c>
      <c r="H237" s="237" t="s">
        <v>4862</v>
      </c>
      <c r="I237" s="237" t="s">
        <v>4092</v>
      </c>
      <c r="J237" s="237" t="s">
        <v>4863</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4864</v>
      </c>
      <c r="B238" s="237" t="s">
        <v>4865</v>
      </c>
      <c r="C238" s="237" t="s">
        <v>4866</v>
      </c>
      <c r="D238" s="237" t="s">
        <v>21</v>
      </c>
      <c r="E238" s="237" t="s">
        <v>21</v>
      </c>
      <c r="F238" s="237" t="s">
        <v>21</v>
      </c>
      <c r="G238" s="237" t="s">
        <v>21</v>
      </c>
      <c r="H238" s="237" t="s">
        <v>4867</v>
      </c>
      <c r="I238" s="237" t="s">
        <v>4868</v>
      </c>
      <c r="J238" s="237" t="s">
        <v>4869</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4870</v>
      </c>
      <c r="B239" s="237" t="s">
        <v>4871</v>
      </c>
      <c r="C239" s="237" t="s">
        <v>4872</v>
      </c>
      <c r="D239" s="237" t="s">
        <v>21</v>
      </c>
      <c r="E239" s="237" t="s">
        <v>21</v>
      </c>
      <c r="F239" s="237" t="s">
        <v>21</v>
      </c>
      <c r="G239" s="237" t="s">
        <v>21</v>
      </c>
      <c r="H239" s="237" t="s">
        <v>4873</v>
      </c>
      <c r="I239" s="237" t="s">
        <v>4092</v>
      </c>
      <c r="J239" s="237" t="s">
        <v>4874</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4875</v>
      </c>
      <c r="B240" s="237" t="s">
        <v>4876</v>
      </c>
      <c r="C240" s="237" t="s">
        <v>4877</v>
      </c>
      <c r="D240" s="237" t="s">
        <v>4878</v>
      </c>
      <c r="E240" s="237" t="s">
        <v>21</v>
      </c>
      <c r="F240" s="237" t="s">
        <v>21</v>
      </c>
      <c r="G240" s="237" t="s">
        <v>21</v>
      </c>
      <c r="H240" s="237" t="s">
        <v>4879</v>
      </c>
      <c r="I240" s="237" t="s">
        <v>21</v>
      </c>
      <c r="J240" s="237" t="s">
        <v>4880</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1231</v>
      </c>
      <c r="B241" s="236" t="s">
        <v>4881</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4882</v>
      </c>
      <c r="B242" s="237" t="s">
        <v>4883</v>
      </c>
      <c r="C242" s="237" t="s">
        <v>4884</v>
      </c>
      <c r="D242" s="237" t="s">
        <v>21</v>
      </c>
      <c r="E242" s="237" t="s">
        <v>21</v>
      </c>
      <c r="F242" s="237" t="s">
        <v>4885</v>
      </c>
      <c r="G242" s="237" t="s">
        <v>21</v>
      </c>
      <c r="H242" s="237" t="s">
        <v>4886</v>
      </c>
      <c r="I242" s="237" t="s">
        <v>21</v>
      </c>
      <c r="J242" s="237" t="s">
        <v>4887</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1235</v>
      </c>
      <c r="B243" s="236" t="s">
        <v>4888</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4889</v>
      </c>
      <c r="B244" s="237" t="s">
        <v>4890</v>
      </c>
      <c r="C244" s="237" t="s">
        <v>4891</v>
      </c>
      <c r="D244" s="237" t="s">
        <v>21</v>
      </c>
      <c r="E244" s="237" t="s">
        <v>21</v>
      </c>
      <c r="F244" s="237" t="s">
        <v>4892</v>
      </c>
      <c r="G244" s="237" t="s">
        <v>21</v>
      </c>
      <c r="H244" s="237" t="s">
        <v>4893</v>
      </c>
      <c r="I244" s="237" t="s">
        <v>4894</v>
      </c>
      <c r="J244" s="237" t="s">
        <v>4895</v>
      </c>
      <c r="K244" s="240">
        <f>IF(COUNTIF(L244:AY244,"&lt;&gt;")=0,"",SUMPRODUCT(((Recommendations[ImplStatus]="Implemented")+(Recommendations[ImplStatus]="Compensated"))*ISNUMBER(MATCH(Recommendations[Id],L244:AY244,0)))/COUNTIF(L244:AY244,"&lt;&gt;"))</f>
        <v>0</v>
      </c>
      <c r="L244" s="243" t="s">
        <v>312</v>
      </c>
      <c r="M244" s="243" t="s">
        <v>530</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4896</v>
      </c>
      <c r="B245" s="237" t="s">
        <v>4897</v>
      </c>
      <c r="C245" s="237" t="s">
        <v>4898</v>
      </c>
      <c r="D245" s="237" t="s">
        <v>4899</v>
      </c>
      <c r="E245" s="237" t="s">
        <v>21</v>
      </c>
      <c r="F245" s="237" t="s">
        <v>21</v>
      </c>
      <c r="G245" s="237" t="s">
        <v>21</v>
      </c>
      <c r="H245" s="237" t="s">
        <v>4900</v>
      </c>
      <c r="I245" s="237" t="s">
        <v>21</v>
      </c>
      <c r="J245" s="237" t="s">
        <v>4901</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4902</v>
      </c>
      <c r="B246" s="237" t="s">
        <v>4903</v>
      </c>
      <c r="C246" s="237" t="s">
        <v>4904</v>
      </c>
      <c r="D246" s="237" t="s">
        <v>21</v>
      </c>
      <c r="E246" s="237" t="s">
        <v>21</v>
      </c>
      <c r="F246" s="237" t="s">
        <v>21</v>
      </c>
      <c r="G246" s="237" t="s">
        <v>21</v>
      </c>
      <c r="H246" s="237" t="s">
        <v>4905</v>
      </c>
      <c r="I246" s="237" t="s">
        <v>21</v>
      </c>
      <c r="J246" s="237" t="s">
        <v>4906</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1239</v>
      </c>
      <c r="B247" s="236" t="s">
        <v>4907</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4908</v>
      </c>
      <c r="B248" s="237" t="s">
        <v>4909</v>
      </c>
      <c r="C248" s="237" t="s">
        <v>4910</v>
      </c>
      <c r="D248" s="237" t="s">
        <v>4911</v>
      </c>
      <c r="E248" s="237" t="s">
        <v>21</v>
      </c>
      <c r="F248" s="237" t="s">
        <v>21</v>
      </c>
      <c r="G248" s="237" t="s">
        <v>21</v>
      </c>
      <c r="H248" s="237" t="s">
        <v>4912</v>
      </c>
      <c r="I248" s="237" t="s">
        <v>4913</v>
      </c>
      <c r="J248" s="237" t="s">
        <v>4914</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4915</v>
      </c>
      <c r="B249" s="237" t="s">
        <v>4916</v>
      </c>
      <c r="C249" s="237" t="s">
        <v>4910</v>
      </c>
      <c r="D249" s="237" t="s">
        <v>4917</v>
      </c>
      <c r="E249" s="237" t="s">
        <v>21</v>
      </c>
      <c r="F249" s="237" t="s">
        <v>21</v>
      </c>
      <c r="G249" s="237" t="s">
        <v>21</v>
      </c>
      <c r="H249" s="237" t="s">
        <v>4912</v>
      </c>
      <c r="I249" s="237" t="s">
        <v>4918</v>
      </c>
      <c r="J249" s="237" t="s">
        <v>4919</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4920</v>
      </c>
      <c r="B250" s="237" t="s">
        <v>4921</v>
      </c>
      <c r="C250" s="237" t="s">
        <v>4922</v>
      </c>
      <c r="D250" s="237" t="s">
        <v>4923</v>
      </c>
      <c r="E250" s="237" t="s">
        <v>21</v>
      </c>
      <c r="F250" s="237" t="s">
        <v>21</v>
      </c>
      <c r="G250" s="237" t="s">
        <v>21</v>
      </c>
      <c r="H250" s="237" t="s">
        <v>4924</v>
      </c>
      <c r="I250" s="237" t="s">
        <v>21</v>
      </c>
      <c r="J250" s="237" t="s">
        <v>4925</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4926</v>
      </c>
      <c r="B251" s="235" t="s">
        <v>4927</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1245</v>
      </c>
      <c r="B252" s="236" t="s">
        <v>4928</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4929</v>
      </c>
      <c r="B253" s="237" t="s">
        <v>4930</v>
      </c>
      <c r="C253" s="237" t="s">
        <v>4931</v>
      </c>
      <c r="D253" s="237" t="s">
        <v>3864</v>
      </c>
      <c r="E253" s="237" t="s">
        <v>3650</v>
      </c>
      <c r="F253" s="237" t="s">
        <v>21</v>
      </c>
      <c r="G253" s="237" t="s">
        <v>21</v>
      </c>
      <c r="H253" s="237" t="s">
        <v>4932</v>
      </c>
      <c r="I253" s="237" t="s">
        <v>21</v>
      </c>
      <c r="J253" s="237" t="s">
        <v>4933</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4934</v>
      </c>
      <c r="B254" s="237" t="s">
        <v>4935</v>
      </c>
      <c r="C254" s="237" t="s">
        <v>3655</v>
      </c>
      <c r="D254" s="237" t="s">
        <v>3656</v>
      </c>
      <c r="E254" s="237" t="s">
        <v>21</v>
      </c>
      <c r="F254" s="237" t="s">
        <v>3658</v>
      </c>
      <c r="G254" s="237" t="s">
        <v>21</v>
      </c>
      <c r="H254" s="237" t="s">
        <v>4936</v>
      </c>
      <c r="I254" s="237" t="s">
        <v>21</v>
      </c>
      <c r="J254" s="237" t="s">
        <v>4937</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1249</v>
      </c>
      <c r="B255" s="236" t="s">
        <v>4938</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4939</v>
      </c>
      <c r="B256" s="237" t="s">
        <v>4940</v>
      </c>
      <c r="C256" s="237" t="s">
        <v>4941</v>
      </c>
      <c r="D256" s="237" t="s">
        <v>4942</v>
      </c>
      <c r="E256" s="237" t="s">
        <v>4943</v>
      </c>
      <c r="F256" s="237" t="s">
        <v>4944</v>
      </c>
      <c r="G256" s="237" t="s">
        <v>21</v>
      </c>
      <c r="H256" s="237" t="s">
        <v>4945</v>
      </c>
      <c r="I256" s="237" t="s">
        <v>21</v>
      </c>
      <c r="J256" s="237" t="s">
        <v>4946</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4947</v>
      </c>
      <c r="B257" s="237" t="s">
        <v>4948</v>
      </c>
      <c r="C257" s="237" t="s">
        <v>4949</v>
      </c>
      <c r="D257" s="237" t="s">
        <v>4950</v>
      </c>
      <c r="E257" s="237" t="s">
        <v>21</v>
      </c>
      <c r="F257" s="237" t="s">
        <v>21</v>
      </c>
      <c r="G257" s="237" t="s">
        <v>21</v>
      </c>
      <c r="H257" s="237" t="s">
        <v>4951</v>
      </c>
      <c r="I257" s="237" t="s">
        <v>21</v>
      </c>
      <c r="J257" s="237" t="s">
        <v>4952</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1254</v>
      </c>
      <c r="B258" s="236" t="s">
        <v>4953</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4954</v>
      </c>
      <c r="B259" s="237" t="s">
        <v>4955</v>
      </c>
      <c r="C259" s="237" t="s">
        <v>4956</v>
      </c>
      <c r="D259" s="237" t="s">
        <v>4957</v>
      </c>
      <c r="E259" s="237" t="s">
        <v>4958</v>
      </c>
      <c r="F259" s="237" t="s">
        <v>21</v>
      </c>
      <c r="G259" s="237" t="s">
        <v>21</v>
      </c>
      <c r="H259" s="237" t="s">
        <v>4959</v>
      </c>
      <c r="I259" s="237" t="s">
        <v>21</v>
      </c>
      <c r="J259" s="237" t="s">
        <v>4960</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4961</v>
      </c>
      <c r="B260" s="237" t="s">
        <v>4962</v>
      </c>
      <c r="C260" s="237" t="s">
        <v>4963</v>
      </c>
      <c r="D260" s="237" t="s">
        <v>21</v>
      </c>
      <c r="E260" s="237" t="s">
        <v>21</v>
      </c>
      <c r="F260" s="237" t="s">
        <v>21</v>
      </c>
      <c r="G260" s="237" t="s">
        <v>21</v>
      </c>
      <c r="H260" s="237" t="s">
        <v>4964</v>
      </c>
      <c r="I260" s="237" t="s">
        <v>4965</v>
      </c>
      <c r="J260" s="237" t="s">
        <v>4966</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4967</v>
      </c>
      <c r="B261" s="237" t="s">
        <v>4968</v>
      </c>
      <c r="C261" s="237" t="s">
        <v>4969</v>
      </c>
      <c r="D261" s="237" t="s">
        <v>4970</v>
      </c>
      <c r="E261" s="237" t="s">
        <v>21</v>
      </c>
      <c r="F261" s="237" t="s">
        <v>21</v>
      </c>
      <c r="G261" s="237" t="s">
        <v>21</v>
      </c>
      <c r="H261" s="237" t="s">
        <v>4971</v>
      </c>
      <c r="I261" s="237" t="s">
        <v>4972</v>
      </c>
      <c r="J261" s="237" t="s">
        <v>4973</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4974</v>
      </c>
      <c r="B262" s="237" t="s">
        <v>4975</v>
      </c>
      <c r="C262" s="237" t="s">
        <v>4976</v>
      </c>
      <c r="D262" s="237" t="s">
        <v>4977</v>
      </c>
      <c r="E262" s="237" t="s">
        <v>21</v>
      </c>
      <c r="F262" s="237" t="s">
        <v>21</v>
      </c>
      <c r="G262" s="237" t="s">
        <v>21</v>
      </c>
      <c r="H262" s="237" t="s">
        <v>4978</v>
      </c>
      <c r="I262" s="237" t="s">
        <v>4979</v>
      </c>
      <c r="J262" s="237" t="s">
        <v>4980</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4981</v>
      </c>
      <c r="B263" s="237" t="s">
        <v>4982</v>
      </c>
      <c r="C263" s="237" t="s">
        <v>4983</v>
      </c>
      <c r="D263" s="237" t="s">
        <v>4984</v>
      </c>
      <c r="E263" s="237" t="s">
        <v>21</v>
      </c>
      <c r="F263" s="237" t="s">
        <v>21</v>
      </c>
      <c r="G263" s="237" t="s">
        <v>4985</v>
      </c>
      <c r="H263" s="237" t="s">
        <v>3888</v>
      </c>
      <c r="I263" s="237" t="s">
        <v>4986</v>
      </c>
      <c r="J263" s="237" t="s">
        <v>4987</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4988</v>
      </c>
      <c r="B264" s="237" t="s">
        <v>4989</v>
      </c>
      <c r="C264" s="237" t="s">
        <v>4976</v>
      </c>
      <c r="D264" s="237" t="s">
        <v>4990</v>
      </c>
      <c r="E264" s="237" t="s">
        <v>21</v>
      </c>
      <c r="F264" s="237" t="s">
        <v>21</v>
      </c>
      <c r="G264" s="237" t="s">
        <v>21</v>
      </c>
      <c r="H264" s="237" t="s">
        <v>4991</v>
      </c>
      <c r="I264" s="237" t="s">
        <v>21</v>
      </c>
      <c r="J264" s="237" t="s">
        <v>4992</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1258</v>
      </c>
      <c r="B265" s="236" t="s">
        <v>4993</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4994</v>
      </c>
      <c r="B266" s="237" t="s">
        <v>4995</v>
      </c>
      <c r="C266" s="237" t="s">
        <v>4996</v>
      </c>
      <c r="D266" s="237" t="s">
        <v>4997</v>
      </c>
      <c r="E266" s="237" t="s">
        <v>4998</v>
      </c>
      <c r="F266" s="237" t="s">
        <v>21</v>
      </c>
      <c r="G266" s="237" t="s">
        <v>4999</v>
      </c>
      <c r="H266" s="237" t="s">
        <v>5000</v>
      </c>
      <c r="I266" s="237" t="s">
        <v>5001</v>
      </c>
      <c r="J266" s="237" t="s">
        <v>5002</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5003</v>
      </c>
      <c r="B267" s="237" t="s">
        <v>5004</v>
      </c>
      <c r="C267" s="237" t="s">
        <v>5005</v>
      </c>
      <c r="D267" s="237" t="s">
        <v>5006</v>
      </c>
      <c r="E267" s="237" t="s">
        <v>21</v>
      </c>
      <c r="F267" s="237" t="s">
        <v>21</v>
      </c>
      <c r="G267" s="237" t="s">
        <v>21</v>
      </c>
      <c r="H267" s="237" t="s">
        <v>5007</v>
      </c>
      <c r="I267" s="237" t="s">
        <v>21</v>
      </c>
      <c r="J267" s="237" t="s">
        <v>5008</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5009</v>
      </c>
      <c r="B268" s="237" t="s">
        <v>5010</v>
      </c>
      <c r="C268" s="237" t="s">
        <v>5011</v>
      </c>
      <c r="D268" s="237" t="s">
        <v>5006</v>
      </c>
      <c r="E268" s="237" t="s">
        <v>21</v>
      </c>
      <c r="F268" s="237" t="s">
        <v>21</v>
      </c>
      <c r="G268" s="237" t="s">
        <v>5012</v>
      </c>
      <c r="H268" s="237" t="s">
        <v>5013</v>
      </c>
      <c r="I268" s="237" t="s">
        <v>21</v>
      </c>
      <c r="J268" s="237" t="s">
        <v>5014</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5015</v>
      </c>
      <c r="B269" s="237" t="s">
        <v>5016</v>
      </c>
      <c r="C269" s="237" t="s">
        <v>5011</v>
      </c>
      <c r="D269" s="237" t="s">
        <v>5017</v>
      </c>
      <c r="E269" s="237" t="s">
        <v>21</v>
      </c>
      <c r="F269" s="237" t="s">
        <v>21</v>
      </c>
      <c r="G269" s="237" t="s">
        <v>21</v>
      </c>
      <c r="H269" s="237" t="s">
        <v>5018</v>
      </c>
      <c r="I269" s="237" t="s">
        <v>21</v>
      </c>
      <c r="J269" s="237" t="s">
        <v>5019</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5020</v>
      </c>
      <c r="B270" s="237" t="s">
        <v>5021</v>
      </c>
      <c r="C270" s="237" t="s">
        <v>5022</v>
      </c>
      <c r="D270" s="237" t="s">
        <v>5023</v>
      </c>
      <c r="E270" s="237" t="s">
        <v>21</v>
      </c>
      <c r="F270" s="237" t="s">
        <v>21</v>
      </c>
      <c r="G270" s="237" t="s">
        <v>21</v>
      </c>
      <c r="H270" s="237" t="s">
        <v>5024</v>
      </c>
      <c r="I270" s="237" t="s">
        <v>21</v>
      </c>
      <c r="J270" s="237" t="s">
        <v>5025</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5026</v>
      </c>
      <c r="B271" s="237" t="s">
        <v>5027</v>
      </c>
      <c r="C271" s="237" t="s">
        <v>5028</v>
      </c>
      <c r="D271" s="237" t="s">
        <v>5029</v>
      </c>
      <c r="E271" s="237" t="s">
        <v>21</v>
      </c>
      <c r="F271" s="237" t="s">
        <v>21</v>
      </c>
      <c r="G271" s="237" t="s">
        <v>21</v>
      </c>
      <c r="H271" s="237" t="s">
        <v>5030</v>
      </c>
      <c r="I271" s="237" t="s">
        <v>5031</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5032</v>
      </c>
      <c r="B272" s="237" t="s">
        <v>5033</v>
      </c>
      <c r="C272" s="237" t="s">
        <v>5034</v>
      </c>
      <c r="D272" s="237" t="s">
        <v>5035</v>
      </c>
      <c r="E272" s="237" t="s">
        <v>21</v>
      </c>
      <c r="F272" s="237" t="s">
        <v>21</v>
      </c>
      <c r="G272" s="237" t="s">
        <v>21</v>
      </c>
      <c r="H272" s="237" t="s">
        <v>5036</v>
      </c>
      <c r="I272" s="237" t="s">
        <v>5037</v>
      </c>
      <c r="J272" s="237" t="s">
        <v>5038</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1262</v>
      </c>
      <c r="B273" s="236" t="s">
        <v>5039</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5040</v>
      </c>
      <c r="B274" s="237" t="s">
        <v>5041</v>
      </c>
      <c r="C274" s="237" t="s">
        <v>5042</v>
      </c>
      <c r="D274" s="237" t="s">
        <v>5035</v>
      </c>
      <c r="E274" s="237" t="s">
        <v>5043</v>
      </c>
      <c r="F274" s="237" t="s">
        <v>21</v>
      </c>
      <c r="G274" s="237" t="s">
        <v>21</v>
      </c>
      <c r="H274" s="237" t="s">
        <v>5044</v>
      </c>
      <c r="I274" s="237" t="s">
        <v>21</v>
      </c>
      <c r="J274" s="237" t="s">
        <v>5045</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5046</v>
      </c>
      <c r="B275" s="237" t="s">
        <v>5047</v>
      </c>
      <c r="C275" s="237" t="s">
        <v>5048</v>
      </c>
      <c r="D275" s="237" t="s">
        <v>5049</v>
      </c>
      <c r="E275" s="237" t="s">
        <v>21</v>
      </c>
      <c r="F275" s="237" t="s">
        <v>21</v>
      </c>
      <c r="G275" s="237" t="s">
        <v>21</v>
      </c>
      <c r="H275" s="237" t="s">
        <v>5050</v>
      </c>
      <c r="I275" s="237" t="s">
        <v>21</v>
      </c>
      <c r="J275" s="237" t="s">
        <v>5051</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5052</v>
      </c>
      <c r="B276" s="237" t="s">
        <v>5053</v>
      </c>
      <c r="C276" s="237" t="s">
        <v>5054</v>
      </c>
      <c r="D276" s="237" t="s">
        <v>5055</v>
      </c>
      <c r="E276" s="237" t="s">
        <v>21</v>
      </c>
      <c r="F276" s="237" t="s">
        <v>5056</v>
      </c>
      <c r="G276" s="237" t="s">
        <v>21</v>
      </c>
      <c r="H276" s="237" t="s">
        <v>5057</v>
      </c>
      <c r="I276" s="237" t="s">
        <v>5058</v>
      </c>
      <c r="J276" s="237" t="s">
        <v>5059</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5060</v>
      </c>
      <c r="B277" s="236" t="s">
        <v>5061</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5062</v>
      </c>
      <c r="B278" s="237" t="s">
        <v>5063</v>
      </c>
      <c r="C278" s="237" t="s">
        <v>5064</v>
      </c>
      <c r="D278" s="237" t="s">
        <v>5065</v>
      </c>
      <c r="E278" s="237" t="s">
        <v>21</v>
      </c>
      <c r="F278" s="237" t="s">
        <v>5066</v>
      </c>
      <c r="G278" s="237" t="s">
        <v>21</v>
      </c>
      <c r="H278" s="237" t="s">
        <v>5067</v>
      </c>
      <c r="I278" s="237" t="s">
        <v>21</v>
      </c>
      <c r="J278" s="237" t="s">
        <v>5068</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5069</v>
      </c>
      <c r="B279" s="235" t="s">
        <v>5070</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1268</v>
      </c>
      <c r="B280" s="236" t="s">
        <v>5071</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5072</v>
      </c>
      <c r="B281" s="237" t="s">
        <v>5073</v>
      </c>
      <c r="C281" s="237" t="s">
        <v>5074</v>
      </c>
      <c r="D281" s="237" t="s">
        <v>5075</v>
      </c>
      <c r="E281" s="237" t="s">
        <v>5076</v>
      </c>
      <c r="F281" s="237" t="s">
        <v>21</v>
      </c>
      <c r="G281" s="237" t="s">
        <v>21</v>
      </c>
      <c r="H281" s="237" t="s">
        <v>5077</v>
      </c>
      <c r="I281" s="237" t="s">
        <v>21</v>
      </c>
      <c r="J281" s="237" t="s">
        <v>5078</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5079</v>
      </c>
      <c r="B282" s="237" t="s">
        <v>5080</v>
      </c>
      <c r="C282" s="237" t="s">
        <v>5081</v>
      </c>
      <c r="D282" s="237" t="s">
        <v>21</v>
      </c>
      <c r="E282" s="237" t="s">
        <v>21</v>
      </c>
      <c r="F282" s="237" t="s">
        <v>21</v>
      </c>
      <c r="G282" s="237" t="s">
        <v>21</v>
      </c>
      <c r="H282" s="237" t="s">
        <v>5082</v>
      </c>
      <c r="I282" s="237" t="s">
        <v>21</v>
      </c>
      <c r="J282" s="237" t="s">
        <v>5083</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5084</v>
      </c>
      <c r="B283" s="237" t="s">
        <v>5085</v>
      </c>
      <c r="C283" s="237" t="s">
        <v>5086</v>
      </c>
      <c r="D283" s="237" t="s">
        <v>21</v>
      </c>
      <c r="E283" s="237" t="s">
        <v>21</v>
      </c>
      <c r="F283" s="237" t="s">
        <v>21</v>
      </c>
      <c r="G283" s="237" t="s">
        <v>21</v>
      </c>
      <c r="H283" s="237" t="s">
        <v>5087</v>
      </c>
      <c r="I283" s="237" t="s">
        <v>21</v>
      </c>
      <c r="J283" s="237" t="s">
        <v>5088</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5089</v>
      </c>
      <c r="B284" s="237" t="s">
        <v>5090</v>
      </c>
      <c r="C284" s="237" t="s">
        <v>5091</v>
      </c>
      <c r="D284" s="237" t="s">
        <v>5092</v>
      </c>
      <c r="E284" s="237" t="s">
        <v>21</v>
      </c>
      <c r="F284" s="237" t="s">
        <v>21</v>
      </c>
      <c r="G284" s="237" t="s">
        <v>21</v>
      </c>
      <c r="H284" s="237" t="s">
        <v>5093</v>
      </c>
      <c r="I284" s="237" t="s">
        <v>21</v>
      </c>
      <c r="J284" s="237" t="s">
        <v>5094</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1272</v>
      </c>
      <c r="B285" s="236" t="s">
        <v>5095</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5096</v>
      </c>
      <c r="B286" s="237" t="s">
        <v>5097</v>
      </c>
      <c r="C286" s="237" t="s">
        <v>5098</v>
      </c>
      <c r="D286" s="237" t="s">
        <v>5099</v>
      </c>
      <c r="E286" s="237" t="s">
        <v>21</v>
      </c>
      <c r="F286" s="237" t="s">
        <v>21</v>
      </c>
      <c r="G286" s="237" t="s">
        <v>21</v>
      </c>
      <c r="H286" s="237" t="s">
        <v>5100</v>
      </c>
      <c r="I286" s="237" t="s">
        <v>5101</v>
      </c>
      <c r="J286" s="237" t="s">
        <v>5102</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1276</v>
      </c>
      <c r="B287" s="236" t="s">
        <v>5103</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5104</v>
      </c>
      <c r="B288" s="237" t="s">
        <v>5105</v>
      </c>
      <c r="C288" s="237" t="s">
        <v>5106</v>
      </c>
      <c r="D288" s="237" t="s">
        <v>5107</v>
      </c>
      <c r="E288" s="237" t="s">
        <v>5108</v>
      </c>
      <c r="F288" s="237" t="s">
        <v>5109</v>
      </c>
      <c r="G288" s="237" t="s">
        <v>5110</v>
      </c>
      <c r="H288" s="237" t="s">
        <v>5111</v>
      </c>
      <c r="I288" s="237" t="s">
        <v>4092</v>
      </c>
      <c r="J288" s="237" t="s">
        <v>5112</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5113</v>
      </c>
      <c r="B289" s="237" t="s">
        <v>5114</v>
      </c>
      <c r="C289" s="237" t="s">
        <v>5115</v>
      </c>
      <c r="D289" s="237" t="s">
        <v>21</v>
      </c>
      <c r="E289" s="237" t="s">
        <v>5108</v>
      </c>
      <c r="F289" s="237" t="s">
        <v>21</v>
      </c>
      <c r="G289" s="237" t="s">
        <v>5116</v>
      </c>
      <c r="H289" s="237" t="s">
        <v>5117</v>
      </c>
      <c r="I289" s="237" t="s">
        <v>5118</v>
      </c>
      <c r="J289" s="237" t="s">
        <v>5119</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5120</v>
      </c>
      <c r="B290" s="237" t="s">
        <v>5121</v>
      </c>
      <c r="C290" s="237" t="s">
        <v>5122</v>
      </c>
      <c r="D290" s="237" t="s">
        <v>21</v>
      </c>
      <c r="E290" s="237" t="s">
        <v>5123</v>
      </c>
      <c r="F290" s="237" t="s">
        <v>21</v>
      </c>
      <c r="G290" s="237" t="s">
        <v>5124</v>
      </c>
      <c r="H290" s="237" t="s">
        <v>5125</v>
      </c>
      <c r="I290" s="237" t="s">
        <v>5126</v>
      </c>
      <c r="J290" s="237" t="s">
        <v>5127</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5128</v>
      </c>
      <c r="B291" s="237" t="s">
        <v>5129</v>
      </c>
      <c r="C291" s="237" t="s">
        <v>5130</v>
      </c>
      <c r="D291" s="237" t="s">
        <v>21</v>
      </c>
      <c r="E291" s="237" t="s">
        <v>21</v>
      </c>
      <c r="F291" s="237" t="s">
        <v>21</v>
      </c>
      <c r="G291" s="237" t="s">
        <v>21</v>
      </c>
      <c r="H291" s="237" t="s">
        <v>5131</v>
      </c>
      <c r="I291" s="237" t="s">
        <v>4092</v>
      </c>
      <c r="J291" s="237" t="s">
        <v>5132</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1280</v>
      </c>
      <c r="B292" s="236" t="s">
        <v>5133</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5134</v>
      </c>
      <c r="B293" s="237" t="s">
        <v>5135</v>
      </c>
      <c r="C293" s="237" t="s">
        <v>5136</v>
      </c>
      <c r="D293" s="237" t="s">
        <v>5137</v>
      </c>
      <c r="E293" s="237" t="s">
        <v>21</v>
      </c>
      <c r="F293" s="237" t="s">
        <v>21</v>
      </c>
      <c r="G293" s="237" t="s">
        <v>21</v>
      </c>
      <c r="H293" s="237" t="s">
        <v>5138</v>
      </c>
      <c r="I293" s="237" t="s">
        <v>5139</v>
      </c>
      <c r="J293" s="237" t="s">
        <v>5140</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5141</v>
      </c>
      <c r="B294" s="237" t="s">
        <v>5142</v>
      </c>
      <c r="C294" s="237" t="s">
        <v>5143</v>
      </c>
      <c r="D294" s="237" t="s">
        <v>5137</v>
      </c>
      <c r="E294" s="237" t="s">
        <v>21</v>
      </c>
      <c r="F294" s="237" t="s">
        <v>5144</v>
      </c>
      <c r="G294" s="237" t="s">
        <v>21</v>
      </c>
      <c r="H294" s="237" t="s">
        <v>5145</v>
      </c>
      <c r="I294" s="237" t="s">
        <v>4062</v>
      </c>
      <c r="J294" s="237" t="s">
        <v>5146</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5147</v>
      </c>
      <c r="B295" s="237" t="s">
        <v>5148</v>
      </c>
      <c r="C295" s="237" t="s">
        <v>5149</v>
      </c>
      <c r="D295" s="237" t="s">
        <v>5150</v>
      </c>
      <c r="E295" s="237" t="s">
        <v>21</v>
      </c>
      <c r="F295" s="237" t="s">
        <v>21</v>
      </c>
      <c r="G295" s="237" t="s">
        <v>21</v>
      </c>
      <c r="H295" s="237" t="s">
        <v>5151</v>
      </c>
      <c r="I295" s="237" t="s">
        <v>4062</v>
      </c>
      <c r="J295" s="237" t="s">
        <v>5152</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1284</v>
      </c>
      <c r="B296" s="236" t="s">
        <v>5153</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5154</v>
      </c>
      <c r="B297" s="237" t="s">
        <v>5155</v>
      </c>
      <c r="C297" s="237" t="s">
        <v>5156</v>
      </c>
      <c r="D297" s="237" t="s">
        <v>5150</v>
      </c>
      <c r="E297" s="237" t="s">
        <v>21</v>
      </c>
      <c r="F297" s="237" t="s">
        <v>5157</v>
      </c>
      <c r="G297" s="237" t="s">
        <v>21</v>
      </c>
      <c r="H297" s="237" t="s">
        <v>5158</v>
      </c>
      <c r="I297" s="237" t="s">
        <v>21</v>
      </c>
      <c r="J297" s="237" t="s">
        <v>5159</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5160</v>
      </c>
      <c r="B298" s="237" t="s">
        <v>5161</v>
      </c>
      <c r="C298" s="237" t="s">
        <v>5162</v>
      </c>
      <c r="D298" s="237" t="s">
        <v>5163</v>
      </c>
      <c r="E298" s="237" t="s">
        <v>21</v>
      </c>
      <c r="F298" s="237" t="s">
        <v>21</v>
      </c>
      <c r="G298" s="237" t="s">
        <v>5164</v>
      </c>
      <c r="H298" s="237" t="s">
        <v>5165</v>
      </c>
      <c r="I298" s="237" t="s">
        <v>5165</v>
      </c>
      <c r="J298" s="237" t="s">
        <v>5166</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5167</v>
      </c>
      <c r="B299" s="237" t="s">
        <v>5168</v>
      </c>
      <c r="C299" s="237" t="s">
        <v>5169</v>
      </c>
      <c r="D299" s="237" t="s">
        <v>21</v>
      </c>
      <c r="E299" s="237" t="s">
        <v>21</v>
      </c>
      <c r="F299" s="237" t="s">
        <v>21</v>
      </c>
      <c r="G299" s="237" t="s">
        <v>21</v>
      </c>
      <c r="H299" s="237" t="s">
        <v>5170</v>
      </c>
      <c r="I299" s="237" t="s">
        <v>5171</v>
      </c>
      <c r="J299" s="237" t="s">
        <v>5172</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5173</v>
      </c>
      <c r="B300" s="237" t="s">
        <v>5174</v>
      </c>
      <c r="C300" s="237" t="s">
        <v>5175</v>
      </c>
      <c r="D300" s="237" t="s">
        <v>21</v>
      </c>
      <c r="E300" s="237" t="s">
        <v>21</v>
      </c>
      <c r="F300" s="237" t="s">
        <v>5176</v>
      </c>
      <c r="G300" s="237" t="s">
        <v>21</v>
      </c>
      <c r="H300" s="237" t="s">
        <v>5177</v>
      </c>
      <c r="I300" s="237" t="s">
        <v>5171</v>
      </c>
      <c r="J300" s="237" t="s">
        <v>5178</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1288</v>
      </c>
      <c r="B301" s="236" t="s">
        <v>5179</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5180</v>
      </c>
      <c r="B302" s="237" t="s">
        <v>5181</v>
      </c>
      <c r="C302" s="237" t="s">
        <v>5182</v>
      </c>
      <c r="D302" s="237" t="s">
        <v>21</v>
      </c>
      <c r="E302" s="237" t="s">
        <v>21</v>
      </c>
      <c r="F302" s="237" t="s">
        <v>21</v>
      </c>
      <c r="G302" s="237" t="s">
        <v>21</v>
      </c>
      <c r="H302" s="237" t="s">
        <v>5183</v>
      </c>
      <c r="I302" s="237" t="s">
        <v>21</v>
      </c>
      <c r="J302" s="237" t="s">
        <v>5184</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5185</v>
      </c>
      <c r="B303" s="237" t="s">
        <v>5186</v>
      </c>
      <c r="C303" s="237" t="s">
        <v>5187</v>
      </c>
      <c r="D303" s="237" t="s">
        <v>5188</v>
      </c>
      <c r="E303" s="237" t="s">
        <v>21</v>
      </c>
      <c r="F303" s="237" t="s">
        <v>21</v>
      </c>
      <c r="G303" s="237" t="s">
        <v>21</v>
      </c>
      <c r="H303" s="237" t="s">
        <v>5189</v>
      </c>
      <c r="I303" s="237" t="s">
        <v>4092</v>
      </c>
      <c r="J303" s="237" t="s">
        <v>5190</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5191</v>
      </c>
      <c r="B304" s="237" t="s">
        <v>5192</v>
      </c>
      <c r="C304" s="237" t="s">
        <v>5193</v>
      </c>
      <c r="D304" s="237" t="s">
        <v>5188</v>
      </c>
      <c r="E304" s="237" t="s">
        <v>21</v>
      </c>
      <c r="F304" s="237" t="s">
        <v>5194</v>
      </c>
      <c r="G304" s="237" t="s">
        <v>21</v>
      </c>
      <c r="H304" s="237" t="s">
        <v>5195</v>
      </c>
      <c r="I304" s="237" t="s">
        <v>21</v>
      </c>
      <c r="J304" s="237" t="s">
        <v>5196</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5197</v>
      </c>
      <c r="B305" s="237" t="s">
        <v>5198</v>
      </c>
      <c r="C305" s="237" t="s">
        <v>5199</v>
      </c>
      <c r="D305" s="237" t="s">
        <v>5200</v>
      </c>
      <c r="E305" s="237" t="s">
        <v>21</v>
      </c>
      <c r="F305" s="237" t="s">
        <v>21</v>
      </c>
      <c r="G305" s="237" t="s">
        <v>21</v>
      </c>
      <c r="H305" s="237" t="s">
        <v>5201</v>
      </c>
      <c r="I305" s="237" t="s">
        <v>5202</v>
      </c>
      <c r="J305" s="237" t="s">
        <v>5203</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5204</v>
      </c>
      <c r="B306" s="237" t="s">
        <v>5205</v>
      </c>
      <c r="C306" s="237" t="s">
        <v>5206</v>
      </c>
      <c r="D306" s="237" t="s">
        <v>5207</v>
      </c>
      <c r="E306" s="237" t="s">
        <v>21</v>
      </c>
      <c r="F306" s="237" t="s">
        <v>21</v>
      </c>
      <c r="G306" s="237" t="s">
        <v>21</v>
      </c>
      <c r="H306" s="237" t="s">
        <v>5208</v>
      </c>
      <c r="I306" s="237" t="s">
        <v>4092</v>
      </c>
      <c r="J306" s="237" t="s">
        <v>5209</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1292</v>
      </c>
      <c r="B307" s="236" t="s">
        <v>5210</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5211</v>
      </c>
      <c r="B308" s="237" t="s">
        <v>5212</v>
      </c>
      <c r="C308" s="237" t="s">
        <v>5213</v>
      </c>
      <c r="D308" s="237" t="s">
        <v>5207</v>
      </c>
      <c r="E308" s="237" t="s">
        <v>21</v>
      </c>
      <c r="F308" s="237" t="s">
        <v>5214</v>
      </c>
      <c r="G308" s="237" t="s">
        <v>21</v>
      </c>
      <c r="H308" s="237" t="s">
        <v>5215</v>
      </c>
      <c r="I308" s="237" t="s">
        <v>5216</v>
      </c>
      <c r="J308" s="237" t="s">
        <v>5217</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1296</v>
      </c>
      <c r="B309" s="236" t="s">
        <v>5218</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5219</v>
      </c>
      <c r="B310" s="237" t="s">
        <v>5220</v>
      </c>
      <c r="C310" s="237" t="s">
        <v>5221</v>
      </c>
      <c r="D310" s="237" t="s">
        <v>21</v>
      </c>
      <c r="E310" s="237" t="s">
        <v>21</v>
      </c>
      <c r="F310" s="237" t="s">
        <v>5222</v>
      </c>
      <c r="G310" s="237" t="s">
        <v>21</v>
      </c>
      <c r="H310" s="237" t="s">
        <v>5223</v>
      </c>
      <c r="I310" s="237" t="s">
        <v>5224</v>
      </c>
      <c r="J310" s="237" t="s">
        <v>5225</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5226</v>
      </c>
      <c r="B311" s="237" t="s">
        <v>5227</v>
      </c>
      <c r="C311" s="237" t="s">
        <v>5228</v>
      </c>
      <c r="D311" s="237" t="s">
        <v>5229</v>
      </c>
      <c r="E311" s="237" t="s">
        <v>21</v>
      </c>
      <c r="F311" s="237" t="s">
        <v>21</v>
      </c>
      <c r="G311" s="237" t="s">
        <v>5230</v>
      </c>
      <c r="H311" s="237" t="s">
        <v>5231</v>
      </c>
      <c r="I311" s="237" t="s">
        <v>21</v>
      </c>
      <c r="J311" s="237" t="s">
        <v>5232</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5233</v>
      </c>
      <c r="B312" s="237" t="s">
        <v>5234</v>
      </c>
      <c r="C312" s="237" t="s">
        <v>5235</v>
      </c>
      <c r="D312" s="237" t="s">
        <v>5236</v>
      </c>
      <c r="E312" s="237" t="s">
        <v>21</v>
      </c>
      <c r="F312" s="237" t="s">
        <v>21</v>
      </c>
      <c r="G312" s="237" t="s">
        <v>21</v>
      </c>
      <c r="H312" s="237" t="s">
        <v>5237</v>
      </c>
      <c r="I312" s="237" t="s">
        <v>21</v>
      </c>
      <c r="J312" s="237" t="s">
        <v>5238</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5239</v>
      </c>
      <c r="B313" s="237" t="s">
        <v>5240</v>
      </c>
      <c r="C313" s="237" t="s">
        <v>5241</v>
      </c>
      <c r="D313" s="237" t="s">
        <v>5242</v>
      </c>
      <c r="E313" s="237" t="s">
        <v>21</v>
      </c>
      <c r="F313" s="237" t="s">
        <v>21</v>
      </c>
      <c r="G313" s="237" t="s">
        <v>5243</v>
      </c>
      <c r="H313" s="237" t="s">
        <v>5244</v>
      </c>
      <c r="I313" s="237" t="s">
        <v>5245</v>
      </c>
      <c r="J313" s="237" t="s">
        <v>5246</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5247</v>
      </c>
      <c r="B314" s="237" t="s">
        <v>5248</v>
      </c>
      <c r="C314" s="237" t="s">
        <v>5249</v>
      </c>
      <c r="D314" s="237" t="s">
        <v>5250</v>
      </c>
      <c r="E314" s="237" t="s">
        <v>21</v>
      </c>
      <c r="F314" s="237" t="s">
        <v>21</v>
      </c>
      <c r="G314" s="237" t="s">
        <v>5251</v>
      </c>
      <c r="H314" s="237" t="s">
        <v>5252</v>
      </c>
      <c r="I314" s="237" t="s">
        <v>5253</v>
      </c>
      <c r="J314" s="237" t="s">
        <v>5254</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5255</v>
      </c>
      <c r="B315" s="236" t="s">
        <v>5256</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5257</v>
      </c>
      <c r="B316" s="237" t="s">
        <v>5258</v>
      </c>
      <c r="C316" s="237" t="s">
        <v>5259</v>
      </c>
      <c r="D316" s="237" t="s">
        <v>21</v>
      </c>
      <c r="E316" s="237" t="s">
        <v>21</v>
      </c>
      <c r="F316" s="237" t="s">
        <v>21</v>
      </c>
      <c r="G316" s="237" t="s">
        <v>21</v>
      </c>
      <c r="H316" s="237" t="s">
        <v>5260</v>
      </c>
      <c r="I316" s="237" t="s">
        <v>5261</v>
      </c>
      <c r="J316" s="237" t="s">
        <v>5262</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5263</v>
      </c>
      <c r="B317" s="237" t="s">
        <v>5264</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5265</v>
      </c>
      <c r="B318" s="236" t="s">
        <v>5266</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5267</v>
      </c>
      <c r="B319" s="237" t="s">
        <v>5268</v>
      </c>
      <c r="C319" s="237" t="s">
        <v>5269</v>
      </c>
      <c r="D319" s="237" t="s">
        <v>5270</v>
      </c>
      <c r="E319" s="237" t="s">
        <v>21</v>
      </c>
      <c r="F319" s="237" t="s">
        <v>5271</v>
      </c>
      <c r="G319" s="237" t="s">
        <v>5272</v>
      </c>
      <c r="H319" s="237" t="s">
        <v>5273</v>
      </c>
      <c r="I319" s="237" t="s">
        <v>21</v>
      </c>
      <c r="J319" s="237" t="s">
        <v>5274</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5275</v>
      </c>
      <c r="B320" s="237" t="s">
        <v>5276</v>
      </c>
      <c r="C320" s="237" t="s">
        <v>5277</v>
      </c>
      <c r="D320" s="237" t="s">
        <v>5278</v>
      </c>
      <c r="E320" s="237" t="s">
        <v>21</v>
      </c>
      <c r="F320" s="237" t="s">
        <v>21</v>
      </c>
      <c r="G320" s="237" t="s">
        <v>21</v>
      </c>
      <c r="H320" s="237" t="s">
        <v>5279</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5280</v>
      </c>
      <c r="B321" s="237" t="s">
        <v>5281</v>
      </c>
      <c r="C321" s="237" t="s">
        <v>5282</v>
      </c>
      <c r="D321" s="237" t="s">
        <v>5283</v>
      </c>
      <c r="E321" s="237" t="s">
        <v>21</v>
      </c>
      <c r="F321" s="237" t="s">
        <v>21</v>
      </c>
      <c r="G321" s="237" t="s">
        <v>21</v>
      </c>
      <c r="H321" s="237" t="s">
        <v>5284</v>
      </c>
      <c r="I321" s="237" t="s">
        <v>21</v>
      </c>
      <c r="J321" s="237" t="s">
        <v>5285</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5286</v>
      </c>
      <c r="B322" s="237" t="s">
        <v>5287</v>
      </c>
      <c r="C322" s="237" t="s">
        <v>5288</v>
      </c>
      <c r="D322" s="237" t="s">
        <v>5289</v>
      </c>
      <c r="E322" s="237" t="s">
        <v>21</v>
      </c>
      <c r="F322" s="237" t="s">
        <v>21</v>
      </c>
      <c r="G322" s="237" t="s">
        <v>21</v>
      </c>
      <c r="H322" s="237" t="s">
        <v>5290</v>
      </c>
      <c r="I322" s="237" t="s">
        <v>21</v>
      </c>
      <c r="J322" s="237" t="s">
        <v>5291</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5292</v>
      </c>
      <c r="B323" s="237" t="s">
        <v>5293</v>
      </c>
      <c r="C323" s="237" t="s">
        <v>5294</v>
      </c>
      <c r="D323" s="237" t="s">
        <v>21</v>
      </c>
      <c r="E323" s="237" t="s">
        <v>21</v>
      </c>
      <c r="F323" s="237" t="s">
        <v>21</v>
      </c>
      <c r="G323" s="237" t="s">
        <v>21</v>
      </c>
      <c r="H323" s="237" t="s">
        <v>5295</v>
      </c>
      <c r="I323" s="237" t="s">
        <v>4092</v>
      </c>
      <c r="J323" s="237" t="s">
        <v>5296</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5297</v>
      </c>
      <c r="B324" s="237" t="s">
        <v>5298</v>
      </c>
      <c r="C324" s="237" t="s">
        <v>5299</v>
      </c>
      <c r="D324" s="237" t="s">
        <v>21</v>
      </c>
      <c r="E324" s="237" t="s">
        <v>21</v>
      </c>
      <c r="F324" s="237" t="s">
        <v>21</v>
      </c>
      <c r="G324" s="237" t="s">
        <v>21</v>
      </c>
      <c r="H324" s="237" t="s">
        <v>5300</v>
      </c>
      <c r="I324" s="237" t="s">
        <v>5301</v>
      </c>
      <c r="J324" s="237" t="s">
        <v>5302</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5303</v>
      </c>
      <c r="B325" s="237" t="s">
        <v>5304</v>
      </c>
      <c r="C325" s="237" t="s">
        <v>5305</v>
      </c>
      <c r="D325" s="237" t="s">
        <v>5306</v>
      </c>
      <c r="E325" s="237" t="s">
        <v>21</v>
      </c>
      <c r="F325" s="237" t="s">
        <v>21</v>
      </c>
      <c r="G325" s="237" t="s">
        <v>21</v>
      </c>
      <c r="H325" s="237" t="s">
        <v>5307</v>
      </c>
      <c r="I325" s="237" t="s">
        <v>21</v>
      </c>
      <c r="J325" s="237" t="s">
        <v>5308</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5309</v>
      </c>
      <c r="B326" s="244" t="s">
        <v>5310</v>
      </c>
      <c r="C326" s="244" t="s">
        <v>5311</v>
      </c>
      <c r="D326" s="244" t="s">
        <v>5312</v>
      </c>
      <c r="E326" s="244" t="s">
        <v>21</v>
      </c>
      <c r="F326" s="244" t="s">
        <v>21</v>
      </c>
      <c r="G326" s="244" t="s">
        <v>21</v>
      </c>
      <c r="H326" s="244" t="s">
        <v>5313</v>
      </c>
      <c r="I326" s="244" t="s">
        <v>4092</v>
      </c>
      <c r="J326" s="244" t="s">
        <v>5314</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575</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IFERROR(INDEX('Recommendations'!$H$2:$H$111, MATCH(L2,'Recommendations'!$A$2:$A$111,0))="Implemented", FALSE))</xm:f>
            <x14:dxf>
              <font>
                <color rgb="FF000000"/>
              </font>
              <fill>
                <patternFill>
                  <bgColor rgb="FF3C7D22"/>
                </patternFill>
              </fill>
            </x14:dxf>
          </x14:cfRule>
          <x14:cfRule type="expression" priority="2" id="{00000000-000E-0000-0A00-000002000000}">
            <xm:f>AND(L2&lt;&gt;"", IFERROR(INDEX('Recommendations'!$H$2:$H$111, MATCH(L2,'Recommendations'!$A$2:$A$111,0))="Compensated", FALSE))</xm:f>
            <x14:dxf>
              <font>
                <color rgb="FF000000"/>
              </font>
              <fill>
                <patternFill>
                  <bgColor rgb="FFC6E0B4"/>
                </patternFill>
              </fill>
            </x14:dxf>
          </x14:cfRule>
          <x14:cfRule type="expression" priority="3" id="{00000000-000E-0000-0A00-000003000000}">
            <xm:f>AND(L2&lt;&gt;"", IFERROR(INDEX('Recommendations'!$H$2:$H$111, MATCH(L2,'Recommendations'!$A$2:$A$111,0))="Testing", FALSE))</xm:f>
            <x14:dxf>
              <font>
                <color rgb="FF000000"/>
              </font>
              <fill>
                <patternFill>
                  <bgColor rgb="FFFFC000"/>
                </patternFill>
              </fill>
            </x14:dxf>
          </x14:cfRule>
          <x14:cfRule type="expression" priority="4" id="{00000000-000E-0000-0A00-000004000000}">
            <xm:f>AND(L2&lt;&gt;"", IFERROR(INDEX('Recommendations'!$H$2:$H$111, MATCH(L2,'Recommendations'!$A$2:$A$111,0))="Failed", FALSE))</xm:f>
            <x14:dxf>
              <font>
                <color rgb="FF000000"/>
              </font>
              <fill>
                <patternFill>
                  <bgColor rgb="FFD82891"/>
                </patternFill>
              </fill>
            </x14:dxf>
          </x14:cfRule>
          <x14:cfRule type="expression" priority="5" id="{00000000-000E-0000-0A00-000005000000}">
            <xm:f>AND(L2&lt;&gt;"", IFERROR(INDEX('Recommendations'!$H$2:$H$111, MATCH(L2,'Recommendations'!$A$2:$A$111,0))="Risk Accepted", FALSE))</xm:f>
            <x14:dxf>
              <font>
                <color rgb="FF000000"/>
              </font>
              <fill>
                <patternFill>
                  <bgColor rgb="FFD9D9D9"/>
                </patternFill>
              </fill>
            </x14:dxf>
          </x14:cfRule>
          <x14:cfRule type="expression" priority="6" id="{00000000-000E-0000-0A00-000006000000}">
            <xm:f>AND(L2&lt;&gt;"", IFERROR(INDEX('Recommendations'!$H$2:$H$111, MATCH(L2,'Recommendations'!$A$2:$A$111,0))="N/A",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2463</v>
      </c>
      <c r="B1" s="289" t="s">
        <v>3348</v>
      </c>
      <c r="C1" s="289" t="s">
        <v>0</v>
      </c>
      <c r="D1" s="289" t="s">
        <v>826</v>
      </c>
      <c r="E1" s="289" t="s">
        <v>5315</v>
      </c>
      <c r="F1" s="289" t="s">
        <v>5316</v>
      </c>
      <c r="G1" s="289" t="s">
        <v>831</v>
      </c>
      <c r="H1" s="289" t="s">
        <v>832</v>
      </c>
      <c r="I1" s="289" t="s">
        <v>833</v>
      </c>
      <c r="J1" s="289" t="s">
        <v>834</v>
      </c>
      <c r="K1" s="289" t="s">
        <v>835</v>
      </c>
      <c r="L1" s="289" t="s">
        <v>836</v>
      </c>
      <c r="M1" s="289" t="s">
        <v>837</v>
      </c>
      <c r="N1" s="289" t="s">
        <v>838</v>
      </c>
      <c r="O1" s="289" t="s">
        <v>839</v>
      </c>
      <c r="P1" s="289" t="s">
        <v>840</v>
      </c>
      <c r="Q1" s="289" t="s">
        <v>841</v>
      </c>
      <c r="R1" s="289" t="s">
        <v>842</v>
      </c>
      <c r="S1" s="289" t="s">
        <v>843</v>
      </c>
      <c r="T1" s="289" t="s">
        <v>844</v>
      </c>
      <c r="U1" s="289" t="s">
        <v>845</v>
      </c>
      <c r="V1" s="289" t="s">
        <v>846</v>
      </c>
      <c r="W1" s="289" t="s">
        <v>847</v>
      </c>
      <c r="X1" s="289" t="s">
        <v>848</v>
      </c>
      <c r="Y1" s="289" t="s">
        <v>849</v>
      </c>
      <c r="Z1" s="289" t="s">
        <v>850</v>
      </c>
      <c r="AA1" s="289" t="s">
        <v>851</v>
      </c>
      <c r="AB1" s="289" t="s">
        <v>852</v>
      </c>
      <c r="AC1" s="289" t="s">
        <v>853</v>
      </c>
      <c r="AD1" s="289" t="s">
        <v>854</v>
      </c>
      <c r="AE1" s="289" t="s">
        <v>855</v>
      </c>
      <c r="AF1" s="289" t="s">
        <v>856</v>
      </c>
      <c r="AG1" s="289" t="s">
        <v>857</v>
      </c>
      <c r="AH1" s="289" t="s">
        <v>858</v>
      </c>
      <c r="AI1" s="289" t="s">
        <v>859</v>
      </c>
      <c r="AJ1" s="289" t="s">
        <v>860</v>
      </c>
      <c r="AK1" s="289" t="s">
        <v>861</v>
      </c>
      <c r="AL1" s="289" t="s">
        <v>862</v>
      </c>
      <c r="AM1" s="289" t="s">
        <v>863</v>
      </c>
      <c r="AN1" s="289" t="s">
        <v>864</v>
      </c>
      <c r="AO1" s="289" t="s">
        <v>865</v>
      </c>
      <c r="AP1" s="289" t="s">
        <v>866</v>
      </c>
      <c r="AQ1" s="289" t="s">
        <v>867</v>
      </c>
      <c r="AR1" s="289" t="s">
        <v>868</v>
      </c>
      <c r="AS1" s="289" t="s">
        <v>869</v>
      </c>
      <c r="AT1" s="289" t="s">
        <v>870</v>
      </c>
      <c r="AU1" s="290" t="s">
        <v>871</v>
      </c>
    </row>
    <row r="2" spans="1:47" ht="60" customHeight="1" outlineLevel="1" x14ac:dyDescent="0.35">
      <c r="A2" s="280" t="s">
        <v>5317</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5317</v>
      </c>
      <c r="B3" s="259" t="s">
        <v>5318</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5317</v>
      </c>
      <c r="B4" s="260" t="s">
        <v>5318</v>
      </c>
      <c r="C4" s="261" t="s">
        <v>5319</v>
      </c>
      <c r="D4" s="264" t="s">
        <v>5320</v>
      </c>
      <c r="E4" s="265" t="s">
        <v>5321</v>
      </c>
      <c r="F4" s="268" t="s">
        <v>5322</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5317</v>
      </c>
      <c r="B5" s="260" t="s">
        <v>5318</v>
      </c>
      <c r="C5" s="261" t="s">
        <v>5323</v>
      </c>
      <c r="D5" s="264" t="s">
        <v>5324</v>
      </c>
      <c r="E5" s="265" t="s">
        <v>5321</v>
      </c>
      <c r="F5" s="268" t="s">
        <v>5322</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5317</v>
      </c>
      <c r="B6" s="260" t="s">
        <v>5318</v>
      </c>
      <c r="C6" s="261" t="s">
        <v>5325</v>
      </c>
      <c r="D6" s="264" t="s">
        <v>5326</v>
      </c>
      <c r="E6" s="265" t="s">
        <v>5321</v>
      </c>
      <c r="F6" s="268" t="s">
        <v>5322</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5317</v>
      </c>
      <c r="B7" s="260" t="s">
        <v>5318</v>
      </c>
      <c r="C7" s="261" t="s">
        <v>5327</v>
      </c>
      <c r="D7" s="264" t="s">
        <v>5328</v>
      </c>
      <c r="E7" s="265" t="s">
        <v>5321</v>
      </c>
      <c r="F7" s="268" t="s">
        <v>5322</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5317</v>
      </c>
      <c r="B8" s="260" t="s">
        <v>5318</v>
      </c>
      <c r="C8" s="261" t="s">
        <v>5329</v>
      </c>
      <c r="D8" s="264" t="s">
        <v>5330</v>
      </c>
      <c r="E8" s="265" t="s">
        <v>5321</v>
      </c>
      <c r="F8" s="268" t="s">
        <v>5322</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5317</v>
      </c>
      <c r="B9" s="260" t="s">
        <v>5318</v>
      </c>
      <c r="C9" s="261" t="s">
        <v>5331</v>
      </c>
      <c r="D9" s="264" t="s">
        <v>5332</v>
      </c>
      <c r="E9" s="265" t="s">
        <v>5321</v>
      </c>
      <c r="F9" s="268" t="s">
        <v>5322</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5317</v>
      </c>
      <c r="B10" s="260" t="s">
        <v>5318</v>
      </c>
      <c r="C10" s="261" t="s">
        <v>5333</v>
      </c>
      <c r="D10" s="264" t="s">
        <v>5334</v>
      </c>
      <c r="E10" s="265" t="s">
        <v>5321</v>
      </c>
      <c r="F10" s="268" t="s">
        <v>5322</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5317</v>
      </c>
      <c r="B11" s="260" t="s">
        <v>5318</v>
      </c>
      <c r="C11" s="261" t="s">
        <v>5335</v>
      </c>
      <c r="D11" s="264" t="s">
        <v>5336</v>
      </c>
      <c r="E11" s="265" t="s">
        <v>5321</v>
      </c>
      <c r="F11" s="268" t="s">
        <v>5322</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5317</v>
      </c>
      <c r="B12" s="260" t="s">
        <v>5318</v>
      </c>
      <c r="C12" s="261" t="s">
        <v>5337</v>
      </c>
      <c r="D12" s="264" t="s">
        <v>5338</v>
      </c>
      <c r="E12" s="265" t="s">
        <v>5321</v>
      </c>
      <c r="F12" s="268" t="s">
        <v>5322</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5317</v>
      </c>
      <c r="B13" s="260" t="s">
        <v>5318</v>
      </c>
      <c r="C13" s="261" t="s">
        <v>5339</v>
      </c>
      <c r="D13" s="264" t="s">
        <v>5340</v>
      </c>
      <c r="E13" s="265" t="s">
        <v>5321</v>
      </c>
      <c r="F13" s="268" t="s">
        <v>5322</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5317</v>
      </c>
      <c r="B14" s="260" t="s">
        <v>5318</v>
      </c>
      <c r="C14" s="261" t="s">
        <v>5341</v>
      </c>
      <c r="D14" s="264" t="s">
        <v>5342</v>
      </c>
      <c r="E14" s="265" t="s">
        <v>5321</v>
      </c>
      <c r="F14" s="268" t="s">
        <v>5322</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5317</v>
      </c>
      <c r="B15" s="260" t="s">
        <v>5318</v>
      </c>
      <c r="C15" s="261" t="s">
        <v>5343</v>
      </c>
      <c r="D15" s="264" t="s">
        <v>5344</v>
      </c>
      <c r="E15" s="265" t="s">
        <v>5321</v>
      </c>
      <c r="F15" s="268" t="s">
        <v>5322</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5317</v>
      </c>
      <c r="B16" s="260" t="s">
        <v>5318</v>
      </c>
      <c r="C16" s="261" t="s">
        <v>5345</v>
      </c>
      <c r="D16" s="264" t="s">
        <v>5346</v>
      </c>
      <c r="E16" s="265" t="s">
        <v>5321</v>
      </c>
      <c r="F16" s="268" t="s">
        <v>5322</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5317</v>
      </c>
      <c r="B17" s="259" t="s">
        <v>5347</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5317</v>
      </c>
      <c r="B18" s="260" t="s">
        <v>5347</v>
      </c>
      <c r="C18" s="261" t="s">
        <v>5348</v>
      </c>
      <c r="D18" s="264" t="s">
        <v>5349</v>
      </c>
      <c r="E18" s="265" t="s">
        <v>5350</v>
      </c>
      <c r="F18" s="268" t="s">
        <v>5351</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5317</v>
      </c>
      <c r="B19" s="260" t="s">
        <v>5347</v>
      </c>
      <c r="C19" s="261" t="s">
        <v>5352</v>
      </c>
      <c r="D19" s="264" t="s">
        <v>5353</v>
      </c>
      <c r="E19" s="265" t="s">
        <v>5350</v>
      </c>
      <c r="F19" s="268" t="s">
        <v>5351</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5317</v>
      </c>
      <c r="B20" s="260" t="s">
        <v>5347</v>
      </c>
      <c r="C20" s="261" t="s">
        <v>5354</v>
      </c>
      <c r="D20" s="264" t="s">
        <v>5355</v>
      </c>
      <c r="E20" s="265" t="s">
        <v>5350</v>
      </c>
      <c r="F20" s="268" t="s">
        <v>5351</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5317</v>
      </c>
      <c r="B21" s="260" t="s">
        <v>5347</v>
      </c>
      <c r="C21" s="261" t="s">
        <v>5356</v>
      </c>
      <c r="D21" s="264" t="s">
        <v>5357</v>
      </c>
      <c r="E21" s="265" t="s">
        <v>5350</v>
      </c>
      <c r="F21" s="268" t="s">
        <v>5351</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5317</v>
      </c>
      <c r="B22" s="260" t="s">
        <v>5347</v>
      </c>
      <c r="C22" s="261" t="s">
        <v>5358</v>
      </c>
      <c r="D22" s="264" t="s">
        <v>5359</v>
      </c>
      <c r="E22" s="265" t="s">
        <v>5350</v>
      </c>
      <c r="F22" s="268" t="s">
        <v>5351</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5317</v>
      </c>
      <c r="B23" s="260" t="s">
        <v>5347</v>
      </c>
      <c r="C23" s="261" t="s">
        <v>5360</v>
      </c>
      <c r="D23" s="264" t="s">
        <v>5361</v>
      </c>
      <c r="E23" s="265" t="s">
        <v>5321</v>
      </c>
      <c r="F23" s="268" t="s">
        <v>5322</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5317</v>
      </c>
      <c r="B24" s="260" t="s">
        <v>5347</v>
      </c>
      <c r="C24" s="261" t="s">
        <v>5362</v>
      </c>
      <c r="D24" s="264" t="s">
        <v>5363</v>
      </c>
      <c r="E24" s="265" t="s">
        <v>5321</v>
      </c>
      <c r="F24" s="268" t="s">
        <v>5322</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5317</v>
      </c>
      <c r="B25" s="260" t="s">
        <v>5347</v>
      </c>
      <c r="C25" s="261" t="s">
        <v>5364</v>
      </c>
      <c r="D25" s="264" t="s">
        <v>5365</v>
      </c>
      <c r="E25" s="265" t="s">
        <v>5321</v>
      </c>
      <c r="F25" s="268" t="s">
        <v>5366</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5317</v>
      </c>
      <c r="B26" s="260" t="s">
        <v>5347</v>
      </c>
      <c r="C26" s="261" t="s">
        <v>5367</v>
      </c>
      <c r="D26" s="264" t="s">
        <v>5368</v>
      </c>
      <c r="E26" s="265" t="s">
        <v>5321</v>
      </c>
      <c r="F26" s="268" t="s">
        <v>5366</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5317</v>
      </c>
      <c r="B27" s="260" t="s">
        <v>5347</v>
      </c>
      <c r="C27" s="261" t="s">
        <v>5369</v>
      </c>
      <c r="D27" s="264" t="s">
        <v>5370</v>
      </c>
      <c r="E27" s="265" t="s">
        <v>5321</v>
      </c>
      <c r="F27" s="268" t="s">
        <v>5366</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5317</v>
      </c>
      <c r="B28" s="260" t="s">
        <v>5347</v>
      </c>
      <c r="C28" s="261" t="s">
        <v>5371</v>
      </c>
      <c r="D28" s="264" t="s">
        <v>5372</v>
      </c>
      <c r="E28" s="265" t="s">
        <v>5321</v>
      </c>
      <c r="F28" s="268" t="s">
        <v>5366</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5317</v>
      </c>
      <c r="B29" s="260" t="s">
        <v>5347</v>
      </c>
      <c r="C29" s="261" t="s">
        <v>5373</v>
      </c>
      <c r="D29" s="264" t="s">
        <v>5374</v>
      </c>
      <c r="E29" s="265" t="s">
        <v>5321</v>
      </c>
      <c r="F29" s="268" t="s">
        <v>5366</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5317</v>
      </c>
      <c r="B30" s="260" t="s">
        <v>5347</v>
      </c>
      <c r="C30" s="261" t="s">
        <v>5375</v>
      </c>
      <c r="D30" s="264" t="s">
        <v>5376</v>
      </c>
      <c r="E30" s="265" t="s">
        <v>5321</v>
      </c>
      <c r="F30" s="268" t="s">
        <v>5366</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5317</v>
      </c>
      <c r="B31" s="260" t="s">
        <v>5347</v>
      </c>
      <c r="C31" s="261" t="s">
        <v>5377</v>
      </c>
      <c r="D31" s="264" t="s">
        <v>5378</v>
      </c>
      <c r="E31" s="265" t="s">
        <v>5321</v>
      </c>
      <c r="F31" s="268" t="s">
        <v>5366</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5317</v>
      </c>
      <c r="B32" s="260" t="s">
        <v>5347</v>
      </c>
      <c r="C32" s="261" t="s">
        <v>5379</v>
      </c>
      <c r="D32" s="264" t="s">
        <v>5380</v>
      </c>
      <c r="E32" s="265" t="s">
        <v>5321</v>
      </c>
      <c r="F32" s="268" t="s">
        <v>5366</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5317</v>
      </c>
      <c r="B33" s="260" t="s">
        <v>5347</v>
      </c>
      <c r="C33" s="261" t="s">
        <v>5381</v>
      </c>
      <c r="D33" s="264" t="s">
        <v>5382</v>
      </c>
      <c r="E33" s="265" t="s">
        <v>5350</v>
      </c>
      <c r="F33" s="268" t="s">
        <v>5351</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5317</v>
      </c>
      <c r="B34" s="260" t="s">
        <v>5347</v>
      </c>
      <c r="C34" s="261" t="s">
        <v>5383</v>
      </c>
      <c r="D34" s="264" t="s">
        <v>5384</v>
      </c>
      <c r="E34" s="265" t="s">
        <v>5321</v>
      </c>
      <c r="F34" s="268" t="s">
        <v>5366</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5317</v>
      </c>
      <c r="B35" s="259" t="s">
        <v>5385</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5317</v>
      </c>
      <c r="B36" s="260" t="s">
        <v>5385</v>
      </c>
      <c r="C36" s="261" t="s">
        <v>5386</v>
      </c>
      <c r="D36" s="264" t="s">
        <v>5387</v>
      </c>
      <c r="E36" s="265" t="s">
        <v>5321</v>
      </c>
      <c r="F36" s="268" t="s">
        <v>5366</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5317</v>
      </c>
      <c r="B37" s="260" t="s">
        <v>5385</v>
      </c>
      <c r="C37" s="261" t="s">
        <v>5388</v>
      </c>
      <c r="D37" s="264" t="s">
        <v>5389</v>
      </c>
      <c r="E37" s="265" t="s">
        <v>5321</v>
      </c>
      <c r="F37" s="268" t="s">
        <v>5390</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5317</v>
      </c>
      <c r="B38" s="260" t="s">
        <v>5385</v>
      </c>
      <c r="C38" s="261" t="s">
        <v>5391</v>
      </c>
      <c r="D38" s="264" t="s">
        <v>5392</v>
      </c>
      <c r="E38" s="265" t="s">
        <v>5321</v>
      </c>
      <c r="F38" s="268" t="s">
        <v>5390</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5317</v>
      </c>
      <c r="B39" s="260" t="s">
        <v>5385</v>
      </c>
      <c r="C39" s="261" t="s">
        <v>5393</v>
      </c>
      <c r="D39" s="264" t="s">
        <v>5394</v>
      </c>
      <c r="E39" s="265" t="s">
        <v>5321</v>
      </c>
      <c r="F39" s="268" t="s">
        <v>5390</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5317</v>
      </c>
      <c r="B40" s="260" t="s">
        <v>5385</v>
      </c>
      <c r="C40" s="261" t="s">
        <v>5395</v>
      </c>
      <c r="D40" s="264" t="s">
        <v>5396</v>
      </c>
      <c r="E40" s="265" t="s">
        <v>5321</v>
      </c>
      <c r="F40" s="268" t="s">
        <v>5390</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5317</v>
      </c>
      <c r="B41" s="260" t="s">
        <v>5385</v>
      </c>
      <c r="C41" s="261" t="s">
        <v>5397</v>
      </c>
      <c r="D41" s="264" t="s">
        <v>5398</v>
      </c>
      <c r="E41" s="265" t="s">
        <v>5321</v>
      </c>
      <c r="F41" s="268" t="s">
        <v>5390</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5317</v>
      </c>
      <c r="B42" s="260" t="s">
        <v>5385</v>
      </c>
      <c r="C42" s="261" t="s">
        <v>5399</v>
      </c>
      <c r="D42" s="264" t="s">
        <v>5400</v>
      </c>
      <c r="E42" s="265" t="s">
        <v>5321</v>
      </c>
      <c r="F42" s="268" t="s">
        <v>5390</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5317</v>
      </c>
      <c r="B43" s="260" t="s">
        <v>5385</v>
      </c>
      <c r="C43" s="261" t="s">
        <v>5401</v>
      </c>
      <c r="D43" s="264" t="s">
        <v>5402</v>
      </c>
      <c r="E43" s="265" t="s">
        <v>5321</v>
      </c>
      <c r="F43" s="268" t="s">
        <v>5390</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5317</v>
      </c>
      <c r="B44" s="260" t="s">
        <v>5385</v>
      </c>
      <c r="C44" s="261" t="s">
        <v>5403</v>
      </c>
      <c r="D44" s="264" t="s">
        <v>5404</v>
      </c>
      <c r="E44" s="265" t="s">
        <v>5321</v>
      </c>
      <c r="F44" s="268" t="s">
        <v>5390</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5317</v>
      </c>
      <c r="B45" s="260" t="s">
        <v>5385</v>
      </c>
      <c r="C45" s="261" t="s">
        <v>5405</v>
      </c>
      <c r="D45" s="264" t="s">
        <v>5406</v>
      </c>
      <c r="E45" s="265" t="s">
        <v>5321</v>
      </c>
      <c r="F45" s="268" t="s">
        <v>5390</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5317</v>
      </c>
      <c r="B46" s="260" t="s">
        <v>5385</v>
      </c>
      <c r="C46" s="261" t="s">
        <v>5407</v>
      </c>
      <c r="D46" s="264" t="s">
        <v>5408</v>
      </c>
      <c r="E46" s="265" t="s">
        <v>5321</v>
      </c>
      <c r="F46" s="268" t="s">
        <v>5390</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5317</v>
      </c>
      <c r="B47" s="260" t="s">
        <v>5385</v>
      </c>
      <c r="C47" s="261" t="s">
        <v>5409</v>
      </c>
      <c r="D47" s="264" t="s">
        <v>5410</v>
      </c>
      <c r="E47" s="265" t="s">
        <v>5321</v>
      </c>
      <c r="F47" s="268" t="s">
        <v>5390</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5317</v>
      </c>
      <c r="B48" s="260" t="s">
        <v>5385</v>
      </c>
      <c r="C48" s="261" t="s">
        <v>5411</v>
      </c>
      <c r="D48" s="264" t="s">
        <v>5412</v>
      </c>
      <c r="E48" s="265" t="s">
        <v>5321</v>
      </c>
      <c r="F48" s="268" t="s">
        <v>5390</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5317</v>
      </c>
      <c r="B49" s="260" t="s">
        <v>5385</v>
      </c>
      <c r="C49" s="261" t="s">
        <v>5413</v>
      </c>
      <c r="D49" s="264" t="s">
        <v>5414</v>
      </c>
      <c r="E49" s="265" t="s">
        <v>5321</v>
      </c>
      <c r="F49" s="268" t="s">
        <v>5390</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5317</v>
      </c>
      <c r="B50" s="259" t="s">
        <v>2587</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5317</v>
      </c>
      <c r="B51" s="260" t="s">
        <v>2587</v>
      </c>
      <c r="C51" s="261" t="s">
        <v>5415</v>
      </c>
      <c r="D51" s="264" t="s">
        <v>5416</v>
      </c>
      <c r="E51" s="265" t="s">
        <v>5417</v>
      </c>
      <c r="F51" s="268" t="s">
        <v>5418</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5317</v>
      </c>
      <c r="B52" s="260" t="s">
        <v>2587</v>
      </c>
      <c r="C52" s="261" t="s">
        <v>5419</v>
      </c>
      <c r="D52" s="264" t="s">
        <v>5420</v>
      </c>
      <c r="E52" s="265" t="s">
        <v>5417</v>
      </c>
      <c r="F52" s="268" t="s">
        <v>5418</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5317</v>
      </c>
      <c r="B53" s="260" t="s">
        <v>2587</v>
      </c>
      <c r="C53" s="261" t="s">
        <v>5421</v>
      </c>
      <c r="D53" s="264" t="s">
        <v>5422</v>
      </c>
      <c r="E53" s="265" t="s">
        <v>5417</v>
      </c>
      <c r="F53" s="268" t="s">
        <v>5418</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5317</v>
      </c>
      <c r="B54" s="260" t="s">
        <v>2587</v>
      </c>
      <c r="C54" s="261" t="s">
        <v>5423</v>
      </c>
      <c r="D54" s="264" t="s">
        <v>5424</v>
      </c>
      <c r="E54" s="265" t="s">
        <v>5417</v>
      </c>
      <c r="F54" s="268" t="s">
        <v>5418</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5317</v>
      </c>
      <c r="B55" s="260" t="s">
        <v>2587</v>
      </c>
      <c r="C55" s="261" t="s">
        <v>5425</v>
      </c>
      <c r="D55" s="264" t="s">
        <v>5426</v>
      </c>
      <c r="E55" s="265" t="s">
        <v>5417</v>
      </c>
      <c r="F55" s="268" t="s">
        <v>5418</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5317</v>
      </c>
      <c r="B56" s="260" t="s">
        <v>2587</v>
      </c>
      <c r="C56" s="261" t="s">
        <v>5427</v>
      </c>
      <c r="D56" s="264" t="s">
        <v>5428</v>
      </c>
      <c r="E56" s="265" t="s">
        <v>5417</v>
      </c>
      <c r="F56" s="268" t="s">
        <v>5418</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5317</v>
      </c>
      <c r="B57" s="260" t="s">
        <v>2587</v>
      </c>
      <c r="C57" s="261" t="s">
        <v>5429</v>
      </c>
      <c r="D57" s="264" t="s">
        <v>5430</v>
      </c>
      <c r="E57" s="265" t="s">
        <v>5417</v>
      </c>
      <c r="F57" s="268" t="s">
        <v>5418</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5317</v>
      </c>
      <c r="B58" s="260" t="s">
        <v>2587</v>
      </c>
      <c r="C58" s="261" t="s">
        <v>5431</v>
      </c>
      <c r="D58" s="264" t="s">
        <v>5432</v>
      </c>
      <c r="E58" s="265" t="s">
        <v>5321</v>
      </c>
      <c r="F58" s="268" t="s">
        <v>5418</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5317</v>
      </c>
      <c r="B59" s="260" t="s">
        <v>2587</v>
      </c>
      <c r="C59" s="261" t="s">
        <v>5433</v>
      </c>
      <c r="D59" s="264" t="s">
        <v>5434</v>
      </c>
      <c r="E59" s="265" t="s">
        <v>5321</v>
      </c>
      <c r="F59" s="268" t="s">
        <v>5418</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5317</v>
      </c>
      <c r="B60" s="259" t="s">
        <v>5435</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5317</v>
      </c>
      <c r="B61" s="260" t="s">
        <v>5435</v>
      </c>
      <c r="C61" s="261" t="s">
        <v>5436</v>
      </c>
      <c r="D61" s="264" t="s">
        <v>5437</v>
      </c>
      <c r="E61" s="265" t="s">
        <v>5321</v>
      </c>
      <c r="F61" s="268" t="s">
        <v>5438</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5317</v>
      </c>
      <c r="B62" s="260" t="s">
        <v>5435</v>
      </c>
      <c r="C62" s="261" t="s">
        <v>5439</v>
      </c>
      <c r="D62" s="264" t="s">
        <v>5440</v>
      </c>
      <c r="E62" s="265" t="s">
        <v>5321</v>
      </c>
      <c r="F62" s="268" t="s">
        <v>5438</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5317</v>
      </c>
      <c r="B63" s="260" t="s">
        <v>5435</v>
      </c>
      <c r="C63" s="261" t="s">
        <v>5441</v>
      </c>
      <c r="D63" s="264" t="s">
        <v>5442</v>
      </c>
      <c r="E63" s="265" t="s">
        <v>5321</v>
      </c>
      <c r="F63" s="268" t="s">
        <v>5438</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5317</v>
      </c>
      <c r="B64" s="260" t="s">
        <v>5435</v>
      </c>
      <c r="C64" s="261" t="s">
        <v>5443</v>
      </c>
      <c r="D64" s="264" t="s">
        <v>5444</v>
      </c>
      <c r="E64" s="265" t="s">
        <v>5321</v>
      </c>
      <c r="F64" s="268" t="s">
        <v>5438</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5317</v>
      </c>
      <c r="B65" s="260" t="s">
        <v>5435</v>
      </c>
      <c r="C65" s="261" t="s">
        <v>5445</v>
      </c>
      <c r="D65" s="264" t="s">
        <v>5446</v>
      </c>
      <c r="E65" s="265" t="s">
        <v>5321</v>
      </c>
      <c r="F65" s="268" t="s">
        <v>5438</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5317</v>
      </c>
      <c r="B66" s="260" t="s">
        <v>5435</v>
      </c>
      <c r="C66" s="261" t="s">
        <v>5447</v>
      </c>
      <c r="D66" s="264" t="s">
        <v>5448</v>
      </c>
      <c r="E66" s="265" t="s">
        <v>5321</v>
      </c>
      <c r="F66" s="268" t="s">
        <v>5438</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5317</v>
      </c>
      <c r="B67" s="260" t="s">
        <v>5435</v>
      </c>
      <c r="C67" s="261" t="s">
        <v>5449</v>
      </c>
      <c r="D67" s="264" t="s">
        <v>5450</v>
      </c>
      <c r="E67" s="265" t="s">
        <v>5321</v>
      </c>
      <c r="F67" s="268" t="s">
        <v>5438</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5317</v>
      </c>
      <c r="B68" s="260" t="s">
        <v>5435</v>
      </c>
      <c r="C68" s="261" t="s">
        <v>5451</v>
      </c>
      <c r="D68" s="264" t="s">
        <v>5452</v>
      </c>
      <c r="E68" s="265" t="s">
        <v>5321</v>
      </c>
      <c r="F68" s="268" t="s">
        <v>5453</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5317</v>
      </c>
      <c r="B69" s="260" t="s">
        <v>5435</v>
      </c>
      <c r="C69" s="261" t="s">
        <v>5454</v>
      </c>
      <c r="D69" s="264" t="s">
        <v>5455</v>
      </c>
      <c r="E69" s="265" t="s">
        <v>5321</v>
      </c>
      <c r="F69" s="268" t="s">
        <v>5453</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5317</v>
      </c>
      <c r="B70" s="260" t="s">
        <v>5435</v>
      </c>
      <c r="C70" s="261" t="s">
        <v>5456</v>
      </c>
      <c r="D70" s="264" t="s">
        <v>5457</v>
      </c>
      <c r="E70" s="265" t="s">
        <v>5321</v>
      </c>
      <c r="F70" s="268" t="s">
        <v>5453</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5317</v>
      </c>
      <c r="B71" s="260" t="s">
        <v>5435</v>
      </c>
      <c r="C71" s="261" t="s">
        <v>5458</v>
      </c>
      <c r="D71" s="264" t="s">
        <v>5459</v>
      </c>
      <c r="E71" s="265" t="s">
        <v>5321</v>
      </c>
      <c r="F71" s="268" t="s">
        <v>5460</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5317</v>
      </c>
      <c r="B72" s="260" t="s">
        <v>5435</v>
      </c>
      <c r="C72" s="261" t="s">
        <v>5461</v>
      </c>
      <c r="D72" s="264" t="s">
        <v>5462</v>
      </c>
      <c r="E72" s="265" t="s">
        <v>5321</v>
      </c>
      <c r="F72" s="268" t="s">
        <v>5438</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5317</v>
      </c>
      <c r="B73" s="260" t="s">
        <v>5435</v>
      </c>
      <c r="C73" s="261" t="s">
        <v>5463</v>
      </c>
      <c r="D73" s="264" t="s">
        <v>5464</v>
      </c>
      <c r="E73" s="265" t="s">
        <v>5465</v>
      </c>
      <c r="F73" s="268" t="s">
        <v>5438</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5317</v>
      </c>
      <c r="B74" s="259" t="s">
        <v>5466</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5317</v>
      </c>
      <c r="B75" s="260" t="s">
        <v>5466</v>
      </c>
      <c r="C75" s="261" t="s">
        <v>5467</v>
      </c>
      <c r="D75" s="264" t="s">
        <v>5468</v>
      </c>
      <c r="E75" s="265" t="s">
        <v>5465</v>
      </c>
      <c r="F75" s="268" t="s">
        <v>5469</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5317</v>
      </c>
      <c r="B76" s="260" t="s">
        <v>5466</v>
      </c>
      <c r="C76" s="261" t="s">
        <v>5470</v>
      </c>
      <c r="D76" s="264" t="s">
        <v>5471</v>
      </c>
      <c r="E76" s="265" t="s">
        <v>5465</v>
      </c>
      <c r="F76" s="268" t="s">
        <v>5469</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5317</v>
      </c>
      <c r="B77" s="260" t="s">
        <v>5466</v>
      </c>
      <c r="C77" s="261" t="s">
        <v>5472</v>
      </c>
      <c r="D77" s="264" t="s">
        <v>5473</v>
      </c>
      <c r="E77" s="265" t="s">
        <v>5465</v>
      </c>
      <c r="F77" s="268" t="s">
        <v>5469</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5317</v>
      </c>
      <c r="B78" s="260" t="s">
        <v>5466</v>
      </c>
      <c r="C78" s="261" t="s">
        <v>5474</v>
      </c>
      <c r="D78" s="264" t="s">
        <v>5475</v>
      </c>
      <c r="E78" s="265" t="s">
        <v>5465</v>
      </c>
      <c r="F78" s="268" t="s">
        <v>5469</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5317</v>
      </c>
      <c r="B79" s="260" t="s">
        <v>5466</v>
      </c>
      <c r="C79" s="261" t="s">
        <v>5476</v>
      </c>
      <c r="D79" s="264" t="s">
        <v>5477</v>
      </c>
      <c r="E79" s="265" t="s">
        <v>5465</v>
      </c>
      <c r="F79" s="268" t="s">
        <v>5469</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5317</v>
      </c>
      <c r="B80" s="260" t="s">
        <v>5466</v>
      </c>
      <c r="C80" s="261" t="s">
        <v>5478</v>
      </c>
      <c r="D80" s="264" t="s">
        <v>5479</v>
      </c>
      <c r="E80" s="265" t="s">
        <v>5465</v>
      </c>
      <c r="F80" s="268" t="s">
        <v>5469</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5317</v>
      </c>
      <c r="B81" s="260" t="s">
        <v>5466</v>
      </c>
      <c r="C81" s="261" t="s">
        <v>5480</v>
      </c>
      <c r="D81" s="264" t="s">
        <v>5481</v>
      </c>
      <c r="E81" s="265" t="s">
        <v>5465</v>
      </c>
      <c r="F81" s="268" t="s">
        <v>5469</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5317</v>
      </c>
      <c r="B82" s="260" t="s">
        <v>5466</v>
      </c>
      <c r="C82" s="261" t="s">
        <v>5482</v>
      </c>
      <c r="D82" s="264" t="s">
        <v>5483</v>
      </c>
      <c r="E82" s="265" t="s">
        <v>5465</v>
      </c>
      <c r="F82" s="268" t="s">
        <v>5469</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5317</v>
      </c>
      <c r="B83" s="260" t="s">
        <v>5466</v>
      </c>
      <c r="C83" s="261" t="s">
        <v>5484</v>
      </c>
      <c r="D83" s="264" t="s">
        <v>5485</v>
      </c>
      <c r="E83" s="265" t="s">
        <v>5465</v>
      </c>
      <c r="F83" s="268" t="s">
        <v>5469</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5317</v>
      </c>
      <c r="B84" s="260" t="s">
        <v>5466</v>
      </c>
      <c r="C84" s="261" t="s">
        <v>5486</v>
      </c>
      <c r="D84" s="264" t="s">
        <v>5487</v>
      </c>
      <c r="E84" s="265" t="s">
        <v>5465</v>
      </c>
      <c r="F84" s="268" t="s">
        <v>5469</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5317</v>
      </c>
      <c r="B85" s="260" t="s">
        <v>5466</v>
      </c>
      <c r="C85" s="261" t="s">
        <v>5488</v>
      </c>
      <c r="D85" s="264" t="s">
        <v>5489</v>
      </c>
      <c r="E85" s="265" t="s">
        <v>5465</v>
      </c>
      <c r="F85" s="268" t="s">
        <v>5469</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5317</v>
      </c>
      <c r="B86" s="260" t="s">
        <v>5466</v>
      </c>
      <c r="C86" s="261" t="s">
        <v>5490</v>
      </c>
      <c r="D86" s="264" t="s">
        <v>5491</v>
      </c>
      <c r="E86" s="265" t="s">
        <v>5465</v>
      </c>
      <c r="F86" s="268" t="s">
        <v>5469</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5317</v>
      </c>
      <c r="B87" s="260" t="s">
        <v>5466</v>
      </c>
      <c r="C87" s="261" t="s">
        <v>5492</v>
      </c>
      <c r="D87" s="264" t="s">
        <v>5493</v>
      </c>
      <c r="E87" s="265" t="s">
        <v>5465</v>
      </c>
      <c r="F87" s="268" t="s">
        <v>5469</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5317</v>
      </c>
      <c r="B88" s="260" t="s">
        <v>5466</v>
      </c>
      <c r="C88" s="261" t="s">
        <v>5494</v>
      </c>
      <c r="D88" s="264" t="s">
        <v>5495</v>
      </c>
      <c r="E88" s="265" t="s">
        <v>5465</v>
      </c>
      <c r="F88" s="268" t="s">
        <v>5453</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5317</v>
      </c>
      <c r="B89" s="260" t="s">
        <v>5466</v>
      </c>
      <c r="C89" s="261" t="s">
        <v>5496</v>
      </c>
      <c r="D89" s="264" t="s">
        <v>5497</v>
      </c>
      <c r="E89" s="265" t="s">
        <v>5465</v>
      </c>
      <c r="F89" s="268" t="s">
        <v>5453</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5317</v>
      </c>
      <c r="B90" s="260" t="s">
        <v>5466</v>
      </c>
      <c r="C90" s="261" t="s">
        <v>5498</v>
      </c>
      <c r="D90" s="264" t="s">
        <v>5499</v>
      </c>
      <c r="E90" s="265" t="s">
        <v>5465</v>
      </c>
      <c r="F90" s="268" t="s">
        <v>5453</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5317</v>
      </c>
      <c r="B91" s="259" t="s">
        <v>5500</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5317</v>
      </c>
      <c r="B92" s="260" t="s">
        <v>5500</v>
      </c>
      <c r="C92" s="261" t="s">
        <v>5501</v>
      </c>
      <c r="D92" s="264" t="s">
        <v>5502</v>
      </c>
      <c r="E92" s="265" t="s">
        <v>5321</v>
      </c>
      <c r="F92" s="268" t="s">
        <v>5453</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5317</v>
      </c>
      <c r="B93" s="260" t="s">
        <v>5500</v>
      </c>
      <c r="C93" s="261" t="s">
        <v>5503</v>
      </c>
      <c r="D93" s="264" t="s">
        <v>5504</v>
      </c>
      <c r="E93" s="265" t="s">
        <v>5321</v>
      </c>
      <c r="F93" s="268" t="s">
        <v>5453</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5317</v>
      </c>
      <c r="B94" s="260" t="s">
        <v>5500</v>
      </c>
      <c r="C94" s="261" t="s">
        <v>5505</v>
      </c>
      <c r="D94" s="264" t="s">
        <v>5506</v>
      </c>
      <c r="E94" s="265" t="s">
        <v>5321</v>
      </c>
      <c r="F94" s="268" t="s">
        <v>5453</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5317</v>
      </c>
      <c r="B95" s="260" t="s">
        <v>5500</v>
      </c>
      <c r="C95" s="261" t="s">
        <v>5507</v>
      </c>
      <c r="D95" s="264" t="s">
        <v>5508</v>
      </c>
      <c r="E95" s="265" t="s">
        <v>5321</v>
      </c>
      <c r="F95" s="268" t="s">
        <v>5453</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5317</v>
      </c>
      <c r="B96" s="260" t="s">
        <v>5500</v>
      </c>
      <c r="C96" s="261" t="s">
        <v>5509</v>
      </c>
      <c r="D96" s="264" t="s">
        <v>5510</v>
      </c>
      <c r="E96" s="265" t="s">
        <v>5321</v>
      </c>
      <c r="F96" s="268" t="s">
        <v>5453</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5317</v>
      </c>
      <c r="B97" s="260" t="s">
        <v>5500</v>
      </c>
      <c r="C97" s="261" t="s">
        <v>5511</v>
      </c>
      <c r="D97" s="264" t="s">
        <v>5512</v>
      </c>
      <c r="E97" s="265" t="s">
        <v>5321</v>
      </c>
      <c r="F97" s="268" t="s">
        <v>5513</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5317</v>
      </c>
      <c r="B98" s="260" t="s">
        <v>5500</v>
      </c>
      <c r="C98" s="261" t="s">
        <v>5514</v>
      </c>
      <c r="D98" s="264" t="s">
        <v>5515</v>
      </c>
      <c r="E98" s="265" t="s">
        <v>5321</v>
      </c>
      <c r="F98" s="268" t="s">
        <v>5513</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5317</v>
      </c>
      <c r="B99" s="260" t="s">
        <v>5500</v>
      </c>
      <c r="C99" s="261" t="s">
        <v>5516</v>
      </c>
      <c r="D99" s="264" t="s">
        <v>5517</v>
      </c>
      <c r="E99" s="265" t="s">
        <v>5321</v>
      </c>
      <c r="F99" s="268" t="s">
        <v>5513</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5317</v>
      </c>
      <c r="B100" s="260" t="s">
        <v>5500</v>
      </c>
      <c r="C100" s="261" t="s">
        <v>5518</v>
      </c>
      <c r="D100" s="264" t="s">
        <v>5519</v>
      </c>
      <c r="E100" s="265" t="s">
        <v>5321</v>
      </c>
      <c r="F100" s="268" t="s">
        <v>5513</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5317</v>
      </c>
      <c r="B101" s="260" t="s">
        <v>5500</v>
      </c>
      <c r="C101" s="261" t="s">
        <v>5520</v>
      </c>
      <c r="D101" s="264" t="s">
        <v>5521</v>
      </c>
      <c r="E101" s="265" t="s">
        <v>5321</v>
      </c>
      <c r="F101" s="268" t="s">
        <v>5453</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5317</v>
      </c>
      <c r="B102" s="260" t="s">
        <v>5500</v>
      </c>
      <c r="C102" s="261" t="s">
        <v>5522</v>
      </c>
      <c r="D102" s="264" t="s">
        <v>5523</v>
      </c>
      <c r="E102" s="265" t="s">
        <v>5465</v>
      </c>
      <c r="F102" s="268" t="s">
        <v>5453</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5317</v>
      </c>
      <c r="B103" s="260" t="s">
        <v>5500</v>
      </c>
      <c r="C103" s="261" t="s">
        <v>5524</v>
      </c>
      <c r="D103" s="264" t="s">
        <v>5525</v>
      </c>
      <c r="E103" s="265" t="s">
        <v>5465</v>
      </c>
      <c r="F103" s="268" t="s">
        <v>5453</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5317</v>
      </c>
      <c r="B104" s="260" t="s">
        <v>5500</v>
      </c>
      <c r="C104" s="261" t="s">
        <v>5526</v>
      </c>
      <c r="D104" s="264" t="s">
        <v>5527</v>
      </c>
      <c r="E104" s="265" t="s">
        <v>5465</v>
      </c>
      <c r="F104" s="268" t="s">
        <v>5453</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5317</v>
      </c>
      <c r="B105" s="260" t="s">
        <v>5500</v>
      </c>
      <c r="C105" s="261" t="s">
        <v>5528</v>
      </c>
      <c r="D105" s="264" t="s">
        <v>5529</v>
      </c>
      <c r="E105" s="265" t="s">
        <v>5350</v>
      </c>
      <c r="F105" s="268" t="s">
        <v>5453</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5317</v>
      </c>
      <c r="B106" s="259" t="s">
        <v>5530</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5317</v>
      </c>
      <c r="B107" s="260" t="s">
        <v>5530</v>
      </c>
      <c r="C107" s="261" t="s">
        <v>5531</v>
      </c>
      <c r="D107" s="264" t="s">
        <v>5532</v>
      </c>
      <c r="E107" s="265" t="s">
        <v>5465</v>
      </c>
      <c r="F107" s="268" t="s">
        <v>5453</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5317</v>
      </c>
      <c r="B108" s="260" t="s">
        <v>5530</v>
      </c>
      <c r="C108" s="261" t="s">
        <v>5533</v>
      </c>
      <c r="D108" s="264" t="s">
        <v>5534</v>
      </c>
      <c r="E108" s="265" t="s">
        <v>5465</v>
      </c>
      <c r="F108" s="268" t="s">
        <v>5453</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5317</v>
      </c>
      <c r="B109" s="260" t="s">
        <v>5530</v>
      </c>
      <c r="C109" s="261" t="s">
        <v>5535</v>
      </c>
      <c r="D109" s="264" t="s">
        <v>5536</v>
      </c>
      <c r="E109" s="265" t="s">
        <v>5465</v>
      </c>
      <c r="F109" s="268" t="s">
        <v>5453</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5317</v>
      </c>
      <c r="B110" s="260" t="s">
        <v>5530</v>
      </c>
      <c r="C110" s="261" t="s">
        <v>5537</v>
      </c>
      <c r="D110" s="264" t="s">
        <v>5538</v>
      </c>
      <c r="E110" s="265" t="s">
        <v>5465</v>
      </c>
      <c r="F110" s="268" t="s">
        <v>5453</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5317</v>
      </c>
      <c r="B111" s="260" t="s">
        <v>5530</v>
      </c>
      <c r="C111" s="261" t="s">
        <v>5539</v>
      </c>
      <c r="D111" s="264" t="s">
        <v>5540</v>
      </c>
      <c r="E111" s="265" t="s">
        <v>5465</v>
      </c>
      <c r="F111" s="268" t="s">
        <v>5453</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5317</v>
      </c>
      <c r="B112" s="260" t="s">
        <v>5530</v>
      </c>
      <c r="C112" s="261" t="s">
        <v>5541</v>
      </c>
      <c r="D112" s="264" t="s">
        <v>5542</v>
      </c>
      <c r="E112" s="265" t="s">
        <v>5465</v>
      </c>
      <c r="F112" s="268" t="s">
        <v>5453</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5317</v>
      </c>
      <c r="B113" s="260" t="s">
        <v>5530</v>
      </c>
      <c r="C113" s="261" t="s">
        <v>5543</v>
      </c>
      <c r="D113" s="264" t="s">
        <v>5544</v>
      </c>
      <c r="E113" s="265" t="s">
        <v>5465</v>
      </c>
      <c r="F113" s="268" t="s">
        <v>5453</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5317</v>
      </c>
      <c r="B114" s="260" t="s">
        <v>5530</v>
      </c>
      <c r="C114" s="261" t="s">
        <v>5545</v>
      </c>
      <c r="D114" s="264" t="s">
        <v>5546</v>
      </c>
      <c r="E114" s="265" t="s">
        <v>5465</v>
      </c>
      <c r="F114" s="268" t="s">
        <v>5453</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5317</v>
      </c>
      <c r="B115" s="260" t="s">
        <v>5530</v>
      </c>
      <c r="C115" s="261" t="s">
        <v>5547</v>
      </c>
      <c r="D115" s="264" t="s">
        <v>5548</v>
      </c>
      <c r="E115" s="265" t="s">
        <v>5465</v>
      </c>
      <c r="F115" s="268" t="s">
        <v>5453</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5317</v>
      </c>
      <c r="B116" s="260" t="s">
        <v>5530</v>
      </c>
      <c r="C116" s="261" t="s">
        <v>5549</v>
      </c>
      <c r="D116" s="264" t="s">
        <v>5550</v>
      </c>
      <c r="E116" s="265" t="s">
        <v>5465</v>
      </c>
      <c r="F116" s="268" t="s">
        <v>5453</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5317</v>
      </c>
      <c r="B117" s="260" t="s">
        <v>5530</v>
      </c>
      <c r="C117" s="261" t="s">
        <v>5551</v>
      </c>
      <c r="D117" s="264" t="s">
        <v>5552</v>
      </c>
      <c r="E117" s="265" t="s">
        <v>5465</v>
      </c>
      <c r="F117" s="268" t="s">
        <v>5453</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5553</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5553</v>
      </c>
      <c r="B119" s="259" t="s">
        <v>5554</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5553</v>
      </c>
      <c r="B120" s="260" t="s">
        <v>5554</v>
      </c>
      <c r="C120" s="261" t="s">
        <v>5555</v>
      </c>
      <c r="D120" s="264" t="s">
        <v>5556</v>
      </c>
      <c r="E120" s="265" t="s">
        <v>5321</v>
      </c>
      <c r="F120" s="268" t="s">
        <v>5557</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5553</v>
      </c>
      <c r="B121" s="260" t="s">
        <v>5554</v>
      </c>
      <c r="C121" s="261" t="s">
        <v>5558</v>
      </c>
      <c r="D121" s="264" t="s">
        <v>5559</v>
      </c>
      <c r="E121" s="265" t="s">
        <v>5321</v>
      </c>
      <c r="F121" s="268" t="s">
        <v>5557</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5553</v>
      </c>
      <c r="B122" s="260" t="s">
        <v>5554</v>
      </c>
      <c r="C122" s="261" t="s">
        <v>5560</v>
      </c>
      <c r="D122" s="264" t="s">
        <v>5561</v>
      </c>
      <c r="E122" s="265" t="s">
        <v>5321</v>
      </c>
      <c r="F122" s="268" t="s">
        <v>5557</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5553</v>
      </c>
      <c r="B123" s="260" t="s">
        <v>5554</v>
      </c>
      <c r="C123" s="261" t="s">
        <v>5562</v>
      </c>
      <c r="D123" s="264" t="s">
        <v>5563</v>
      </c>
      <c r="E123" s="265" t="s">
        <v>5321</v>
      </c>
      <c r="F123" s="268" t="s">
        <v>5557</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5553</v>
      </c>
      <c r="B124" s="260" t="s">
        <v>5554</v>
      </c>
      <c r="C124" s="261" t="s">
        <v>5564</v>
      </c>
      <c r="D124" s="264" t="s">
        <v>5565</v>
      </c>
      <c r="E124" s="265" t="s">
        <v>5321</v>
      </c>
      <c r="F124" s="268" t="s">
        <v>5557</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5553</v>
      </c>
      <c r="B125" s="260" t="s">
        <v>5554</v>
      </c>
      <c r="C125" s="261" t="s">
        <v>5566</v>
      </c>
      <c r="D125" s="264" t="s">
        <v>5567</v>
      </c>
      <c r="E125" s="265" t="s">
        <v>5321</v>
      </c>
      <c r="F125" s="268" t="s">
        <v>5557</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5553</v>
      </c>
      <c r="B126" s="260" t="s">
        <v>5554</v>
      </c>
      <c r="C126" s="261" t="s">
        <v>5568</v>
      </c>
      <c r="D126" s="264" t="s">
        <v>5569</v>
      </c>
      <c r="E126" s="265" t="s">
        <v>5321</v>
      </c>
      <c r="F126" s="268" t="s">
        <v>5557</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5553</v>
      </c>
      <c r="B127" s="260" t="s">
        <v>5554</v>
      </c>
      <c r="C127" s="261" t="s">
        <v>5570</v>
      </c>
      <c r="D127" s="264" t="s">
        <v>5571</v>
      </c>
      <c r="E127" s="265" t="s">
        <v>5321</v>
      </c>
      <c r="F127" s="268" t="s">
        <v>5557</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5553</v>
      </c>
      <c r="B128" s="260" t="s">
        <v>5554</v>
      </c>
      <c r="C128" s="261" t="s">
        <v>5572</v>
      </c>
      <c r="D128" s="264" t="s">
        <v>5573</v>
      </c>
      <c r="E128" s="265" t="s">
        <v>5321</v>
      </c>
      <c r="F128" s="268" t="s">
        <v>5557</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5553</v>
      </c>
      <c r="B129" s="260" t="s">
        <v>5554</v>
      </c>
      <c r="C129" s="261" t="s">
        <v>5574</v>
      </c>
      <c r="D129" s="264" t="s">
        <v>5575</v>
      </c>
      <c r="E129" s="265" t="s">
        <v>5321</v>
      </c>
      <c r="F129" s="268" t="s">
        <v>5557</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5553</v>
      </c>
      <c r="B130" s="260" t="s">
        <v>5554</v>
      </c>
      <c r="C130" s="261" t="s">
        <v>5576</v>
      </c>
      <c r="D130" s="264" t="s">
        <v>5577</v>
      </c>
      <c r="E130" s="265" t="s">
        <v>5321</v>
      </c>
      <c r="F130" s="268" t="s">
        <v>5557</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5553</v>
      </c>
      <c r="B131" s="260" t="s">
        <v>5554</v>
      </c>
      <c r="C131" s="261" t="s">
        <v>5578</v>
      </c>
      <c r="D131" s="264" t="s">
        <v>5579</v>
      </c>
      <c r="E131" s="265" t="s">
        <v>5321</v>
      </c>
      <c r="F131" s="268" t="s">
        <v>5557</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5553</v>
      </c>
      <c r="B132" s="260" t="s">
        <v>5554</v>
      </c>
      <c r="C132" s="261" t="s">
        <v>5580</v>
      </c>
      <c r="D132" s="264" t="s">
        <v>5581</v>
      </c>
      <c r="E132" s="265" t="s">
        <v>5321</v>
      </c>
      <c r="F132" s="268" t="s">
        <v>5557</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5553</v>
      </c>
      <c r="B133" s="260" t="s">
        <v>5554</v>
      </c>
      <c r="C133" s="261" t="s">
        <v>5582</v>
      </c>
      <c r="D133" s="264" t="s">
        <v>5583</v>
      </c>
      <c r="E133" s="265" t="s">
        <v>5350</v>
      </c>
      <c r="F133" s="268" t="s">
        <v>5557</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5553</v>
      </c>
      <c r="B134" s="260" t="s">
        <v>5554</v>
      </c>
      <c r="C134" s="261" t="s">
        <v>5584</v>
      </c>
      <c r="D134" s="264" t="s">
        <v>5585</v>
      </c>
      <c r="E134" s="265" t="s">
        <v>5350</v>
      </c>
      <c r="F134" s="268" t="s">
        <v>5557</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5553</v>
      </c>
      <c r="B135" s="260" t="s">
        <v>5554</v>
      </c>
      <c r="C135" s="261" t="s">
        <v>5586</v>
      </c>
      <c r="D135" s="264" t="s">
        <v>5587</v>
      </c>
      <c r="E135" s="265" t="s">
        <v>5465</v>
      </c>
      <c r="F135" s="268" t="s">
        <v>5557</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5553</v>
      </c>
      <c r="B136" s="260" t="s">
        <v>5554</v>
      </c>
      <c r="C136" s="261" t="s">
        <v>5588</v>
      </c>
      <c r="D136" s="264" t="s">
        <v>5589</v>
      </c>
      <c r="E136" s="265" t="s">
        <v>5350</v>
      </c>
      <c r="F136" s="268" t="s">
        <v>5557</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5553</v>
      </c>
      <c r="B137" s="260" t="s">
        <v>5554</v>
      </c>
      <c r="C137" s="261" t="s">
        <v>5590</v>
      </c>
      <c r="D137" s="264" t="s">
        <v>5591</v>
      </c>
      <c r="E137" s="265" t="s">
        <v>5350</v>
      </c>
      <c r="F137" s="268" t="s">
        <v>5557</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5553</v>
      </c>
      <c r="B138" s="260" t="s">
        <v>5554</v>
      </c>
      <c r="C138" s="261" t="s">
        <v>5592</v>
      </c>
      <c r="D138" s="264" t="s">
        <v>5593</v>
      </c>
      <c r="E138" s="265" t="s">
        <v>5465</v>
      </c>
      <c r="F138" s="268" t="s">
        <v>5557</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5553</v>
      </c>
      <c r="B139" s="260" t="s">
        <v>5554</v>
      </c>
      <c r="C139" s="261" t="s">
        <v>5594</v>
      </c>
      <c r="D139" s="264" t="s">
        <v>5595</v>
      </c>
      <c r="E139" s="265" t="s">
        <v>5465</v>
      </c>
      <c r="F139" s="268" t="s">
        <v>5557</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5553</v>
      </c>
      <c r="B140" s="260" t="s">
        <v>5554</v>
      </c>
      <c r="C140" s="261" t="s">
        <v>5596</v>
      </c>
      <c r="D140" s="264" t="s">
        <v>5597</v>
      </c>
      <c r="E140" s="265" t="s">
        <v>5321</v>
      </c>
      <c r="F140" s="268" t="s">
        <v>5557</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5553</v>
      </c>
      <c r="B141" s="260" t="s">
        <v>5554</v>
      </c>
      <c r="C141" s="261" t="s">
        <v>5598</v>
      </c>
      <c r="D141" s="264" t="s">
        <v>5599</v>
      </c>
      <c r="E141" s="265" t="s">
        <v>5600</v>
      </c>
      <c r="F141" s="268" t="s">
        <v>5601</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5553</v>
      </c>
      <c r="B142" s="260" t="s">
        <v>5554</v>
      </c>
      <c r="C142" s="261" t="s">
        <v>5602</v>
      </c>
      <c r="D142" s="264" t="s">
        <v>5603</v>
      </c>
      <c r="E142" s="265" t="s">
        <v>5600</v>
      </c>
      <c r="F142" s="268" t="s">
        <v>5601</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5553</v>
      </c>
      <c r="B143" s="260" t="s">
        <v>5554</v>
      </c>
      <c r="C143" s="261" t="s">
        <v>5604</v>
      </c>
      <c r="D143" s="264" t="s">
        <v>5605</v>
      </c>
      <c r="E143" s="265" t="s">
        <v>5600</v>
      </c>
      <c r="F143" s="268" t="s">
        <v>5601</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5553</v>
      </c>
      <c r="B144" s="260" t="s">
        <v>5554</v>
      </c>
      <c r="C144" s="261" t="s">
        <v>5606</v>
      </c>
      <c r="D144" s="264" t="s">
        <v>5607</v>
      </c>
      <c r="E144" s="265" t="s">
        <v>5417</v>
      </c>
      <c r="F144" s="268" t="s">
        <v>5601</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5553</v>
      </c>
      <c r="B145" s="260" t="s">
        <v>5554</v>
      </c>
      <c r="C145" s="261" t="s">
        <v>5608</v>
      </c>
      <c r="D145" s="264" t="s">
        <v>5609</v>
      </c>
      <c r="E145" s="265" t="s">
        <v>5417</v>
      </c>
      <c r="F145" s="268" t="s">
        <v>5601</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5553</v>
      </c>
      <c r="B146" s="260" t="s">
        <v>5554</v>
      </c>
      <c r="C146" s="261" t="s">
        <v>5610</v>
      </c>
      <c r="D146" s="264" t="s">
        <v>5611</v>
      </c>
      <c r="E146" s="265" t="s">
        <v>5417</v>
      </c>
      <c r="F146" s="268" t="s">
        <v>5601</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5553</v>
      </c>
      <c r="B147" s="259" t="s">
        <v>5612</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5553</v>
      </c>
      <c r="B148" s="260" t="s">
        <v>5612</v>
      </c>
      <c r="C148" s="261" t="s">
        <v>5613</v>
      </c>
      <c r="D148" s="264" t="s">
        <v>5614</v>
      </c>
      <c r="E148" s="265" t="s">
        <v>5350</v>
      </c>
      <c r="F148" s="268" t="s">
        <v>5615</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5553</v>
      </c>
      <c r="B149" s="260" t="s">
        <v>5612</v>
      </c>
      <c r="C149" s="261" t="s">
        <v>5616</v>
      </c>
      <c r="D149" s="264" t="s">
        <v>5617</v>
      </c>
      <c r="E149" s="265" t="s">
        <v>5350</v>
      </c>
      <c r="F149" s="268" t="s">
        <v>5615</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5553</v>
      </c>
      <c r="B150" s="260" t="s">
        <v>5612</v>
      </c>
      <c r="C150" s="261" t="s">
        <v>5618</v>
      </c>
      <c r="D150" s="264" t="s">
        <v>5619</v>
      </c>
      <c r="E150" s="265" t="s">
        <v>5350</v>
      </c>
      <c r="F150" s="268" t="s">
        <v>5615</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5553</v>
      </c>
      <c r="B151" s="260" t="s">
        <v>5612</v>
      </c>
      <c r="C151" s="261" t="s">
        <v>5620</v>
      </c>
      <c r="D151" s="264" t="s">
        <v>5621</v>
      </c>
      <c r="E151" s="265" t="s">
        <v>5350</v>
      </c>
      <c r="F151" s="268" t="s">
        <v>5615</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5553</v>
      </c>
      <c r="B152" s="260" t="s">
        <v>5612</v>
      </c>
      <c r="C152" s="261" t="s">
        <v>5622</v>
      </c>
      <c r="D152" s="264" t="s">
        <v>5623</v>
      </c>
      <c r="E152" s="265" t="s">
        <v>5350</v>
      </c>
      <c r="F152" s="268" t="s">
        <v>5615</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5553</v>
      </c>
      <c r="B153" s="260" t="s">
        <v>5612</v>
      </c>
      <c r="C153" s="261" t="s">
        <v>5624</v>
      </c>
      <c r="D153" s="264" t="s">
        <v>5625</v>
      </c>
      <c r="E153" s="265" t="s">
        <v>5350</v>
      </c>
      <c r="F153" s="268" t="s">
        <v>5615</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5553</v>
      </c>
      <c r="B154" s="260" t="s">
        <v>5612</v>
      </c>
      <c r="C154" s="261" t="s">
        <v>5626</v>
      </c>
      <c r="D154" s="264" t="s">
        <v>5627</v>
      </c>
      <c r="E154" s="265" t="s">
        <v>5350</v>
      </c>
      <c r="F154" s="268" t="s">
        <v>5615</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5553</v>
      </c>
      <c r="B155" s="260" t="s">
        <v>5612</v>
      </c>
      <c r="C155" s="261" t="s">
        <v>5628</v>
      </c>
      <c r="D155" s="264" t="s">
        <v>5629</v>
      </c>
      <c r="E155" s="265" t="s">
        <v>5350</v>
      </c>
      <c r="F155" s="268" t="s">
        <v>5615</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5553</v>
      </c>
      <c r="B156" s="260" t="s">
        <v>5612</v>
      </c>
      <c r="C156" s="261" t="s">
        <v>5630</v>
      </c>
      <c r="D156" s="264" t="s">
        <v>5631</v>
      </c>
      <c r="E156" s="265" t="s">
        <v>5350</v>
      </c>
      <c r="F156" s="268" t="s">
        <v>5615</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5553</v>
      </c>
      <c r="B157" s="260" t="s">
        <v>5612</v>
      </c>
      <c r="C157" s="261" t="s">
        <v>5632</v>
      </c>
      <c r="D157" s="264" t="s">
        <v>5633</v>
      </c>
      <c r="E157" s="265" t="s">
        <v>5350</v>
      </c>
      <c r="F157" s="268" t="s">
        <v>5615</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5553</v>
      </c>
      <c r="B158" s="260" t="s">
        <v>5612</v>
      </c>
      <c r="C158" s="261" t="s">
        <v>5634</v>
      </c>
      <c r="D158" s="264" t="s">
        <v>5635</v>
      </c>
      <c r="E158" s="265" t="s">
        <v>5350</v>
      </c>
      <c r="F158" s="268" t="s">
        <v>5615</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5553</v>
      </c>
      <c r="B159" s="260" t="s">
        <v>5612</v>
      </c>
      <c r="C159" s="261" t="s">
        <v>5636</v>
      </c>
      <c r="D159" s="264" t="s">
        <v>5637</v>
      </c>
      <c r="E159" s="265" t="s">
        <v>5350</v>
      </c>
      <c r="F159" s="268" t="s">
        <v>5615</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5553</v>
      </c>
      <c r="B160" s="260" t="s">
        <v>5612</v>
      </c>
      <c r="C160" s="261" t="s">
        <v>5638</v>
      </c>
      <c r="D160" s="264" t="s">
        <v>5639</v>
      </c>
      <c r="E160" s="265" t="s">
        <v>5350</v>
      </c>
      <c r="F160" s="268" t="s">
        <v>5640</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5553</v>
      </c>
      <c r="B161" s="260" t="s">
        <v>5612</v>
      </c>
      <c r="C161" s="261" t="s">
        <v>5641</v>
      </c>
      <c r="D161" s="264" t="s">
        <v>5642</v>
      </c>
      <c r="E161" s="265" t="s">
        <v>5350</v>
      </c>
      <c r="F161" s="268" t="s">
        <v>5640</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5553</v>
      </c>
      <c r="B162" s="260" t="s">
        <v>5612</v>
      </c>
      <c r="C162" s="261" t="s">
        <v>5643</v>
      </c>
      <c r="D162" s="264" t="s">
        <v>5644</v>
      </c>
      <c r="E162" s="265" t="s">
        <v>5350</v>
      </c>
      <c r="F162" s="268" t="s">
        <v>5640</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5553</v>
      </c>
      <c r="B163" s="260" t="s">
        <v>5612</v>
      </c>
      <c r="C163" s="261" t="s">
        <v>5645</v>
      </c>
      <c r="D163" s="264" t="s">
        <v>5646</v>
      </c>
      <c r="E163" s="265" t="s">
        <v>5350</v>
      </c>
      <c r="F163" s="268" t="s">
        <v>5640</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5553</v>
      </c>
      <c r="B164" s="260" t="s">
        <v>5612</v>
      </c>
      <c r="C164" s="261" t="s">
        <v>5647</v>
      </c>
      <c r="D164" s="264" t="s">
        <v>5648</v>
      </c>
      <c r="E164" s="265" t="s">
        <v>5350</v>
      </c>
      <c r="F164" s="268" t="s">
        <v>5640</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5553</v>
      </c>
      <c r="B165" s="259" t="s">
        <v>5649</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5553</v>
      </c>
      <c r="B166" s="260" t="s">
        <v>5649</v>
      </c>
      <c r="C166" s="261" t="s">
        <v>5650</v>
      </c>
      <c r="D166" s="264" t="s">
        <v>5651</v>
      </c>
      <c r="E166" s="265" t="s">
        <v>5321</v>
      </c>
      <c r="F166" s="268" t="s">
        <v>5652</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5553</v>
      </c>
      <c r="B167" s="260" t="s">
        <v>5649</v>
      </c>
      <c r="C167" s="261" t="s">
        <v>5653</v>
      </c>
      <c r="D167" s="264" t="s">
        <v>5654</v>
      </c>
      <c r="E167" s="265" t="s">
        <v>5465</v>
      </c>
      <c r="F167" s="268" t="s">
        <v>5652</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5553</v>
      </c>
      <c r="B168" s="260" t="s">
        <v>5649</v>
      </c>
      <c r="C168" s="261" t="s">
        <v>5655</v>
      </c>
      <c r="D168" s="264" t="s">
        <v>5656</v>
      </c>
      <c r="E168" s="265" t="s">
        <v>5417</v>
      </c>
      <c r="F168" s="268" t="s">
        <v>5652</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5553</v>
      </c>
      <c r="B169" s="260" t="s">
        <v>5649</v>
      </c>
      <c r="C169" s="261" t="s">
        <v>5657</v>
      </c>
      <c r="D169" s="264" t="s">
        <v>5658</v>
      </c>
      <c r="E169" s="265" t="s">
        <v>5417</v>
      </c>
      <c r="F169" s="268" t="s">
        <v>5652</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5553</v>
      </c>
      <c r="B170" s="260" t="s">
        <v>5649</v>
      </c>
      <c r="C170" s="261" t="s">
        <v>5659</v>
      </c>
      <c r="D170" s="264" t="s">
        <v>5660</v>
      </c>
      <c r="E170" s="265" t="s">
        <v>5465</v>
      </c>
      <c r="F170" s="268" t="s">
        <v>5652</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5553</v>
      </c>
      <c r="B171" s="260" t="s">
        <v>5649</v>
      </c>
      <c r="C171" s="261" t="s">
        <v>5661</v>
      </c>
      <c r="D171" s="264" t="s">
        <v>5662</v>
      </c>
      <c r="E171" s="265" t="s">
        <v>5350</v>
      </c>
      <c r="F171" s="268" t="s">
        <v>5652</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5553</v>
      </c>
      <c r="B172" s="260" t="s">
        <v>5649</v>
      </c>
      <c r="C172" s="261" t="s">
        <v>5663</v>
      </c>
      <c r="D172" s="264" t="s">
        <v>5664</v>
      </c>
      <c r="E172" s="265" t="s">
        <v>5417</v>
      </c>
      <c r="F172" s="268" t="s">
        <v>5652</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5553</v>
      </c>
      <c r="B173" s="260" t="s">
        <v>5649</v>
      </c>
      <c r="C173" s="261" t="s">
        <v>5665</v>
      </c>
      <c r="D173" s="264" t="s">
        <v>5666</v>
      </c>
      <c r="E173" s="265" t="s">
        <v>5350</v>
      </c>
      <c r="F173" s="268" t="s">
        <v>5652</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5553</v>
      </c>
      <c r="B174" s="260" t="s">
        <v>5649</v>
      </c>
      <c r="C174" s="261" t="s">
        <v>5667</v>
      </c>
      <c r="D174" s="264" t="s">
        <v>5668</v>
      </c>
      <c r="E174" s="265" t="s">
        <v>5417</v>
      </c>
      <c r="F174" s="268" t="s">
        <v>5652</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5553</v>
      </c>
      <c r="B175" s="260" t="s">
        <v>5649</v>
      </c>
      <c r="C175" s="261" t="s">
        <v>5669</v>
      </c>
      <c r="D175" s="264" t="s">
        <v>5670</v>
      </c>
      <c r="E175" s="265" t="s">
        <v>5350</v>
      </c>
      <c r="F175" s="268" t="s">
        <v>5652</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5553</v>
      </c>
      <c r="B176" s="260" t="s">
        <v>5649</v>
      </c>
      <c r="C176" s="261" t="s">
        <v>5671</v>
      </c>
      <c r="D176" s="264" t="s">
        <v>5672</v>
      </c>
      <c r="E176" s="265" t="s">
        <v>5321</v>
      </c>
      <c r="F176" s="268" t="s">
        <v>5652</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5553</v>
      </c>
      <c r="B177" s="260" t="s">
        <v>5649</v>
      </c>
      <c r="C177" s="261" t="s">
        <v>5673</v>
      </c>
      <c r="D177" s="264" t="s">
        <v>5674</v>
      </c>
      <c r="E177" s="265" t="s">
        <v>5321</v>
      </c>
      <c r="F177" s="268" t="s">
        <v>5652</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5553</v>
      </c>
      <c r="B178" s="260" t="s">
        <v>5649</v>
      </c>
      <c r="C178" s="261" t="s">
        <v>5675</v>
      </c>
      <c r="D178" s="264" t="s">
        <v>5676</v>
      </c>
      <c r="E178" s="265" t="s">
        <v>5350</v>
      </c>
      <c r="F178" s="268" t="s">
        <v>5652</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5553</v>
      </c>
      <c r="B179" s="260" t="s">
        <v>5649</v>
      </c>
      <c r="C179" s="261" t="s">
        <v>5677</v>
      </c>
      <c r="D179" s="264" t="s">
        <v>5678</v>
      </c>
      <c r="E179" s="265" t="s">
        <v>5465</v>
      </c>
      <c r="F179" s="268" t="s">
        <v>5652</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5553</v>
      </c>
      <c r="B180" s="260" t="s">
        <v>5649</v>
      </c>
      <c r="C180" s="261" t="s">
        <v>5679</v>
      </c>
      <c r="D180" s="264" t="s">
        <v>5680</v>
      </c>
      <c r="E180" s="265" t="s">
        <v>5465</v>
      </c>
      <c r="F180" s="268" t="s">
        <v>5652</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5553</v>
      </c>
      <c r="B181" s="259" t="s">
        <v>5681</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5553</v>
      </c>
      <c r="B182" s="260" t="s">
        <v>5681</v>
      </c>
      <c r="C182" s="261" t="s">
        <v>5682</v>
      </c>
      <c r="D182" s="264" t="s">
        <v>5683</v>
      </c>
      <c r="E182" s="265" t="s">
        <v>5321</v>
      </c>
      <c r="F182" s="268" t="s">
        <v>5684</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5553</v>
      </c>
      <c r="B183" s="260" t="s">
        <v>5681</v>
      </c>
      <c r="C183" s="261" t="s">
        <v>5685</v>
      </c>
      <c r="D183" s="264" t="s">
        <v>5686</v>
      </c>
      <c r="E183" s="265" t="s">
        <v>5321</v>
      </c>
      <c r="F183" s="268" t="s">
        <v>5684</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5553</v>
      </c>
      <c r="B184" s="260" t="s">
        <v>5681</v>
      </c>
      <c r="C184" s="261" t="s">
        <v>5687</v>
      </c>
      <c r="D184" s="264" t="s">
        <v>5688</v>
      </c>
      <c r="E184" s="265" t="s">
        <v>5321</v>
      </c>
      <c r="F184" s="268" t="s">
        <v>5684</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5553</v>
      </c>
      <c r="B185" s="260" t="s">
        <v>5681</v>
      </c>
      <c r="C185" s="261" t="s">
        <v>5689</v>
      </c>
      <c r="D185" s="264" t="s">
        <v>5690</v>
      </c>
      <c r="E185" s="265" t="s">
        <v>5321</v>
      </c>
      <c r="F185" s="268" t="s">
        <v>5684</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5553</v>
      </c>
      <c r="B186" s="260" t="s">
        <v>5681</v>
      </c>
      <c r="C186" s="261" t="s">
        <v>5691</v>
      </c>
      <c r="D186" s="264" t="s">
        <v>5692</v>
      </c>
      <c r="E186" s="265" t="s">
        <v>5321</v>
      </c>
      <c r="F186" s="268" t="s">
        <v>5684</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5553</v>
      </c>
      <c r="B187" s="260" t="s">
        <v>5681</v>
      </c>
      <c r="C187" s="261" t="s">
        <v>5693</v>
      </c>
      <c r="D187" s="264" t="s">
        <v>5694</v>
      </c>
      <c r="E187" s="265" t="s">
        <v>5350</v>
      </c>
      <c r="F187" s="268" t="s">
        <v>5684</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5553</v>
      </c>
      <c r="B188" s="260" t="s">
        <v>5681</v>
      </c>
      <c r="C188" s="261" t="s">
        <v>5695</v>
      </c>
      <c r="D188" s="264" t="s">
        <v>5696</v>
      </c>
      <c r="E188" s="265" t="s">
        <v>5350</v>
      </c>
      <c r="F188" s="268" t="s">
        <v>5684</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5553</v>
      </c>
      <c r="B189" s="260" t="s">
        <v>5681</v>
      </c>
      <c r="C189" s="261" t="s">
        <v>5697</v>
      </c>
      <c r="D189" s="264" t="s">
        <v>5698</v>
      </c>
      <c r="E189" s="265" t="s">
        <v>5350</v>
      </c>
      <c r="F189" s="268" t="s">
        <v>5684</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5553</v>
      </c>
      <c r="B190" s="260" t="s">
        <v>5681</v>
      </c>
      <c r="C190" s="261" t="s">
        <v>5699</v>
      </c>
      <c r="D190" s="264" t="s">
        <v>5700</v>
      </c>
      <c r="E190" s="265" t="s">
        <v>5350</v>
      </c>
      <c r="F190" s="268" t="s">
        <v>5684</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5553</v>
      </c>
      <c r="B191" s="260" t="s">
        <v>5681</v>
      </c>
      <c r="C191" s="261" t="s">
        <v>5701</v>
      </c>
      <c r="D191" s="264" t="s">
        <v>5702</v>
      </c>
      <c r="E191" s="265" t="s">
        <v>5321</v>
      </c>
      <c r="F191" s="268" t="s">
        <v>5684</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5553</v>
      </c>
      <c r="B192" s="260" t="s">
        <v>5681</v>
      </c>
      <c r="C192" s="261" t="s">
        <v>5703</v>
      </c>
      <c r="D192" s="264" t="s">
        <v>5704</v>
      </c>
      <c r="E192" s="265" t="s">
        <v>5321</v>
      </c>
      <c r="F192" s="268" t="s">
        <v>5684</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5553</v>
      </c>
      <c r="B193" s="260" t="s">
        <v>5681</v>
      </c>
      <c r="C193" s="261" t="s">
        <v>5705</v>
      </c>
      <c r="D193" s="264" t="s">
        <v>5706</v>
      </c>
      <c r="E193" s="265" t="s">
        <v>5321</v>
      </c>
      <c r="F193" s="268" t="s">
        <v>5684</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5553</v>
      </c>
      <c r="B194" s="260" t="s">
        <v>5681</v>
      </c>
      <c r="C194" s="261" t="s">
        <v>5707</v>
      </c>
      <c r="D194" s="264" t="s">
        <v>5708</v>
      </c>
      <c r="E194" s="265" t="s">
        <v>5321</v>
      </c>
      <c r="F194" s="268" t="s">
        <v>5684</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5553</v>
      </c>
      <c r="B195" s="260" t="s">
        <v>5681</v>
      </c>
      <c r="C195" s="261" t="s">
        <v>5709</v>
      </c>
      <c r="D195" s="264" t="s">
        <v>5710</v>
      </c>
      <c r="E195" s="265" t="s">
        <v>5321</v>
      </c>
      <c r="F195" s="268" t="s">
        <v>5684</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5553</v>
      </c>
      <c r="B196" s="260" t="s">
        <v>5681</v>
      </c>
      <c r="C196" s="261" t="s">
        <v>5711</v>
      </c>
      <c r="D196" s="264" t="s">
        <v>5712</v>
      </c>
      <c r="E196" s="265" t="s">
        <v>5321</v>
      </c>
      <c r="F196" s="268" t="s">
        <v>5713</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5553</v>
      </c>
      <c r="B197" s="260" t="s">
        <v>5681</v>
      </c>
      <c r="C197" s="261" t="s">
        <v>5714</v>
      </c>
      <c r="D197" s="264" t="s">
        <v>5715</v>
      </c>
      <c r="E197" s="265" t="s">
        <v>5321</v>
      </c>
      <c r="F197" s="268" t="s">
        <v>5713</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5553</v>
      </c>
      <c r="B198" s="260" t="s">
        <v>5681</v>
      </c>
      <c r="C198" s="261" t="s">
        <v>5716</v>
      </c>
      <c r="D198" s="264" t="s">
        <v>5717</v>
      </c>
      <c r="E198" s="265" t="s">
        <v>5321</v>
      </c>
      <c r="F198" s="268" t="s">
        <v>5713</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5553</v>
      </c>
      <c r="B199" s="260" t="s">
        <v>5681</v>
      </c>
      <c r="C199" s="261" t="s">
        <v>5718</v>
      </c>
      <c r="D199" s="264" t="s">
        <v>5719</v>
      </c>
      <c r="E199" s="265" t="s">
        <v>5321</v>
      </c>
      <c r="F199" s="268" t="s">
        <v>5713</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5720</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5720</v>
      </c>
      <c r="B201" s="259" t="s">
        <v>5721</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5720</v>
      </c>
      <c r="B202" s="260" t="s">
        <v>5721</v>
      </c>
      <c r="C202" s="261" t="s">
        <v>5722</v>
      </c>
      <c r="D202" s="264" t="s">
        <v>5723</v>
      </c>
      <c r="E202" s="265" t="s">
        <v>5600</v>
      </c>
      <c r="F202" s="268" t="s">
        <v>5724</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5720</v>
      </c>
      <c r="B203" s="260" t="s">
        <v>5721</v>
      </c>
      <c r="C203" s="261" t="s">
        <v>5725</v>
      </c>
      <c r="D203" s="264" t="s">
        <v>5726</v>
      </c>
      <c r="E203" s="265" t="s">
        <v>5600</v>
      </c>
      <c r="F203" s="268" t="s">
        <v>5724</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5720</v>
      </c>
      <c r="B204" s="260" t="s">
        <v>5721</v>
      </c>
      <c r="C204" s="261" t="s">
        <v>5727</v>
      </c>
      <c r="D204" s="264" t="s">
        <v>5728</v>
      </c>
      <c r="E204" s="265" t="s">
        <v>5600</v>
      </c>
      <c r="F204" s="268" t="s">
        <v>5724</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5720</v>
      </c>
      <c r="B205" s="260" t="s">
        <v>5721</v>
      </c>
      <c r="C205" s="261" t="s">
        <v>5729</v>
      </c>
      <c r="D205" s="264" t="s">
        <v>5730</v>
      </c>
      <c r="E205" s="265" t="s">
        <v>5600</v>
      </c>
      <c r="F205" s="268" t="s">
        <v>5724</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5720</v>
      </c>
      <c r="B206" s="260" t="s">
        <v>5721</v>
      </c>
      <c r="C206" s="261" t="s">
        <v>5731</v>
      </c>
      <c r="D206" s="264" t="s">
        <v>5732</v>
      </c>
      <c r="E206" s="265" t="s">
        <v>5600</v>
      </c>
      <c r="F206" s="268" t="s">
        <v>5724</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5720</v>
      </c>
      <c r="B207" s="260" t="s">
        <v>5721</v>
      </c>
      <c r="C207" s="261" t="s">
        <v>5733</v>
      </c>
      <c r="D207" s="264" t="s">
        <v>5734</v>
      </c>
      <c r="E207" s="265" t="s">
        <v>5465</v>
      </c>
      <c r="F207" s="268" t="s">
        <v>5724</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5720</v>
      </c>
      <c r="B208" s="260" t="s">
        <v>5721</v>
      </c>
      <c r="C208" s="261" t="s">
        <v>5735</v>
      </c>
      <c r="D208" s="264" t="s">
        <v>5736</v>
      </c>
      <c r="E208" s="265" t="s">
        <v>5465</v>
      </c>
      <c r="F208" s="268" t="s">
        <v>5724</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5720</v>
      </c>
      <c r="B209" s="260" t="s">
        <v>5721</v>
      </c>
      <c r="C209" s="261" t="s">
        <v>5737</v>
      </c>
      <c r="D209" s="264" t="s">
        <v>5738</v>
      </c>
      <c r="E209" s="265" t="s">
        <v>5600</v>
      </c>
      <c r="F209" s="268" t="s">
        <v>5724</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5720</v>
      </c>
      <c r="B210" s="260" t="s">
        <v>5721</v>
      </c>
      <c r="C210" s="261" t="s">
        <v>5739</v>
      </c>
      <c r="D210" s="264" t="s">
        <v>5740</v>
      </c>
      <c r="E210" s="265" t="s">
        <v>5350</v>
      </c>
      <c r="F210" s="268" t="s">
        <v>5741</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5720</v>
      </c>
      <c r="B211" s="260" t="s">
        <v>5721</v>
      </c>
      <c r="C211" s="261" t="s">
        <v>5742</v>
      </c>
      <c r="D211" s="264" t="s">
        <v>5743</v>
      </c>
      <c r="E211" s="265" t="s">
        <v>5350</v>
      </c>
      <c r="F211" s="268" t="s">
        <v>5741</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5720</v>
      </c>
      <c r="B212" s="260" t="s">
        <v>5721</v>
      </c>
      <c r="C212" s="261" t="s">
        <v>5744</v>
      </c>
      <c r="D212" s="264" t="s">
        <v>5745</v>
      </c>
      <c r="E212" s="265" t="s">
        <v>5417</v>
      </c>
      <c r="F212" s="268" t="s">
        <v>5746</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5720</v>
      </c>
      <c r="B213" s="260" t="s">
        <v>5721</v>
      </c>
      <c r="C213" s="261" t="s">
        <v>5747</v>
      </c>
      <c r="D213" s="264" t="s">
        <v>5748</v>
      </c>
      <c r="E213" s="265" t="s">
        <v>5350</v>
      </c>
      <c r="F213" s="268" t="s">
        <v>5749</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5720</v>
      </c>
      <c r="B214" s="260" t="s">
        <v>5721</v>
      </c>
      <c r="C214" s="261" t="s">
        <v>5750</v>
      </c>
      <c r="D214" s="264" t="s">
        <v>5751</v>
      </c>
      <c r="E214" s="265" t="s">
        <v>5417</v>
      </c>
      <c r="F214" s="268" t="s">
        <v>5752</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5720</v>
      </c>
      <c r="B215" s="260" t="s">
        <v>5721</v>
      </c>
      <c r="C215" s="261" t="s">
        <v>5753</v>
      </c>
      <c r="D215" s="264" t="s">
        <v>5754</v>
      </c>
      <c r="E215" s="265" t="s">
        <v>5321</v>
      </c>
      <c r="F215" s="268" t="s">
        <v>5752</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5720</v>
      </c>
      <c r="B216" s="260" t="s">
        <v>5721</v>
      </c>
      <c r="C216" s="261" t="s">
        <v>5755</v>
      </c>
      <c r="D216" s="264" t="s">
        <v>5756</v>
      </c>
      <c r="E216" s="265" t="s">
        <v>5321</v>
      </c>
      <c r="F216" s="268" t="s">
        <v>5752</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5720</v>
      </c>
      <c r="B217" s="260" t="s">
        <v>5721</v>
      </c>
      <c r="C217" s="261" t="s">
        <v>5757</v>
      </c>
      <c r="D217" s="264" t="s">
        <v>5758</v>
      </c>
      <c r="E217" s="265" t="s">
        <v>5350</v>
      </c>
      <c r="F217" s="268" t="s">
        <v>5752</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5720</v>
      </c>
      <c r="B218" s="260" t="s">
        <v>5721</v>
      </c>
      <c r="C218" s="261" t="s">
        <v>5759</v>
      </c>
      <c r="D218" s="264" t="s">
        <v>5760</v>
      </c>
      <c r="E218" s="265" t="s">
        <v>5350</v>
      </c>
      <c r="F218" s="268" t="s">
        <v>5752</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5720</v>
      </c>
      <c r="B219" s="260" t="s">
        <v>5721</v>
      </c>
      <c r="C219" s="261" t="s">
        <v>5761</v>
      </c>
      <c r="D219" s="264" t="s">
        <v>5762</v>
      </c>
      <c r="E219" s="265" t="s">
        <v>5350</v>
      </c>
      <c r="F219" s="268" t="s">
        <v>5752</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5720</v>
      </c>
      <c r="B220" s="260" t="s">
        <v>5721</v>
      </c>
      <c r="C220" s="261" t="s">
        <v>5763</v>
      </c>
      <c r="D220" s="264" t="s">
        <v>5764</v>
      </c>
      <c r="E220" s="265" t="s">
        <v>5350</v>
      </c>
      <c r="F220" s="268" t="s">
        <v>5752</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5720</v>
      </c>
      <c r="B221" s="259" t="s">
        <v>5765</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5720</v>
      </c>
      <c r="B222" s="260" t="s">
        <v>5765</v>
      </c>
      <c r="C222" s="261" t="s">
        <v>5766</v>
      </c>
      <c r="D222" s="264" t="s">
        <v>5767</v>
      </c>
      <c r="E222" s="265" t="s">
        <v>5417</v>
      </c>
      <c r="F222" s="268" t="s">
        <v>5768</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5720</v>
      </c>
      <c r="B223" s="260" t="s">
        <v>5765</v>
      </c>
      <c r="C223" s="261" t="s">
        <v>5769</v>
      </c>
      <c r="D223" s="264" t="s">
        <v>5770</v>
      </c>
      <c r="E223" s="265" t="s">
        <v>5417</v>
      </c>
      <c r="F223" s="268" t="s">
        <v>5768</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5720</v>
      </c>
      <c r="B224" s="260" t="s">
        <v>5765</v>
      </c>
      <c r="C224" s="261" t="s">
        <v>5771</v>
      </c>
      <c r="D224" s="264" t="s">
        <v>5772</v>
      </c>
      <c r="E224" s="265" t="s">
        <v>5417</v>
      </c>
      <c r="F224" s="268" t="s">
        <v>5768</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5720</v>
      </c>
      <c r="B225" s="260" t="s">
        <v>5765</v>
      </c>
      <c r="C225" s="261" t="s">
        <v>5773</v>
      </c>
      <c r="D225" s="264" t="s">
        <v>5774</v>
      </c>
      <c r="E225" s="265" t="s">
        <v>5417</v>
      </c>
      <c r="F225" s="268" t="s">
        <v>5768</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5720</v>
      </c>
      <c r="B226" s="260" t="s">
        <v>5765</v>
      </c>
      <c r="C226" s="261" t="s">
        <v>5775</v>
      </c>
      <c r="D226" s="264" t="s">
        <v>5776</v>
      </c>
      <c r="E226" s="265" t="s">
        <v>5417</v>
      </c>
      <c r="F226" s="268" t="s">
        <v>5768</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5720</v>
      </c>
      <c r="B227" s="260" t="s">
        <v>5765</v>
      </c>
      <c r="C227" s="261" t="s">
        <v>5777</v>
      </c>
      <c r="D227" s="264" t="s">
        <v>5778</v>
      </c>
      <c r="E227" s="265" t="s">
        <v>5417</v>
      </c>
      <c r="F227" s="268" t="s">
        <v>5768</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5720</v>
      </c>
      <c r="B228" s="260" t="s">
        <v>5765</v>
      </c>
      <c r="C228" s="261" t="s">
        <v>5779</v>
      </c>
      <c r="D228" s="264" t="s">
        <v>5780</v>
      </c>
      <c r="E228" s="265" t="s">
        <v>5417</v>
      </c>
      <c r="F228" s="268" t="s">
        <v>5768</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5720</v>
      </c>
      <c r="B229" s="260" t="s">
        <v>5765</v>
      </c>
      <c r="C229" s="261" t="s">
        <v>5781</v>
      </c>
      <c r="D229" s="264" t="s">
        <v>5782</v>
      </c>
      <c r="E229" s="265" t="s">
        <v>5321</v>
      </c>
      <c r="F229" s="268" t="s">
        <v>5768</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5720</v>
      </c>
      <c r="B230" s="260" t="s">
        <v>5765</v>
      </c>
      <c r="C230" s="261" t="s">
        <v>5783</v>
      </c>
      <c r="D230" s="264" t="s">
        <v>5784</v>
      </c>
      <c r="E230" s="265" t="s">
        <v>5321</v>
      </c>
      <c r="F230" s="268" t="s">
        <v>5768</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5720</v>
      </c>
      <c r="B231" s="260" t="s">
        <v>5765</v>
      </c>
      <c r="C231" s="261" t="s">
        <v>5785</v>
      </c>
      <c r="D231" s="264" t="s">
        <v>5786</v>
      </c>
      <c r="E231" s="265" t="s">
        <v>5417</v>
      </c>
      <c r="F231" s="268" t="s">
        <v>5787</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5720</v>
      </c>
      <c r="B232" s="260" t="s">
        <v>5765</v>
      </c>
      <c r="C232" s="261" t="s">
        <v>5788</v>
      </c>
      <c r="D232" s="264" t="s">
        <v>5789</v>
      </c>
      <c r="E232" s="265" t="s">
        <v>5417</v>
      </c>
      <c r="F232" s="268" t="s">
        <v>5787</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5720</v>
      </c>
      <c r="B233" s="260" t="s">
        <v>5765</v>
      </c>
      <c r="C233" s="261" t="s">
        <v>5790</v>
      </c>
      <c r="D233" s="264" t="s">
        <v>5791</v>
      </c>
      <c r="E233" s="265" t="s">
        <v>5350</v>
      </c>
      <c r="F233" s="268" t="s">
        <v>5787</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5720</v>
      </c>
      <c r="B234" s="260" t="s">
        <v>5765</v>
      </c>
      <c r="C234" s="261" t="s">
        <v>5792</v>
      </c>
      <c r="D234" s="264" t="s">
        <v>5793</v>
      </c>
      <c r="E234" s="265" t="s">
        <v>5350</v>
      </c>
      <c r="F234" s="268" t="s">
        <v>5787</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5720</v>
      </c>
      <c r="B235" s="260" t="s">
        <v>5765</v>
      </c>
      <c r="C235" s="261" t="s">
        <v>5794</v>
      </c>
      <c r="D235" s="264" t="s">
        <v>5795</v>
      </c>
      <c r="E235" s="265" t="s">
        <v>5417</v>
      </c>
      <c r="F235" s="268" t="s">
        <v>5787</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5720</v>
      </c>
      <c r="B236" s="260" t="s">
        <v>5765</v>
      </c>
      <c r="C236" s="261" t="s">
        <v>5796</v>
      </c>
      <c r="D236" s="264" t="s">
        <v>5797</v>
      </c>
      <c r="E236" s="265" t="s">
        <v>5350</v>
      </c>
      <c r="F236" s="268" t="s">
        <v>5787</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5720</v>
      </c>
      <c r="B237" s="259" t="s">
        <v>1954</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5720</v>
      </c>
      <c r="B238" s="260" t="s">
        <v>1954</v>
      </c>
      <c r="C238" s="261" t="s">
        <v>5798</v>
      </c>
      <c r="D238" s="264" t="s">
        <v>5799</v>
      </c>
      <c r="E238" s="265" t="s">
        <v>5321</v>
      </c>
      <c r="F238" s="268" t="s">
        <v>5800</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5720</v>
      </c>
      <c r="B239" s="260" t="s">
        <v>1954</v>
      </c>
      <c r="C239" s="261" t="s">
        <v>5801</v>
      </c>
      <c r="D239" s="264" t="s">
        <v>5802</v>
      </c>
      <c r="E239" s="265" t="s">
        <v>5321</v>
      </c>
      <c r="F239" s="268" t="s">
        <v>5800</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5720</v>
      </c>
      <c r="B240" s="260" t="s">
        <v>1954</v>
      </c>
      <c r="C240" s="261" t="s">
        <v>5803</v>
      </c>
      <c r="D240" s="264" t="s">
        <v>5804</v>
      </c>
      <c r="E240" s="265" t="s">
        <v>5321</v>
      </c>
      <c r="F240" s="268" t="s">
        <v>5800</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5720</v>
      </c>
      <c r="B241" s="260" t="s">
        <v>1954</v>
      </c>
      <c r="C241" s="261" t="s">
        <v>5805</v>
      </c>
      <c r="D241" s="264" t="s">
        <v>5806</v>
      </c>
      <c r="E241" s="265" t="s">
        <v>5321</v>
      </c>
      <c r="F241" s="268" t="s">
        <v>5800</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5720</v>
      </c>
      <c r="B242" s="260" t="s">
        <v>1954</v>
      </c>
      <c r="C242" s="261" t="s">
        <v>5807</v>
      </c>
      <c r="D242" s="264" t="s">
        <v>5808</v>
      </c>
      <c r="E242" s="265" t="s">
        <v>5321</v>
      </c>
      <c r="F242" s="268" t="s">
        <v>5800</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5720</v>
      </c>
      <c r="B243" s="260" t="s">
        <v>1954</v>
      </c>
      <c r="C243" s="261" t="s">
        <v>5809</v>
      </c>
      <c r="D243" s="264" t="s">
        <v>5810</v>
      </c>
      <c r="E243" s="265" t="s">
        <v>5321</v>
      </c>
      <c r="F243" s="268" t="s">
        <v>5800</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5720</v>
      </c>
      <c r="B244" s="260" t="s">
        <v>1954</v>
      </c>
      <c r="C244" s="261" t="s">
        <v>5811</v>
      </c>
      <c r="D244" s="264" t="s">
        <v>5812</v>
      </c>
      <c r="E244" s="265" t="s">
        <v>5321</v>
      </c>
      <c r="F244" s="268" t="s">
        <v>5800</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5720</v>
      </c>
      <c r="B245" s="260" t="s">
        <v>1954</v>
      </c>
      <c r="C245" s="261" t="s">
        <v>5813</v>
      </c>
      <c r="D245" s="264" t="s">
        <v>5814</v>
      </c>
      <c r="E245" s="265" t="s">
        <v>5321</v>
      </c>
      <c r="F245" s="268" t="s">
        <v>5800</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5720</v>
      </c>
      <c r="B246" s="260" t="s">
        <v>1954</v>
      </c>
      <c r="C246" s="261" t="s">
        <v>5815</v>
      </c>
      <c r="D246" s="264" t="s">
        <v>5816</v>
      </c>
      <c r="E246" s="265" t="s">
        <v>5321</v>
      </c>
      <c r="F246" s="268" t="s">
        <v>5800</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5720</v>
      </c>
      <c r="B247" s="260" t="s">
        <v>1954</v>
      </c>
      <c r="C247" s="261" t="s">
        <v>5817</v>
      </c>
      <c r="D247" s="264" t="s">
        <v>5818</v>
      </c>
      <c r="E247" s="265" t="s">
        <v>5321</v>
      </c>
      <c r="F247" s="268" t="s">
        <v>5800</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5720</v>
      </c>
      <c r="B248" s="260" t="s">
        <v>1954</v>
      </c>
      <c r="C248" s="261" t="s">
        <v>5819</v>
      </c>
      <c r="D248" s="264" t="s">
        <v>5820</v>
      </c>
      <c r="E248" s="265" t="s">
        <v>5350</v>
      </c>
      <c r="F248" s="268" t="s">
        <v>5800</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5720</v>
      </c>
      <c r="B249" s="260" t="s">
        <v>1954</v>
      </c>
      <c r="C249" s="261" t="s">
        <v>5821</v>
      </c>
      <c r="D249" s="264" t="s">
        <v>5822</v>
      </c>
      <c r="E249" s="265" t="s">
        <v>5350</v>
      </c>
      <c r="F249" s="268" t="s">
        <v>5823</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5720</v>
      </c>
      <c r="B250" s="260" t="s">
        <v>1954</v>
      </c>
      <c r="C250" s="261" t="s">
        <v>5824</v>
      </c>
      <c r="D250" s="264" t="s">
        <v>5825</v>
      </c>
      <c r="E250" s="265" t="s">
        <v>5350</v>
      </c>
      <c r="F250" s="268" t="s">
        <v>5823</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5720</v>
      </c>
      <c r="B251" s="259" t="s">
        <v>5826</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5720</v>
      </c>
      <c r="B252" s="260" t="s">
        <v>5826</v>
      </c>
      <c r="C252" s="261" t="s">
        <v>5827</v>
      </c>
      <c r="D252" s="264" t="s">
        <v>5828</v>
      </c>
      <c r="E252" s="265" t="s">
        <v>5417</v>
      </c>
      <c r="F252" s="268" t="s">
        <v>5829</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5720</v>
      </c>
      <c r="B253" s="260" t="s">
        <v>5826</v>
      </c>
      <c r="C253" s="261" t="s">
        <v>5830</v>
      </c>
      <c r="D253" s="264" t="s">
        <v>5831</v>
      </c>
      <c r="E253" s="265" t="s">
        <v>5417</v>
      </c>
      <c r="F253" s="268" t="s">
        <v>5829</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5720</v>
      </c>
      <c r="B254" s="260" t="s">
        <v>5826</v>
      </c>
      <c r="C254" s="261" t="s">
        <v>5832</v>
      </c>
      <c r="D254" s="264" t="s">
        <v>5833</v>
      </c>
      <c r="E254" s="265" t="s">
        <v>5417</v>
      </c>
      <c r="F254" s="268" t="s">
        <v>5829</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5720</v>
      </c>
      <c r="B255" s="260" t="s">
        <v>5826</v>
      </c>
      <c r="C255" s="261" t="s">
        <v>5834</v>
      </c>
      <c r="D255" s="264" t="s">
        <v>5835</v>
      </c>
      <c r="E255" s="265" t="s">
        <v>5417</v>
      </c>
      <c r="F255" s="268" t="s">
        <v>5829</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5720</v>
      </c>
      <c r="B256" s="260" t="s">
        <v>5826</v>
      </c>
      <c r="C256" s="261" t="s">
        <v>5836</v>
      </c>
      <c r="D256" s="264" t="s">
        <v>5837</v>
      </c>
      <c r="E256" s="265" t="s">
        <v>5417</v>
      </c>
      <c r="F256" s="268" t="s">
        <v>5829</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5720</v>
      </c>
      <c r="B257" s="260" t="s">
        <v>5826</v>
      </c>
      <c r="C257" s="261" t="s">
        <v>5838</v>
      </c>
      <c r="D257" s="264" t="s">
        <v>5839</v>
      </c>
      <c r="E257" s="265" t="s">
        <v>5321</v>
      </c>
      <c r="F257" s="268" t="s">
        <v>5829</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5720</v>
      </c>
      <c r="B258" s="260" t="s">
        <v>5826</v>
      </c>
      <c r="C258" s="261" t="s">
        <v>5840</v>
      </c>
      <c r="D258" s="264" t="s">
        <v>5841</v>
      </c>
      <c r="E258" s="265" t="s">
        <v>5321</v>
      </c>
      <c r="F258" s="268" t="s">
        <v>5829</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5720</v>
      </c>
      <c r="B259" s="260" t="s">
        <v>5826</v>
      </c>
      <c r="C259" s="261" t="s">
        <v>5842</v>
      </c>
      <c r="D259" s="264" t="s">
        <v>5843</v>
      </c>
      <c r="E259" s="265" t="s">
        <v>5321</v>
      </c>
      <c r="F259" s="268" t="s">
        <v>5829</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5720</v>
      </c>
      <c r="B260" s="260" t="s">
        <v>5826</v>
      </c>
      <c r="C260" s="261" t="s">
        <v>5844</v>
      </c>
      <c r="D260" s="264" t="s">
        <v>5845</v>
      </c>
      <c r="E260" s="265" t="s">
        <v>5321</v>
      </c>
      <c r="F260" s="268" t="s">
        <v>5829</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5720</v>
      </c>
      <c r="B261" s="260" t="s">
        <v>5826</v>
      </c>
      <c r="C261" s="261" t="s">
        <v>5846</v>
      </c>
      <c r="D261" s="264" t="s">
        <v>5847</v>
      </c>
      <c r="E261" s="265" t="s">
        <v>5465</v>
      </c>
      <c r="F261" s="268" t="s">
        <v>5829</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5720</v>
      </c>
      <c r="B262" s="260" t="s">
        <v>5826</v>
      </c>
      <c r="C262" s="261" t="s">
        <v>5848</v>
      </c>
      <c r="D262" s="264" t="s">
        <v>5849</v>
      </c>
      <c r="E262" s="265" t="s">
        <v>5465</v>
      </c>
      <c r="F262" s="268" t="s">
        <v>5829</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5720</v>
      </c>
      <c r="B263" s="260" t="s">
        <v>5826</v>
      </c>
      <c r="C263" s="261" t="s">
        <v>5850</v>
      </c>
      <c r="D263" s="264" t="s">
        <v>5851</v>
      </c>
      <c r="E263" s="265" t="s">
        <v>5465</v>
      </c>
      <c r="F263" s="268" t="s">
        <v>5829</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5720</v>
      </c>
      <c r="B264" s="259" t="s">
        <v>5852</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5720</v>
      </c>
      <c r="B265" s="260" t="s">
        <v>5852</v>
      </c>
      <c r="C265" s="261" t="s">
        <v>5853</v>
      </c>
      <c r="D265" s="264" t="s">
        <v>5854</v>
      </c>
      <c r="E265" s="265" t="s">
        <v>5350</v>
      </c>
      <c r="F265" s="268" t="s">
        <v>5855</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5720</v>
      </c>
      <c r="B266" s="260" t="s">
        <v>5852</v>
      </c>
      <c r="C266" s="261" t="s">
        <v>5856</v>
      </c>
      <c r="D266" s="264" t="s">
        <v>5857</v>
      </c>
      <c r="E266" s="265" t="s">
        <v>5350</v>
      </c>
      <c r="F266" s="268" t="s">
        <v>5855</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5720</v>
      </c>
      <c r="B267" s="260" t="s">
        <v>5852</v>
      </c>
      <c r="C267" s="261" t="s">
        <v>5858</v>
      </c>
      <c r="D267" s="264" t="s">
        <v>5859</v>
      </c>
      <c r="E267" s="265" t="s">
        <v>5350</v>
      </c>
      <c r="F267" s="268" t="s">
        <v>5855</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5720</v>
      </c>
      <c r="B268" s="260" t="s">
        <v>5852</v>
      </c>
      <c r="C268" s="261" t="s">
        <v>5860</v>
      </c>
      <c r="D268" s="264" t="s">
        <v>5861</v>
      </c>
      <c r="E268" s="265" t="s">
        <v>5350</v>
      </c>
      <c r="F268" s="268" t="s">
        <v>5855</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5720</v>
      </c>
      <c r="B269" s="260" t="s">
        <v>5852</v>
      </c>
      <c r="C269" s="261" t="s">
        <v>5862</v>
      </c>
      <c r="D269" s="264" t="s">
        <v>5863</v>
      </c>
      <c r="E269" s="265" t="s">
        <v>5350</v>
      </c>
      <c r="F269" s="268" t="s">
        <v>5855</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5720</v>
      </c>
      <c r="B270" s="260" t="s">
        <v>5852</v>
      </c>
      <c r="C270" s="261" t="s">
        <v>5864</v>
      </c>
      <c r="D270" s="264" t="s">
        <v>5865</v>
      </c>
      <c r="E270" s="265" t="s">
        <v>5350</v>
      </c>
      <c r="F270" s="268" t="s">
        <v>5855</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5720</v>
      </c>
      <c r="B271" s="260" t="s">
        <v>5852</v>
      </c>
      <c r="C271" s="261" t="s">
        <v>5866</v>
      </c>
      <c r="D271" s="264" t="s">
        <v>5867</v>
      </c>
      <c r="E271" s="265" t="s">
        <v>5350</v>
      </c>
      <c r="F271" s="268" t="s">
        <v>5855</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5720</v>
      </c>
      <c r="B272" s="260" t="s">
        <v>5852</v>
      </c>
      <c r="C272" s="261" t="s">
        <v>5868</v>
      </c>
      <c r="D272" s="264" t="s">
        <v>5869</v>
      </c>
      <c r="E272" s="265" t="s">
        <v>5350</v>
      </c>
      <c r="F272" s="268" t="s">
        <v>5855</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5720</v>
      </c>
      <c r="B273" s="260" t="s">
        <v>5852</v>
      </c>
      <c r="C273" s="261" t="s">
        <v>5870</v>
      </c>
      <c r="D273" s="264" t="s">
        <v>5871</v>
      </c>
      <c r="E273" s="265" t="s">
        <v>5350</v>
      </c>
      <c r="F273" s="268" t="s">
        <v>5855</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5872</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5872</v>
      </c>
      <c r="B275" s="259" t="s">
        <v>5873</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5872</v>
      </c>
      <c r="B276" s="260" t="s">
        <v>5873</v>
      </c>
      <c r="C276" s="261" t="s">
        <v>5874</v>
      </c>
      <c r="D276" s="264" t="s">
        <v>5875</v>
      </c>
      <c r="E276" s="265" t="s">
        <v>5321</v>
      </c>
      <c r="F276" s="268" t="s">
        <v>5876</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5872</v>
      </c>
      <c r="B277" s="260" t="s">
        <v>5873</v>
      </c>
      <c r="C277" s="261" t="s">
        <v>5877</v>
      </c>
      <c r="D277" s="264" t="s">
        <v>5878</v>
      </c>
      <c r="E277" s="265" t="s">
        <v>5321</v>
      </c>
      <c r="F277" s="268" t="s">
        <v>5876</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5872</v>
      </c>
      <c r="B278" s="260" t="s">
        <v>5873</v>
      </c>
      <c r="C278" s="261" t="s">
        <v>5879</v>
      </c>
      <c r="D278" s="264" t="s">
        <v>5880</v>
      </c>
      <c r="E278" s="265" t="s">
        <v>5321</v>
      </c>
      <c r="F278" s="268" t="s">
        <v>5876</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5872</v>
      </c>
      <c r="B279" s="260" t="s">
        <v>5873</v>
      </c>
      <c r="C279" s="261" t="s">
        <v>5881</v>
      </c>
      <c r="D279" s="264" t="s">
        <v>5882</v>
      </c>
      <c r="E279" s="265" t="s">
        <v>5321</v>
      </c>
      <c r="F279" s="268" t="s">
        <v>5876</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5872</v>
      </c>
      <c r="B280" s="260" t="s">
        <v>5873</v>
      </c>
      <c r="C280" s="261" t="s">
        <v>5883</v>
      </c>
      <c r="D280" s="264" t="s">
        <v>5884</v>
      </c>
      <c r="E280" s="265" t="s">
        <v>5321</v>
      </c>
      <c r="F280" s="268" t="s">
        <v>5876</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5872</v>
      </c>
      <c r="B281" s="260" t="s">
        <v>5873</v>
      </c>
      <c r="C281" s="261" t="s">
        <v>5885</v>
      </c>
      <c r="D281" s="264" t="s">
        <v>5886</v>
      </c>
      <c r="E281" s="265" t="s">
        <v>5321</v>
      </c>
      <c r="F281" s="268" t="s">
        <v>5876</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5872</v>
      </c>
      <c r="B282" s="260" t="s">
        <v>5873</v>
      </c>
      <c r="C282" s="261" t="s">
        <v>5887</v>
      </c>
      <c r="D282" s="264" t="s">
        <v>5888</v>
      </c>
      <c r="E282" s="265" t="s">
        <v>5321</v>
      </c>
      <c r="F282" s="268" t="s">
        <v>5876</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5872</v>
      </c>
      <c r="B283" s="260" t="s">
        <v>5873</v>
      </c>
      <c r="C283" s="261" t="s">
        <v>5889</v>
      </c>
      <c r="D283" s="264" t="s">
        <v>5890</v>
      </c>
      <c r="E283" s="265" t="s">
        <v>5417</v>
      </c>
      <c r="F283" s="268" t="s">
        <v>5891</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5872</v>
      </c>
      <c r="B284" s="260" t="s">
        <v>5873</v>
      </c>
      <c r="C284" s="261" t="s">
        <v>5892</v>
      </c>
      <c r="D284" s="264" t="s">
        <v>5893</v>
      </c>
      <c r="E284" s="265" t="s">
        <v>5417</v>
      </c>
      <c r="F284" s="268" t="s">
        <v>5891</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5872</v>
      </c>
      <c r="B285" s="260" t="s">
        <v>5873</v>
      </c>
      <c r="C285" s="261" t="s">
        <v>5894</v>
      </c>
      <c r="D285" s="264" t="s">
        <v>5895</v>
      </c>
      <c r="E285" s="265" t="s">
        <v>5321</v>
      </c>
      <c r="F285" s="268" t="s">
        <v>5891</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5872</v>
      </c>
      <c r="B286" s="260" t="s">
        <v>5873</v>
      </c>
      <c r="C286" s="261" t="s">
        <v>5896</v>
      </c>
      <c r="D286" s="264" t="s">
        <v>5897</v>
      </c>
      <c r="E286" s="265" t="s">
        <v>5350</v>
      </c>
      <c r="F286" s="268" t="s">
        <v>5891</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5872</v>
      </c>
      <c r="B287" s="260" t="s">
        <v>5873</v>
      </c>
      <c r="C287" s="261" t="s">
        <v>5898</v>
      </c>
      <c r="D287" s="264" t="s">
        <v>5899</v>
      </c>
      <c r="E287" s="265" t="s">
        <v>5350</v>
      </c>
      <c r="F287" s="268" t="s">
        <v>5891</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5872</v>
      </c>
      <c r="B288" s="260" t="s">
        <v>5873</v>
      </c>
      <c r="C288" s="261" t="s">
        <v>5900</v>
      </c>
      <c r="D288" s="264" t="s">
        <v>5901</v>
      </c>
      <c r="E288" s="265" t="s">
        <v>5350</v>
      </c>
      <c r="F288" s="268" t="s">
        <v>5891</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5872</v>
      </c>
      <c r="B289" s="260" t="s">
        <v>5873</v>
      </c>
      <c r="C289" s="261" t="s">
        <v>5902</v>
      </c>
      <c r="D289" s="264" t="s">
        <v>5903</v>
      </c>
      <c r="E289" s="265" t="s">
        <v>5350</v>
      </c>
      <c r="F289" s="268" t="s">
        <v>5891</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5872</v>
      </c>
      <c r="B290" s="260" t="s">
        <v>5873</v>
      </c>
      <c r="C290" s="261" t="s">
        <v>5904</v>
      </c>
      <c r="D290" s="264" t="s">
        <v>5905</v>
      </c>
      <c r="E290" s="265" t="s">
        <v>5321</v>
      </c>
      <c r="F290" s="268" t="s">
        <v>5891</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5872</v>
      </c>
      <c r="B291" s="260" t="s">
        <v>5873</v>
      </c>
      <c r="C291" s="261" t="s">
        <v>5906</v>
      </c>
      <c r="D291" s="264" t="s">
        <v>5907</v>
      </c>
      <c r="E291" s="265" t="s">
        <v>5350</v>
      </c>
      <c r="F291" s="268" t="s">
        <v>5908</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5872</v>
      </c>
      <c r="B292" s="260" t="s">
        <v>5873</v>
      </c>
      <c r="C292" s="261" t="s">
        <v>5909</v>
      </c>
      <c r="D292" s="264" t="s">
        <v>5910</v>
      </c>
      <c r="E292" s="265" t="s">
        <v>5350</v>
      </c>
      <c r="F292" s="268" t="s">
        <v>5908</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5872</v>
      </c>
      <c r="B293" s="260" t="s">
        <v>5873</v>
      </c>
      <c r="C293" s="261" t="s">
        <v>5911</v>
      </c>
      <c r="D293" s="264" t="s">
        <v>5912</v>
      </c>
      <c r="E293" s="265" t="s">
        <v>5600</v>
      </c>
      <c r="F293" s="268" t="s">
        <v>5891</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5872</v>
      </c>
      <c r="B294" s="260" t="s">
        <v>5873</v>
      </c>
      <c r="C294" s="261" t="s">
        <v>5913</v>
      </c>
      <c r="D294" s="264" t="s">
        <v>5914</v>
      </c>
      <c r="E294" s="265" t="s">
        <v>5600</v>
      </c>
      <c r="F294" s="268" t="s">
        <v>5891</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5872</v>
      </c>
      <c r="B295" s="260" t="s">
        <v>5873</v>
      </c>
      <c r="C295" s="261" t="s">
        <v>5915</v>
      </c>
      <c r="D295" s="264" t="s">
        <v>5916</v>
      </c>
      <c r="E295" s="265" t="s">
        <v>5417</v>
      </c>
      <c r="F295" s="268" t="s">
        <v>5891</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5872</v>
      </c>
      <c r="B296" s="260" t="s">
        <v>5873</v>
      </c>
      <c r="C296" s="261" t="s">
        <v>5917</v>
      </c>
      <c r="D296" s="264" t="s">
        <v>5918</v>
      </c>
      <c r="E296" s="265" t="s">
        <v>5417</v>
      </c>
      <c r="F296" s="268" t="s">
        <v>5891</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5872</v>
      </c>
      <c r="B297" s="260" t="s">
        <v>5873</v>
      </c>
      <c r="C297" s="261" t="s">
        <v>5919</v>
      </c>
      <c r="D297" s="264" t="s">
        <v>5920</v>
      </c>
      <c r="E297" s="265" t="s">
        <v>5321</v>
      </c>
      <c r="F297" s="268" t="s">
        <v>5891</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5872</v>
      </c>
      <c r="B298" s="260" t="s">
        <v>5873</v>
      </c>
      <c r="C298" s="261" t="s">
        <v>5921</v>
      </c>
      <c r="D298" s="264" t="s">
        <v>5922</v>
      </c>
      <c r="E298" s="265" t="s">
        <v>5417</v>
      </c>
      <c r="F298" s="268" t="s">
        <v>5891</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5872</v>
      </c>
      <c r="B299" s="260" t="s">
        <v>5873</v>
      </c>
      <c r="C299" s="261" t="s">
        <v>5923</v>
      </c>
      <c r="D299" s="264" t="s">
        <v>5924</v>
      </c>
      <c r="E299" s="265" t="s">
        <v>5350</v>
      </c>
      <c r="F299" s="268" t="s">
        <v>5891</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5872</v>
      </c>
      <c r="B300" s="260" t="s">
        <v>5873</v>
      </c>
      <c r="C300" s="261" t="s">
        <v>5925</v>
      </c>
      <c r="D300" s="264" t="s">
        <v>5926</v>
      </c>
      <c r="E300" s="265" t="s">
        <v>5417</v>
      </c>
      <c r="F300" s="268" t="s">
        <v>5891</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5872</v>
      </c>
      <c r="B301" s="260" t="s">
        <v>5873</v>
      </c>
      <c r="C301" s="261" t="s">
        <v>5927</v>
      </c>
      <c r="D301" s="264" t="s">
        <v>5928</v>
      </c>
      <c r="E301" s="265" t="s">
        <v>5465</v>
      </c>
      <c r="F301" s="268" t="s">
        <v>5891</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5872</v>
      </c>
      <c r="B302" s="260" t="s">
        <v>5873</v>
      </c>
      <c r="C302" s="261" t="s">
        <v>5929</v>
      </c>
      <c r="D302" s="264" t="s">
        <v>5930</v>
      </c>
      <c r="E302" s="265" t="s">
        <v>5465</v>
      </c>
      <c r="F302" s="268" t="s">
        <v>5891</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5872</v>
      </c>
      <c r="B303" s="259" t="s">
        <v>1687</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5872</v>
      </c>
      <c r="B304" s="260" t="s">
        <v>1687</v>
      </c>
      <c r="C304" s="261" t="s">
        <v>5931</v>
      </c>
      <c r="D304" s="264" t="s">
        <v>5932</v>
      </c>
      <c r="E304" s="265" t="s">
        <v>5321</v>
      </c>
      <c r="F304" s="268" t="s">
        <v>5933</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5872</v>
      </c>
      <c r="B305" s="260" t="s">
        <v>1687</v>
      </c>
      <c r="C305" s="261" t="s">
        <v>5934</v>
      </c>
      <c r="D305" s="264" t="s">
        <v>5935</v>
      </c>
      <c r="E305" s="265" t="s">
        <v>5321</v>
      </c>
      <c r="F305" s="268" t="s">
        <v>5933</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5872</v>
      </c>
      <c r="B306" s="260" t="s">
        <v>1687</v>
      </c>
      <c r="C306" s="261" t="s">
        <v>5936</v>
      </c>
      <c r="D306" s="264" t="s">
        <v>5937</v>
      </c>
      <c r="E306" s="265" t="s">
        <v>5321</v>
      </c>
      <c r="F306" s="268" t="s">
        <v>5933</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5872</v>
      </c>
      <c r="B307" s="260" t="s">
        <v>1687</v>
      </c>
      <c r="C307" s="261" t="s">
        <v>5938</v>
      </c>
      <c r="D307" s="264" t="s">
        <v>5939</v>
      </c>
      <c r="E307" s="265" t="s">
        <v>5321</v>
      </c>
      <c r="F307" s="268" t="s">
        <v>5933</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5872</v>
      </c>
      <c r="B308" s="260" t="s">
        <v>1687</v>
      </c>
      <c r="C308" s="261" t="s">
        <v>5940</v>
      </c>
      <c r="D308" s="264" t="s">
        <v>5941</v>
      </c>
      <c r="E308" s="265" t="s">
        <v>5417</v>
      </c>
      <c r="F308" s="268" t="s">
        <v>5933</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5872</v>
      </c>
      <c r="B309" s="260" t="s">
        <v>1687</v>
      </c>
      <c r="C309" s="261" t="s">
        <v>5942</v>
      </c>
      <c r="D309" s="264" t="s">
        <v>5943</v>
      </c>
      <c r="E309" s="265" t="s">
        <v>5417</v>
      </c>
      <c r="F309" s="268" t="s">
        <v>5933</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5872</v>
      </c>
      <c r="B310" s="260" t="s">
        <v>1687</v>
      </c>
      <c r="C310" s="261" t="s">
        <v>5944</v>
      </c>
      <c r="D310" s="264" t="s">
        <v>5945</v>
      </c>
      <c r="E310" s="265" t="s">
        <v>5417</v>
      </c>
      <c r="F310" s="268" t="s">
        <v>5933</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5872</v>
      </c>
      <c r="B311" s="260" t="s">
        <v>1687</v>
      </c>
      <c r="C311" s="261" t="s">
        <v>5946</v>
      </c>
      <c r="D311" s="264" t="s">
        <v>5947</v>
      </c>
      <c r="E311" s="265" t="s">
        <v>5417</v>
      </c>
      <c r="F311" s="268" t="s">
        <v>5933</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5872</v>
      </c>
      <c r="B312" s="260" t="s">
        <v>1687</v>
      </c>
      <c r="C312" s="261" t="s">
        <v>5948</v>
      </c>
      <c r="D312" s="264" t="s">
        <v>5949</v>
      </c>
      <c r="E312" s="265" t="s">
        <v>5417</v>
      </c>
      <c r="F312" s="268" t="s">
        <v>5933</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5872</v>
      </c>
      <c r="B313" s="260" t="s">
        <v>1687</v>
      </c>
      <c r="C313" s="261" t="s">
        <v>5950</v>
      </c>
      <c r="D313" s="264" t="s">
        <v>5951</v>
      </c>
      <c r="E313" s="265" t="s">
        <v>5350</v>
      </c>
      <c r="F313" s="268" t="s">
        <v>5933</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5872</v>
      </c>
      <c r="B314" s="260" t="s">
        <v>1687</v>
      </c>
      <c r="C314" s="261" t="s">
        <v>5952</v>
      </c>
      <c r="D314" s="264" t="s">
        <v>5953</v>
      </c>
      <c r="E314" s="265" t="s">
        <v>5350</v>
      </c>
      <c r="F314" s="268" t="s">
        <v>5933</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5872</v>
      </c>
      <c r="B315" s="260" t="s">
        <v>1687</v>
      </c>
      <c r="C315" s="261" t="s">
        <v>5954</v>
      </c>
      <c r="D315" s="264" t="s">
        <v>5955</v>
      </c>
      <c r="E315" s="265" t="s">
        <v>5350</v>
      </c>
      <c r="F315" s="268" t="s">
        <v>5933</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5872</v>
      </c>
      <c r="B316" s="260" t="s">
        <v>1687</v>
      </c>
      <c r="C316" s="261" t="s">
        <v>5956</v>
      </c>
      <c r="D316" s="264" t="s">
        <v>5957</v>
      </c>
      <c r="E316" s="265" t="s">
        <v>5350</v>
      </c>
      <c r="F316" s="268" t="s">
        <v>5933</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5872</v>
      </c>
      <c r="B317" s="260" t="s">
        <v>1687</v>
      </c>
      <c r="C317" s="261" t="s">
        <v>5958</v>
      </c>
      <c r="D317" s="264" t="s">
        <v>5959</v>
      </c>
      <c r="E317" s="265" t="s">
        <v>5417</v>
      </c>
      <c r="F317" s="268" t="s">
        <v>5891</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5872</v>
      </c>
      <c r="B318" s="260" t="s">
        <v>1687</v>
      </c>
      <c r="C318" s="261" t="s">
        <v>5960</v>
      </c>
      <c r="D318" s="264" t="s">
        <v>5961</v>
      </c>
      <c r="E318" s="265" t="s">
        <v>5465</v>
      </c>
      <c r="F318" s="268" t="s">
        <v>5891</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5872</v>
      </c>
      <c r="B319" s="260" t="s">
        <v>1687</v>
      </c>
      <c r="C319" s="261" t="s">
        <v>5962</v>
      </c>
      <c r="D319" s="264" t="s">
        <v>5963</v>
      </c>
      <c r="E319" s="265" t="s">
        <v>5465</v>
      </c>
      <c r="F319" s="268" t="s">
        <v>5891</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5872</v>
      </c>
      <c r="B320" s="259" t="s">
        <v>5964</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5872</v>
      </c>
      <c r="B321" s="260" t="s">
        <v>5964</v>
      </c>
      <c r="C321" s="261" t="s">
        <v>5965</v>
      </c>
      <c r="D321" s="264" t="s">
        <v>5966</v>
      </c>
      <c r="E321" s="265" t="s">
        <v>5350</v>
      </c>
      <c r="F321" s="268" t="s">
        <v>5967</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5872</v>
      </c>
      <c r="B322" s="260" t="s">
        <v>5964</v>
      </c>
      <c r="C322" s="261" t="s">
        <v>5968</v>
      </c>
      <c r="D322" s="264" t="s">
        <v>5969</v>
      </c>
      <c r="E322" s="265" t="s">
        <v>5350</v>
      </c>
      <c r="F322" s="268" t="s">
        <v>5967</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5872</v>
      </c>
      <c r="B323" s="260" t="s">
        <v>5964</v>
      </c>
      <c r="C323" s="261" t="s">
        <v>5970</v>
      </c>
      <c r="D323" s="264" t="s">
        <v>5971</v>
      </c>
      <c r="E323" s="265" t="s">
        <v>5350</v>
      </c>
      <c r="F323" s="268" t="s">
        <v>5967</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5872</v>
      </c>
      <c r="B324" s="260" t="s">
        <v>5964</v>
      </c>
      <c r="C324" s="261" t="s">
        <v>5972</v>
      </c>
      <c r="D324" s="264" t="s">
        <v>5973</v>
      </c>
      <c r="E324" s="265" t="s">
        <v>5350</v>
      </c>
      <c r="F324" s="268" t="s">
        <v>5967</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5872</v>
      </c>
      <c r="B325" s="260" t="s">
        <v>5964</v>
      </c>
      <c r="C325" s="261" t="s">
        <v>5974</v>
      </c>
      <c r="D325" s="264" t="s">
        <v>5975</v>
      </c>
      <c r="E325" s="265" t="s">
        <v>5350</v>
      </c>
      <c r="F325" s="268" t="s">
        <v>5967</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5872</v>
      </c>
      <c r="B326" s="260" t="s">
        <v>5964</v>
      </c>
      <c r="C326" s="261" t="s">
        <v>5976</v>
      </c>
      <c r="D326" s="264" t="s">
        <v>5977</v>
      </c>
      <c r="E326" s="265" t="s">
        <v>5350</v>
      </c>
      <c r="F326" s="268" t="s">
        <v>5967</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5872</v>
      </c>
      <c r="B327" s="260" t="s">
        <v>5964</v>
      </c>
      <c r="C327" s="261" t="s">
        <v>5978</v>
      </c>
      <c r="D327" s="264" t="s">
        <v>5979</v>
      </c>
      <c r="E327" s="265" t="s">
        <v>5350</v>
      </c>
      <c r="F327" s="268" t="s">
        <v>5967</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5872</v>
      </c>
      <c r="B328" s="260" t="s">
        <v>5964</v>
      </c>
      <c r="C328" s="261" t="s">
        <v>5980</v>
      </c>
      <c r="D328" s="264" t="s">
        <v>5981</v>
      </c>
      <c r="E328" s="265" t="s">
        <v>5350</v>
      </c>
      <c r="F328" s="268" t="s">
        <v>5967</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5872</v>
      </c>
      <c r="B329" s="260" t="s">
        <v>5964</v>
      </c>
      <c r="C329" s="261" t="s">
        <v>5982</v>
      </c>
      <c r="D329" s="264" t="s">
        <v>5983</v>
      </c>
      <c r="E329" s="265" t="s">
        <v>5350</v>
      </c>
      <c r="F329" s="268" t="s">
        <v>5967</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5872</v>
      </c>
      <c r="B330" s="260" t="s">
        <v>5964</v>
      </c>
      <c r="C330" s="261" t="s">
        <v>5984</v>
      </c>
      <c r="D330" s="264" t="s">
        <v>5985</v>
      </c>
      <c r="E330" s="265" t="s">
        <v>5350</v>
      </c>
      <c r="F330" s="268" t="s">
        <v>5967</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5872</v>
      </c>
      <c r="B331" s="260" t="s">
        <v>5964</v>
      </c>
      <c r="C331" s="261" t="s">
        <v>5986</v>
      </c>
      <c r="D331" s="264" t="s">
        <v>5987</v>
      </c>
      <c r="E331" s="265" t="s">
        <v>5350</v>
      </c>
      <c r="F331" s="268" t="s">
        <v>5967</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5872</v>
      </c>
      <c r="B332" s="260" t="s">
        <v>5964</v>
      </c>
      <c r="C332" s="261" t="s">
        <v>5988</v>
      </c>
      <c r="D332" s="264" t="s">
        <v>5989</v>
      </c>
      <c r="E332" s="265" t="s">
        <v>5350</v>
      </c>
      <c r="F332" s="268" t="s">
        <v>5967</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5872</v>
      </c>
      <c r="B333" s="260" t="s">
        <v>5964</v>
      </c>
      <c r="C333" s="261" t="s">
        <v>5990</v>
      </c>
      <c r="D333" s="264" t="s">
        <v>5991</v>
      </c>
      <c r="E333" s="265" t="s">
        <v>5350</v>
      </c>
      <c r="F333" s="268" t="s">
        <v>5967</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5872</v>
      </c>
      <c r="B334" s="260" t="s">
        <v>5964</v>
      </c>
      <c r="C334" s="261" t="s">
        <v>5992</v>
      </c>
      <c r="D334" s="264" t="s">
        <v>5993</v>
      </c>
      <c r="E334" s="265" t="s">
        <v>5350</v>
      </c>
      <c r="F334" s="268" t="s">
        <v>5967</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5872</v>
      </c>
      <c r="B335" s="260" t="s">
        <v>5964</v>
      </c>
      <c r="C335" s="261" t="s">
        <v>5994</v>
      </c>
      <c r="D335" s="264" t="s">
        <v>5995</v>
      </c>
      <c r="E335" s="265" t="s">
        <v>5350</v>
      </c>
      <c r="F335" s="268" t="s">
        <v>5967</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5872</v>
      </c>
      <c r="B336" s="260" t="s">
        <v>5964</v>
      </c>
      <c r="C336" s="261" t="s">
        <v>5996</v>
      </c>
      <c r="D336" s="264" t="s">
        <v>5997</v>
      </c>
      <c r="E336" s="265" t="s">
        <v>5465</v>
      </c>
      <c r="F336" s="268" t="s">
        <v>5967</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5872</v>
      </c>
      <c r="B337" s="260" t="s">
        <v>5964</v>
      </c>
      <c r="C337" s="261" t="s">
        <v>5998</v>
      </c>
      <c r="D337" s="264" t="s">
        <v>5999</v>
      </c>
      <c r="E337" s="265" t="s">
        <v>5465</v>
      </c>
      <c r="F337" s="268" t="s">
        <v>5967</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5872</v>
      </c>
      <c r="B338" s="260" t="s">
        <v>5964</v>
      </c>
      <c r="C338" s="261" t="s">
        <v>6000</v>
      </c>
      <c r="D338" s="264" t="s">
        <v>6001</v>
      </c>
      <c r="E338" s="265" t="s">
        <v>5350</v>
      </c>
      <c r="F338" s="268" t="s">
        <v>5967</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5872</v>
      </c>
      <c r="B339" s="260" t="s">
        <v>5964</v>
      </c>
      <c r="C339" s="261" t="s">
        <v>6002</v>
      </c>
      <c r="D339" s="264" t="s">
        <v>6003</v>
      </c>
      <c r="E339" s="265" t="s">
        <v>5350</v>
      </c>
      <c r="F339" s="268" t="s">
        <v>5967</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5872</v>
      </c>
      <c r="B340" s="259" t="s">
        <v>6004</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5872</v>
      </c>
      <c r="B341" s="260" t="s">
        <v>6004</v>
      </c>
      <c r="C341" s="261" t="s">
        <v>6005</v>
      </c>
      <c r="D341" s="264" t="s">
        <v>6006</v>
      </c>
      <c r="E341" s="265" t="s">
        <v>5321</v>
      </c>
      <c r="F341" s="268" t="s">
        <v>5891</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5872</v>
      </c>
      <c r="B342" s="260" t="s">
        <v>6004</v>
      </c>
      <c r="C342" s="261" t="s">
        <v>6007</v>
      </c>
      <c r="D342" s="264" t="s">
        <v>6008</v>
      </c>
      <c r="E342" s="265" t="s">
        <v>5321</v>
      </c>
      <c r="F342" s="268" t="s">
        <v>5891</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5872</v>
      </c>
      <c r="B343" s="260" t="s">
        <v>6004</v>
      </c>
      <c r="C343" s="261" t="s">
        <v>6009</v>
      </c>
      <c r="D343" s="264" t="s">
        <v>6010</v>
      </c>
      <c r="E343" s="265" t="s">
        <v>5417</v>
      </c>
      <c r="F343" s="268" t="s">
        <v>6011</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5872</v>
      </c>
      <c r="B344" s="260" t="s">
        <v>6004</v>
      </c>
      <c r="C344" s="261" t="s">
        <v>6012</v>
      </c>
      <c r="D344" s="264" t="s">
        <v>6013</v>
      </c>
      <c r="E344" s="265" t="s">
        <v>5350</v>
      </c>
      <c r="F344" s="268" t="s">
        <v>6011</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5872</v>
      </c>
      <c r="B345" s="260" t="s">
        <v>6004</v>
      </c>
      <c r="C345" s="261" t="s">
        <v>6014</v>
      </c>
      <c r="D345" s="264" t="s">
        <v>6015</v>
      </c>
      <c r="E345" s="265" t="s">
        <v>5350</v>
      </c>
      <c r="F345" s="268" t="s">
        <v>6011</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5872</v>
      </c>
      <c r="B346" s="260" t="s">
        <v>6004</v>
      </c>
      <c r="C346" s="261" t="s">
        <v>6016</v>
      </c>
      <c r="D346" s="264" t="s">
        <v>6017</v>
      </c>
      <c r="E346" s="265" t="s">
        <v>5350</v>
      </c>
      <c r="F346" s="268" t="s">
        <v>6011</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5872</v>
      </c>
      <c r="B347" s="260" t="s">
        <v>6004</v>
      </c>
      <c r="C347" s="261" t="s">
        <v>6018</v>
      </c>
      <c r="D347" s="264" t="s">
        <v>6019</v>
      </c>
      <c r="E347" s="265" t="s">
        <v>5350</v>
      </c>
      <c r="F347" s="268" t="s">
        <v>6011</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5872</v>
      </c>
      <c r="B348" s="260" t="s">
        <v>6004</v>
      </c>
      <c r="C348" s="261" t="s">
        <v>6020</v>
      </c>
      <c r="D348" s="264" t="s">
        <v>6021</v>
      </c>
      <c r="E348" s="265" t="s">
        <v>5350</v>
      </c>
      <c r="F348" s="268" t="s">
        <v>6011</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5872</v>
      </c>
      <c r="B349" s="260" t="s">
        <v>6004</v>
      </c>
      <c r="C349" s="261" t="s">
        <v>6022</v>
      </c>
      <c r="D349" s="264" t="s">
        <v>6023</v>
      </c>
      <c r="E349" s="265" t="s">
        <v>5350</v>
      </c>
      <c r="F349" s="268" t="s">
        <v>6011</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5872</v>
      </c>
      <c r="B350" s="260" t="s">
        <v>6004</v>
      </c>
      <c r="C350" s="261" t="s">
        <v>6024</v>
      </c>
      <c r="D350" s="264" t="s">
        <v>6025</v>
      </c>
      <c r="E350" s="265" t="s">
        <v>5321</v>
      </c>
      <c r="F350" s="268" t="s">
        <v>6011</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5872</v>
      </c>
      <c r="B351" s="260" t="s">
        <v>6004</v>
      </c>
      <c r="C351" s="261" t="s">
        <v>6026</v>
      </c>
      <c r="D351" s="264" t="s">
        <v>6027</v>
      </c>
      <c r="E351" s="265" t="s">
        <v>5321</v>
      </c>
      <c r="F351" s="268" t="s">
        <v>6011</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5872</v>
      </c>
      <c r="B352" s="260" t="s">
        <v>6004</v>
      </c>
      <c r="C352" s="261" t="s">
        <v>6028</v>
      </c>
      <c r="D352" s="264" t="s">
        <v>6029</v>
      </c>
      <c r="E352" s="265" t="s">
        <v>5321</v>
      </c>
      <c r="F352" s="268" t="s">
        <v>6011</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5872</v>
      </c>
      <c r="B353" s="260" t="s">
        <v>6004</v>
      </c>
      <c r="C353" s="261" t="s">
        <v>6030</v>
      </c>
      <c r="D353" s="264" t="s">
        <v>6031</v>
      </c>
      <c r="E353" s="265" t="s">
        <v>5417</v>
      </c>
      <c r="F353" s="268" t="s">
        <v>5891</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5872</v>
      </c>
      <c r="B354" s="259" t="s">
        <v>6032</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5872</v>
      </c>
      <c r="B355" s="260" t="s">
        <v>6032</v>
      </c>
      <c r="C355" s="261" t="s">
        <v>6033</v>
      </c>
      <c r="D355" s="264" t="s">
        <v>6034</v>
      </c>
      <c r="E355" s="265" t="s">
        <v>5417</v>
      </c>
      <c r="F355" s="268" t="s">
        <v>6035</v>
      </c>
      <c r="G355" s="271">
        <f>IF(COUNTIF(H355:AU355,"&lt;&gt;")=0,"",SUMPRODUCT(((Recommendations[ImplStatus]="Implemented")+(Recommendations[ImplStatus]="Compensated"))*ISNUMBER(MATCH(Recommendations[Id],H355:AU355,0)))/COUNTIF(H355:AU355,"&lt;&gt;"))</f>
        <v>0</v>
      </c>
      <c r="H355" s="272" t="s">
        <v>14</v>
      </c>
      <c r="I355" s="272" t="s">
        <v>92</v>
      </c>
      <c r="J355" s="272" t="s">
        <v>211</v>
      </c>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5872</v>
      </c>
      <c r="B356" s="260" t="s">
        <v>6032</v>
      </c>
      <c r="C356" s="261" t="s">
        <v>6036</v>
      </c>
      <c r="D356" s="264" t="s">
        <v>6037</v>
      </c>
      <c r="E356" s="265" t="s">
        <v>5417</v>
      </c>
      <c r="F356" s="268" t="s">
        <v>6035</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5872</v>
      </c>
      <c r="B357" s="260" t="s">
        <v>6032</v>
      </c>
      <c r="C357" s="261" t="s">
        <v>6038</v>
      </c>
      <c r="D357" s="264" t="s">
        <v>6039</v>
      </c>
      <c r="E357" s="265" t="s">
        <v>5465</v>
      </c>
      <c r="F357" s="268" t="s">
        <v>6035</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5872</v>
      </c>
      <c r="B358" s="260" t="s">
        <v>6032</v>
      </c>
      <c r="C358" s="261" t="s">
        <v>6040</v>
      </c>
      <c r="D358" s="264" t="s">
        <v>6041</v>
      </c>
      <c r="E358" s="265" t="s">
        <v>5465</v>
      </c>
      <c r="F358" s="268" t="s">
        <v>6035</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5872</v>
      </c>
      <c r="B359" s="260" t="s">
        <v>6032</v>
      </c>
      <c r="C359" s="261" t="s">
        <v>6042</v>
      </c>
      <c r="D359" s="264" t="s">
        <v>6043</v>
      </c>
      <c r="E359" s="265" t="s">
        <v>5465</v>
      </c>
      <c r="F359" s="268" t="s">
        <v>6035</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5872</v>
      </c>
      <c r="B360" s="260" t="s">
        <v>6032</v>
      </c>
      <c r="C360" s="261" t="s">
        <v>6044</v>
      </c>
      <c r="D360" s="264" t="s">
        <v>6045</v>
      </c>
      <c r="E360" s="265" t="s">
        <v>5417</v>
      </c>
      <c r="F360" s="268" t="s">
        <v>6035</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5872</v>
      </c>
      <c r="B361" s="260" t="s">
        <v>6032</v>
      </c>
      <c r="C361" s="261" t="s">
        <v>6046</v>
      </c>
      <c r="D361" s="264" t="s">
        <v>6047</v>
      </c>
      <c r="E361" s="265" t="s">
        <v>5350</v>
      </c>
      <c r="F361" s="268" t="s">
        <v>6035</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5872</v>
      </c>
      <c r="B362" s="260" t="s">
        <v>6032</v>
      </c>
      <c r="C362" s="261" t="s">
        <v>6048</v>
      </c>
      <c r="D362" s="264" t="s">
        <v>6049</v>
      </c>
      <c r="E362" s="265" t="s">
        <v>5465</v>
      </c>
      <c r="F362" s="268" t="s">
        <v>6035</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5872</v>
      </c>
      <c r="B363" s="260" t="s">
        <v>6032</v>
      </c>
      <c r="C363" s="261" t="s">
        <v>6050</v>
      </c>
      <c r="D363" s="264" t="s">
        <v>6051</v>
      </c>
      <c r="E363" s="265" t="s">
        <v>5465</v>
      </c>
      <c r="F363" s="268" t="s">
        <v>6035</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5872</v>
      </c>
      <c r="B364" s="260" t="s">
        <v>6032</v>
      </c>
      <c r="C364" s="261" t="s">
        <v>6052</v>
      </c>
      <c r="D364" s="264" t="s">
        <v>6053</v>
      </c>
      <c r="E364" s="265" t="s">
        <v>5465</v>
      </c>
      <c r="F364" s="268" t="s">
        <v>6035</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5872</v>
      </c>
      <c r="B365" s="260" t="s">
        <v>6032</v>
      </c>
      <c r="C365" s="261" t="s">
        <v>6054</v>
      </c>
      <c r="D365" s="264" t="s">
        <v>6055</v>
      </c>
      <c r="E365" s="265" t="s">
        <v>5465</v>
      </c>
      <c r="F365" s="268" t="s">
        <v>6035</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5872</v>
      </c>
      <c r="B366" s="260" t="s">
        <v>6032</v>
      </c>
      <c r="C366" s="261" t="s">
        <v>6056</v>
      </c>
      <c r="D366" s="264" t="s">
        <v>6057</v>
      </c>
      <c r="E366" s="265" t="s">
        <v>5465</v>
      </c>
      <c r="F366" s="268" t="s">
        <v>6035</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5872</v>
      </c>
      <c r="B367" s="260" t="s">
        <v>6032</v>
      </c>
      <c r="C367" s="261" t="s">
        <v>6058</v>
      </c>
      <c r="D367" s="264" t="s">
        <v>6059</v>
      </c>
      <c r="E367" s="265" t="s">
        <v>5465</v>
      </c>
      <c r="F367" s="268" t="s">
        <v>6035</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5872</v>
      </c>
      <c r="B368" s="260" t="s">
        <v>6032</v>
      </c>
      <c r="C368" s="261" t="s">
        <v>6060</v>
      </c>
      <c r="D368" s="264" t="s">
        <v>6061</v>
      </c>
      <c r="E368" s="265" t="s">
        <v>5465</v>
      </c>
      <c r="F368" s="268" t="s">
        <v>6035</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5872</v>
      </c>
      <c r="B369" s="260" t="s">
        <v>6032</v>
      </c>
      <c r="C369" s="261" t="s">
        <v>6062</v>
      </c>
      <c r="D369" s="264" t="s">
        <v>6063</v>
      </c>
      <c r="E369" s="265" t="s">
        <v>5465</v>
      </c>
      <c r="F369" s="268" t="s">
        <v>6035</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6064</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6064</v>
      </c>
      <c r="B371" s="259" t="s">
        <v>6065</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6064</v>
      </c>
      <c r="B372" s="260" t="s">
        <v>6065</v>
      </c>
      <c r="C372" s="261" t="s">
        <v>6066</v>
      </c>
      <c r="D372" s="264" t="s">
        <v>6067</v>
      </c>
      <c r="E372" s="265" t="s">
        <v>5321</v>
      </c>
      <c r="F372" s="268" t="s">
        <v>6068</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6064</v>
      </c>
      <c r="B373" s="260" t="s">
        <v>6065</v>
      </c>
      <c r="C373" s="261" t="s">
        <v>6069</v>
      </c>
      <c r="D373" s="264" t="s">
        <v>6070</v>
      </c>
      <c r="E373" s="265" t="s">
        <v>5321</v>
      </c>
      <c r="F373" s="268" t="s">
        <v>6071</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6064</v>
      </c>
      <c r="B374" s="260" t="s">
        <v>6065</v>
      </c>
      <c r="C374" s="261" t="s">
        <v>6072</v>
      </c>
      <c r="D374" s="264" t="s">
        <v>6073</v>
      </c>
      <c r="E374" s="265" t="s">
        <v>5350</v>
      </c>
      <c r="F374" s="268" t="s">
        <v>6071</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6064</v>
      </c>
      <c r="B375" s="260" t="s">
        <v>6065</v>
      </c>
      <c r="C375" s="261" t="s">
        <v>6074</v>
      </c>
      <c r="D375" s="264" t="s">
        <v>6075</v>
      </c>
      <c r="E375" s="265" t="s">
        <v>5350</v>
      </c>
      <c r="F375" s="268" t="s">
        <v>6071</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6064</v>
      </c>
      <c r="B376" s="260" t="s">
        <v>6065</v>
      </c>
      <c r="C376" s="261" t="s">
        <v>6076</v>
      </c>
      <c r="D376" s="264" t="s">
        <v>6077</v>
      </c>
      <c r="E376" s="265" t="s">
        <v>5350</v>
      </c>
      <c r="F376" s="268" t="s">
        <v>5933</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6064</v>
      </c>
      <c r="B377" s="260" t="s">
        <v>6065</v>
      </c>
      <c r="C377" s="261" t="s">
        <v>6078</v>
      </c>
      <c r="D377" s="264" t="s">
        <v>6079</v>
      </c>
      <c r="E377" s="265" t="s">
        <v>5417</v>
      </c>
      <c r="F377" s="268" t="s">
        <v>5891</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6064</v>
      </c>
      <c r="B378" s="260" t="s">
        <v>6065</v>
      </c>
      <c r="C378" s="261" t="s">
        <v>6080</v>
      </c>
      <c r="D378" s="264" t="s">
        <v>6081</v>
      </c>
      <c r="E378" s="265" t="s">
        <v>5417</v>
      </c>
      <c r="F378" s="268" t="s">
        <v>6071</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6064</v>
      </c>
      <c r="B379" s="260" t="s">
        <v>6065</v>
      </c>
      <c r="C379" s="261" t="s">
        <v>6082</v>
      </c>
      <c r="D379" s="264" t="s">
        <v>6083</v>
      </c>
      <c r="E379" s="265" t="s">
        <v>5417</v>
      </c>
      <c r="F379" s="268" t="s">
        <v>6068</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6064</v>
      </c>
      <c r="B380" s="260" t="s">
        <v>6065</v>
      </c>
      <c r="C380" s="261" t="s">
        <v>6084</v>
      </c>
      <c r="D380" s="264" t="s">
        <v>6085</v>
      </c>
      <c r="E380" s="265" t="s">
        <v>5417</v>
      </c>
      <c r="F380" s="268" t="s">
        <v>6068</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6064</v>
      </c>
      <c r="B381" s="260" t="s">
        <v>6065</v>
      </c>
      <c r="C381" s="261" t="s">
        <v>6086</v>
      </c>
      <c r="D381" s="264" t="s">
        <v>6087</v>
      </c>
      <c r="E381" s="265" t="s">
        <v>5417</v>
      </c>
      <c r="F381" s="268" t="s">
        <v>6068</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6064</v>
      </c>
      <c r="B382" s="260" t="s">
        <v>6065</v>
      </c>
      <c r="C382" s="261" t="s">
        <v>6088</v>
      </c>
      <c r="D382" s="264" t="s">
        <v>6089</v>
      </c>
      <c r="E382" s="265" t="s">
        <v>5465</v>
      </c>
      <c r="F382" s="268" t="s">
        <v>6068</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6064</v>
      </c>
      <c r="B383" s="260" t="s">
        <v>6065</v>
      </c>
      <c r="C383" s="261" t="s">
        <v>6090</v>
      </c>
      <c r="D383" s="264" t="s">
        <v>6091</v>
      </c>
      <c r="E383" s="265" t="s">
        <v>5465</v>
      </c>
      <c r="F383" s="268" t="s">
        <v>6068</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6064</v>
      </c>
      <c r="B384" s="260" t="s">
        <v>6065</v>
      </c>
      <c r="C384" s="261" t="s">
        <v>6092</v>
      </c>
      <c r="D384" s="264" t="s">
        <v>6093</v>
      </c>
      <c r="E384" s="265" t="s">
        <v>5465</v>
      </c>
      <c r="F384" s="268" t="s">
        <v>6068</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6064</v>
      </c>
      <c r="B385" s="260" t="s">
        <v>6065</v>
      </c>
      <c r="C385" s="261" t="s">
        <v>6094</v>
      </c>
      <c r="D385" s="264" t="s">
        <v>6095</v>
      </c>
      <c r="E385" s="265" t="s">
        <v>5417</v>
      </c>
      <c r="F385" s="268" t="s">
        <v>6068</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6064</v>
      </c>
      <c r="B386" s="259" t="s">
        <v>6096</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6064</v>
      </c>
      <c r="B387" s="260" t="s">
        <v>6096</v>
      </c>
      <c r="C387" s="261" t="s">
        <v>6097</v>
      </c>
      <c r="D387" s="264" t="s">
        <v>6098</v>
      </c>
      <c r="E387" s="265" t="s">
        <v>5321</v>
      </c>
      <c r="F387" s="268" t="s">
        <v>6099</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6064</v>
      </c>
      <c r="B388" s="260" t="s">
        <v>6096</v>
      </c>
      <c r="C388" s="261" t="s">
        <v>6100</v>
      </c>
      <c r="D388" s="264" t="s">
        <v>6101</v>
      </c>
      <c r="E388" s="265" t="s">
        <v>5321</v>
      </c>
      <c r="F388" s="268" t="s">
        <v>6099</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6064</v>
      </c>
      <c r="B389" s="260" t="s">
        <v>6096</v>
      </c>
      <c r="C389" s="261" t="s">
        <v>6102</v>
      </c>
      <c r="D389" s="264" t="s">
        <v>6103</v>
      </c>
      <c r="E389" s="265" t="s">
        <v>5600</v>
      </c>
      <c r="F389" s="268" t="s">
        <v>6099</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6064</v>
      </c>
      <c r="B390" s="260" t="s">
        <v>6096</v>
      </c>
      <c r="C390" s="261" t="s">
        <v>6104</v>
      </c>
      <c r="D390" s="264" t="s">
        <v>6105</v>
      </c>
      <c r="E390" s="265" t="s">
        <v>5417</v>
      </c>
      <c r="F390" s="268" t="s">
        <v>6099</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6064</v>
      </c>
      <c r="B391" s="260" t="s">
        <v>6096</v>
      </c>
      <c r="C391" s="261" t="s">
        <v>6106</v>
      </c>
      <c r="D391" s="264" t="s">
        <v>6107</v>
      </c>
      <c r="E391" s="265" t="s">
        <v>5600</v>
      </c>
      <c r="F391" s="268" t="s">
        <v>6099</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6064</v>
      </c>
      <c r="B392" s="260" t="s">
        <v>6096</v>
      </c>
      <c r="C392" s="261" t="s">
        <v>6108</v>
      </c>
      <c r="D392" s="264" t="s">
        <v>6109</v>
      </c>
      <c r="E392" s="265" t="s">
        <v>5350</v>
      </c>
      <c r="F392" s="268" t="s">
        <v>6099</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6064</v>
      </c>
      <c r="B393" s="260" t="s">
        <v>6096</v>
      </c>
      <c r="C393" s="261" t="s">
        <v>6110</v>
      </c>
      <c r="D393" s="264" t="s">
        <v>6111</v>
      </c>
      <c r="E393" s="265" t="s">
        <v>5350</v>
      </c>
      <c r="F393" s="268" t="s">
        <v>6099</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6064</v>
      </c>
      <c r="B394" s="260" t="s">
        <v>6096</v>
      </c>
      <c r="C394" s="261" t="s">
        <v>6112</v>
      </c>
      <c r="D394" s="264" t="s">
        <v>6113</v>
      </c>
      <c r="E394" s="265" t="s">
        <v>5600</v>
      </c>
      <c r="F394" s="268" t="s">
        <v>6099</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6064</v>
      </c>
      <c r="B395" s="260" t="s">
        <v>6096</v>
      </c>
      <c r="C395" s="261" t="s">
        <v>6114</v>
      </c>
      <c r="D395" s="264" t="s">
        <v>6115</v>
      </c>
      <c r="E395" s="265" t="s">
        <v>5417</v>
      </c>
      <c r="F395" s="268" t="s">
        <v>6099</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6064</v>
      </c>
      <c r="B396" s="260" t="s">
        <v>6096</v>
      </c>
      <c r="C396" s="261" t="s">
        <v>6116</v>
      </c>
      <c r="D396" s="264" t="s">
        <v>6117</v>
      </c>
      <c r="E396" s="265" t="s">
        <v>5600</v>
      </c>
      <c r="F396" s="268" t="s">
        <v>6099</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6064</v>
      </c>
      <c r="B397" s="260" t="s">
        <v>6096</v>
      </c>
      <c r="C397" s="261" t="s">
        <v>6118</v>
      </c>
      <c r="D397" s="264" t="s">
        <v>6119</v>
      </c>
      <c r="E397" s="265" t="s">
        <v>5350</v>
      </c>
      <c r="F397" s="268" t="s">
        <v>6099</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6064</v>
      </c>
      <c r="B398" s="260" t="s">
        <v>6096</v>
      </c>
      <c r="C398" s="261" t="s">
        <v>6120</v>
      </c>
      <c r="D398" s="264" t="s">
        <v>6121</v>
      </c>
      <c r="E398" s="265" t="s">
        <v>5465</v>
      </c>
      <c r="F398" s="268" t="s">
        <v>6099</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6064</v>
      </c>
      <c r="B399" s="260" t="s">
        <v>6096</v>
      </c>
      <c r="C399" s="261" t="s">
        <v>6122</v>
      </c>
      <c r="D399" s="264" t="s">
        <v>6123</v>
      </c>
      <c r="E399" s="265" t="s">
        <v>5600</v>
      </c>
      <c r="F399" s="268" t="s">
        <v>6099</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6064</v>
      </c>
      <c r="B400" s="260" t="s">
        <v>6096</v>
      </c>
      <c r="C400" s="261" t="s">
        <v>6124</v>
      </c>
      <c r="D400" s="264" t="s">
        <v>6125</v>
      </c>
      <c r="E400" s="265" t="s">
        <v>5600</v>
      </c>
      <c r="F400" s="268" t="s">
        <v>6099</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6064</v>
      </c>
      <c r="B401" s="260" t="s">
        <v>6096</v>
      </c>
      <c r="C401" s="261" t="s">
        <v>6126</v>
      </c>
      <c r="D401" s="264" t="s">
        <v>6127</v>
      </c>
      <c r="E401" s="265" t="s">
        <v>5350</v>
      </c>
      <c r="F401" s="268" t="s">
        <v>6099</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6064</v>
      </c>
      <c r="B402" s="260" t="s">
        <v>6096</v>
      </c>
      <c r="C402" s="261" t="s">
        <v>6128</v>
      </c>
      <c r="D402" s="264" t="s">
        <v>6129</v>
      </c>
      <c r="E402" s="265" t="s">
        <v>5350</v>
      </c>
      <c r="F402" s="268" t="s">
        <v>6099</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6064</v>
      </c>
      <c r="B403" s="260" t="s">
        <v>6096</v>
      </c>
      <c r="C403" s="261" t="s">
        <v>6130</v>
      </c>
      <c r="D403" s="264" t="s">
        <v>6131</v>
      </c>
      <c r="E403" s="265" t="s">
        <v>5350</v>
      </c>
      <c r="F403" s="268" t="s">
        <v>6099</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6064</v>
      </c>
      <c r="B404" s="260" t="s">
        <v>6096</v>
      </c>
      <c r="C404" s="261" t="s">
        <v>6132</v>
      </c>
      <c r="D404" s="264" t="s">
        <v>6133</v>
      </c>
      <c r="E404" s="265" t="s">
        <v>5465</v>
      </c>
      <c r="F404" s="268" t="s">
        <v>6099</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6064</v>
      </c>
      <c r="B405" s="260" t="s">
        <v>6096</v>
      </c>
      <c r="C405" s="261" t="s">
        <v>6134</v>
      </c>
      <c r="D405" s="264" t="s">
        <v>6135</v>
      </c>
      <c r="E405" s="265" t="s">
        <v>5465</v>
      </c>
      <c r="F405" s="268" t="s">
        <v>6099</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6064</v>
      </c>
      <c r="B406" s="260" t="s">
        <v>6096</v>
      </c>
      <c r="C406" s="261" t="s">
        <v>6136</v>
      </c>
      <c r="D406" s="264" t="s">
        <v>6137</v>
      </c>
      <c r="E406" s="265" t="s">
        <v>5465</v>
      </c>
      <c r="F406" s="268" t="s">
        <v>6138</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6064</v>
      </c>
      <c r="B407" s="260" t="s">
        <v>6096</v>
      </c>
      <c r="C407" s="261" t="s">
        <v>6139</v>
      </c>
      <c r="D407" s="264" t="s">
        <v>6140</v>
      </c>
      <c r="E407" s="265" t="s">
        <v>5465</v>
      </c>
      <c r="F407" s="268" t="s">
        <v>6099</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6064</v>
      </c>
      <c r="B408" s="260" t="s">
        <v>6096</v>
      </c>
      <c r="C408" s="261" t="s">
        <v>6141</v>
      </c>
      <c r="D408" s="264" t="s">
        <v>6142</v>
      </c>
      <c r="E408" s="265" t="s">
        <v>5465</v>
      </c>
      <c r="F408" s="268" t="s">
        <v>6099</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6064</v>
      </c>
      <c r="B409" s="260" t="s">
        <v>6096</v>
      </c>
      <c r="C409" s="261" t="s">
        <v>6143</v>
      </c>
      <c r="D409" s="264" t="s">
        <v>6144</v>
      </c>
      <c r="E409" s="265" t="s">
        <v>5465</v>
      </c>
      <c r="F409" s="268" t="s">
        <v>6145</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6064</v>
      </c>
      <c r="B410" s="259" t="s">
        <v>6146</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6064</v>
      </c>
      <c r="B411" s="260" t="s">
        <v>6146</v>
      </c>
      <c r="C411" s="261" t="s">
        <v>6147</v>
      </c>
      <c r="D411" s="264" t="s">
        <v>6148</v>
      </c>
      <c r="E411" s="265" t="s">
        <v>5321</v>
      </c>
      <c r="F411" s="268" t="s">
        <v>6071</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6064</v>
      </c>
      <c r="B412" s="260" t="s">
        <v>6146</v>
      </c>
      <c r="C412" s="261" t="s">
        <v>6149</v>
      </c>
      <c r="D412" s="264" t="s">
        <v>6150</v>
      </c>
      <c r="E412" s="265" t="s">
        <v>5321</v>
      </c>
      <c r="F412" s="268" t="s">
        <v>6071</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6064</v>
      </c>
      <c r="B413" s="260" t="s">
        <v>6146</v>
      </c>
      <c r="C413" s="261" t="s">
        <v>6151</v>
      </c>
      <c r="D413" s="264" t="s">
        <v>6152</v>
      </c>
      <c r="E413" s="265" t="s">
        <v>5321</v>
      </c>
      <c r="F413" s="268" t="s">
        <v>6071</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6064</v>
      </c>
      <c r="B414" s="260" t="s">
        <v>6146</v>
      </c>
      <c r="C414" s="261" t="s">
        <v>6153</v>
      </c>
      <c r="D414" s="264" t="s">
        <v>6154</v>
      </c>
      <c r="E414" s="265" t="s">
        <v>5321</v>
      </c>
      <c r="F414" s="268" t="s">
        <v>6071</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6064</v>
      </c>
      <c r="B415" s="260" t="s">
        <v>6146</v>
      </c>
      <c r="C415" s="261" t="s">
        <v>6155</v>
      </c>
      <c r="D415" s="264" t="s">
        <v>6156</v>
      </c>
      <c r="E415" s="265" t="s">
        <v>5350</v>
      </c>
      <c r="F415" s="268" t="s">
        <v>6071</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6064</v>
      </c>
      <c r="B416" s="260" t="s">
        <v>6146</v>
      </c>
      <c r="C416" s="261" t="s">
        <v>6157</v>
      </c>
      <c r="D416" s="264" t="s">
        <v>6158</v>
      </c>
      <c r="E416" s="265" t="s">
        <v>5350</v>
      </c>
      <c r="F416" s="268" t="s">
        <v>6159</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6064</v>
      </c>
      <c r="B417" s="260" t="s">
        <v>6146</v>
      </c>
      <c r="C417" s="261" t="s">
        <v>6160</v>
      </c>
      <c r="D417" s="264" t="s">
        <v>6161</v>
      </c>
      <c r="E417" s="265" t="s">
        <v>5350</v>
      </c>
      <c r="F417" s="268" t="s">
        <v>6159</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6064</v>
      </c>
      <c r="B418" s="260" t="s">
        <v>6146</v>
      </c>
      <c r="C418" s="261" t="s">
        <v>6162</v>
      </c>
      <c r="D418" s="264" t="s">
        <v>6163</v>
      </c>
      <c r="E418" s="265" t="s">
        <v>5600</v>
      </c>
      <c r="F418" s="268" t="s">
        <v>6159</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6064</v>
      </c>
      <c r="B419" s="260" t="s">
        <v>6146</v>
      </c>
      <c r="C419" s="261" t="s">
        <v>6164</v>
      </c>
      <c r="D419" s="264" t="s">
        <v>6165</v>
      </c>
      <c r="E419" s="265" t="s">
        <v>5350</v>
      </c>
      <c r="F419" s="268" t="s">
        <v>6159</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6064</v>
      </c>
      <c r="B420" s="260" t="s">
        <v>6146</v>
      </c>
      <c r="C420" s="261" t="s">
        <v>6166</v>
      </c>
      <c r="D420" s="264" t="s">
        <v>6167</v>
      </c>
      <c r="E420" s="265" t="s">
        <v>5600</v>
      </c>
      <c r="F420" s="268" t="s">
        <v>6159</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6064</v>
      </c>
      <c r="B421" s="260" t="s">
        <v>6146</v>
      </c>
      <c r="C421" s="261" t="s">
        <v>6168</v>
      </c>
      <c r="D421" s="264" t="s">
        <v>6169</v>
      </c>
      <c r="E421" s="265" t="s">
        <v>5600</v>
      </c>
      <c r="F421" s="268" t="s">
        <v>6159</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6064</v>
      </c>
      <c r="B422" s="260" t="s">
        <v>6146</v>
      </c>
      <c r="C422" s="261" t="s">
        <v>6170</v>
      </c>
      <c r="D422" s="264" t="s">
        <v>6171</v>
      </c>
      <c r="E422" s="265" t="s">
        <v>5350</v>
      </c>
      <c r="F422" s="268" t="s">
        <v>6159</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6064</v>
      </c>
      <c r="B423" s="260" t="s">
        <v>6146</v>
      </c>
      <c r="C423" s="261" t="s">
        <v>6172</v>
      </c>
      <c r="D423" s="264" t="s">
        <v>6173</v>
      </c>
      <c r="E423" s="265" t="s">
        <v>5350</v>
      </c>
      <c r="F423" s="268" t="s">
        <v>6159</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6174</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6174</v>
      </c>
      <c r="B425" s="259" t="s">
        <v>6175</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6174</v>
      </c>
      <c r="B426" s="260" t="s">
        <v>6175</v>
      </c>
      <c r="C426" s="261" t="s">
        <v>6176</v>
      </c>
      <c r="D426" s="264" t="s">
        <v>6177</v>
      </c>
      <c r="E426" s="265" t="s">
        <v>5321</v>
      </c>
      <c r="F426" s="268" t="s">
        <v>6138</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6174</v>
      </c>
      <c r="B427" s="260" t="s">
        <v>6175</v>
      </c>
      <c r="C427" s="261" t="s">
        <v>6178</v>
      </c>
      <c r="D427" s="264" t="s">
        <v>6179</v>
      </c>
      <c r="E427" s="265" t="s">
        <v>5321</v>
      </c>
      <c r="F427" s="268" t="s">
        <v>6138</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6174</v>
      </c>
      <c r="B428" s="260" t="s">
        <v>6175</v>
      </c>
      <c r="C428" s="261" t="s">
        <v>6180</v>
      </c>
      <c r="D428" s="264" t="s">
        <v>6181</v>
      </c>
      <c r="E428" s="265" t="s">
        <v>5600</v>
      </c>
      <c r="F428" s="268" t="s">
        <v>6138</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6174</v>
      </c>
      <c r="B429" s="260" t="s">
        <v>6175</v>
      </c>
      <c r="C429" s="261" t="s">
        <v>6182</v>
      </c>
      <c r="D429" s="264" t="s">
        <v>6183</v>
      </c>
      <c r="E429" s="265" t="s">
        <v>5350</v>
      </c>
      <c r="F429" s="268" t="s">
        <v>6138</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6174</v>
      </c>
      <c r="B430" s="260" t="s">
        <v>6175</v>
      </c>
      <c r="C430" s="261" t="s">
        <v>6184</v>
      </c>
      <c r="D430" s="264" t="s">
        <v>6185</v>
      </c>
      <c r="E430" s="265" t="s">
        <v>5350</v>
      </c>
      <c r="F430" s="268" t="s">
        <v>6138</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6174</v>
      </c>
      <c r="B431" s="260" t="s">
        <v>6175</v>
      </c>
      <c r="C431" s="261" t="s">
        <v>6186</v>
      </c>
      <c r="D431" s="264" t="s">
        <v>6187</v>
      </c>
      <c r="E431" s="265" t="s">
        <v>5600</v>
      </c>
      <c r="F431" s="268" t="s">
        <v>6138</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6174</v>
      </c>
      <c r="B432" s="260" t="s">
        <v>6175</v>
      </c>
      <c r="C432" s="261" t="s">
        <v>6188</v>
      </c>
      <c r="D432" s="264" t="s">
        <v>6189</v>
      </c>
      <c r="E432" s="265" t="s">
        <v>5600</v>
      </c>
      <c r="F432" s="268" t="s">
        <v>6138</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6174</v>
      </c>
      <c r="B433" s="260" t="s">
        <v>6175</v>
      </c>
      <c r="C433" s="261" t="s">
        <v>6190</v>
      </c>
      <c r="D433" s="264" t="s">
        <v>6191</v>
      </c>
      <c r="E433" s="265" t="s">
        <v>5417</v>
      </c>
      <c r="F433" s="268" t="s">
        <v>6138</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6174</v>
      </c>
      <c r="B434" s="260" t="s">
        <v>6175</v>
      </c>
      <c r="C434" s="261" t="s">
        <v>6192</v>
      </c>
      <c r="D434" s="264" t="s">
        <v>6193</v>
      </c>
      <c r="E434" s="265" t="s">
        <v>5417</v>
      </c>
      <c r="F434" s="268" t="s">
        <v>6138</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6174</v>
      </c>
      <c r="B435" s="260" t="s">
        <v>6175</v>
      </c>
      <c r="C435" s="261" t="s">
        <v>6194</v>
      </c>
      <c r="D435" s="264" t="s">
        <v>6195</v>
      </c>
      <c r="E435" s="265" t="s">
        <v>5350</v>
      </c>
      <c r="F435" s="268" t="s">
        <v>6138</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6174</v>
      </c>
      <c r="B436" s="260" t="s">
        <v>6175</v>
      </c>
      <c r="C436" s="261" t="s">
        <v>6196</v>
      </c>
      <c r="D436" s="264" t="s">
        <v>6197</v>
      </c>
      <c r="E436" s="265" t="s">
        <v>5417</v>
      </c>
      <c r="F436" s="268" t="s">
        <v>6138</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6174</v>
      </c>
      <c r="B437" s="260" t="s">
        <v>6175</v>
      </c>
      <c r="C437" s="261" t="s">
        <v>6198</v>
      </c>
      <c r="D437" s="264" t="s">
        <v>6199</v>
      </c>
      <c r="E437" s="265" t="s">
        <v>5350</v>
      </c>
      <c r="F437" s="268" t="s">
        <v>6138</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6174</v>
      </c>
      <c r="B438" s="259" t="s">
        <v>6200</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6174</v>
      </c>
      <c r="B439" s="260" t="s">
        <v>6200</v>
      </c>
      <c r="C439" s="261" t="s">
        <v>6201</v>
      </c>
      <c r="D439" s="264" t="s">
        <v>6202</v>
      </c>
      <c r="E439" s="265" t="s">
        <v>5321</v>
      </c>
      <c r="F439" s="268" t="s">
        <v>6203</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6174</v>
      </c>
      <c r="B440" s="260" t="s">
        <v>6200</v>
      </c>
      <c r="C440" s="261" t="s">
        <v>6204</v>
      </c>
      <c r="D440" s="264" t="s">
        <v>6205</v>
      </c>
      <c r="E440" s="265" t="s">
        <v>5321</v>
      </c>
      <c r="F440" s="268" t="s">
        <v>6203</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6174</v>
      </c>
      <c r="B441" s="260" t="s">
        <v>6200</v>
      </c>
      <c r="C441" s="261" t="s">
        <v>6206</v>
      </c>
      <c r="D441" s="264" t="s">
        <v>6207</v>
      </c>
      <c r="E441" s="265" t="s">
        <v>5321</v>
      </c>
      <c r="F441" s="268" t="s">
        <v>6203</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6174</v>
      </c>
      <c r="B442" s="260" t="s">
        <v>6200</v>
      </c>
      <c r="C442" s="261" t="s">
        <v>6208</v>
      </c>
      <c r="D442" s="264" t="s">
        <v>6209</v>
      </c>
      <c r="E442" s="265" t="s">
        <v>5321</v>
      </c>
      <c r="F442" s="268" t="s">
        <v>6203</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6174</v>
      </c>
      <c r="B443" s="260" t="s">
        <v>6200</v>
      </c>
      <c r="C443" s="261" t="s">
        <v>6210</v>
      </c>
      <c r="D443" s="264" t="s">
        <v>6211</v>
      </c>
      <c r="E443" s="265" t="s">
        <v>5350</v>
      </c>
      <c r="F443" s="268" t="s">
        <v>6203</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6174</v>
      </c>
      <c r="B444" s="260" t="s">
        <v>6200</v>
      </c>
      <c r="C444" s="261" t="s">
        <v>6212</v>
      </c>
      <c r="D444" s="264" t="s">
        <v>6213</v>
      </c>
      <c r="E444" s="265" t="s">
        <v>5350</v>
      </c>
      <c r="F444" s="268" t="s">
        <v>6203</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6174</v>
      </c>
      <c r="B445" s="260" t="s">
        <v>6200</v>
      </c>
      <c r="C445" s="261" t="s">
        <v>6214</v>
      </c>
      <c r="D445" s="264" t="s">
        <v>6215</v>
      </c>
      <c r="E445" s="265" t="s">
        <v>5350</v>
      </c>
      <c r="F445" s="268" t="s">
        <v>6203</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6174</v>
      </c>
      <c r="B446" s="260" t="s">
        <v>6200</v>
      </c>
      <c r="C446" s="261" t="s">
        <v>6216</v>
      </c>
      <c r="D446" s="264" t="s">
        <v>6217</v>
      </c>
      <c r="E446" s="265" t="s">
        <v>5465</v>
      </c>
      <c r="F446" s="268" t="s">
        <v>6203</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6174</v>
      </c>
      <c r="B447" s="260" t="s">
        <v>6200</v>
      </c>
      <c r="C447" s="261" t="s">
        <v>6218</v>
      </c>
      <c r="D447" s="264" t="s">
        <v>6219</v>
      </c>
      <c r="E447" s="265" t="s">
        <v>5350</v>
      </c>
      <c r="F447" s="268" t="s">
        <v>6203</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6174</v>
      </c>
      <c r="B448" s="260" t="s">
        <v>6200</v>
      </c>
      <c r="C448" s="261" t="s">
        <v>6220</v>
      </c>
      <c r="D448" s="264" t="s">
        <v>6221</v>
      </c>
      <c r="E448" s="265" t="s">
        <v>5465</v>
      </c>
      <c r="F448" s="268" t="s">
        <v>6203</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6174</v>
      </c>
      <c r="B449" s="260" t="s">
        <v>6200</v>
      </c>
      <c r="C449" s="261" t="s">
        <v>6222</v>
      </c>
      <c r="D449" s="264" t="s">
        <v>6223</v>
      </c>
      <c r="E449" s="265" t="s">
        <v>5465</v>
      </c>
      <c r="F449" s="268" t="s">
        <v>6203</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6224</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6224</v>
      </c>
      <c r="B451" s="259" t="s">
        <v>6225</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6224</v>
      </c>
      <c r="B452" s="260" t="s">
        <v>6225</v>
      </c>
      <c r="C452" s="261" t="s">
        <v>6226</v>
      </c>
      <c r="D452" s="264" t="s">
        <v>6227</v>
      </c>
      <c r="E452" s="265" t="s">
        <v>5321</v>
      </c>
      <c r="F452" s="268" t="s">
        <v>6228</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6224</v>
      </c>
      <c r="B453" s="260" t="s">
        <v>6225</v>
      </c>
      <c r="C453" s="261" t="s">
        <v>6229</v>
      </c>
      <c r="D453" s="264" t="s">
        <v>6230</v>
      </c>
      <c r="E453" s="265" t="s">
        <v>5321</v>
      </c>
      <c r="F453" s="268" t="s">
        <v>6228</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6224</v>
      </c>
      <c r="B454" s="260" t="s">
        <v>6225</v>
      </c>
      <c r="C454" s="261" t="s">
        <v>6231</v>
      </c>
      <c r="D454" s="264" t="s">
        <v>6232</v>
      </c>
      <c r="E454" s="265" t="s">
        <v>5321</v>
      </c>
      <c r="F454" s="268" t="s">
        <v>6228</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6224</v>
      </c>
      <c r="B455" s="260" t="s">
        <v>6225</v>
      </c>
      <c r="C455" s="261" t="s">
        <v>6233</v>
      </c>
      <c r="D455" s="264" t="s">
        <v>6234</v>
      </c>
      <c r="E455" s="265" t="s">
        <v>5321</v>
      </c>
      <c r="F455" s="268" t="s">
        <v>6228</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6224</v>
      </c>
      <c r="B456" s="260" t="s">
        <v>6225</v>
      </c>
      <c r="C456" s="261" t="s">
        <v>6235</v>
      </c>
      <c r="D456" s="264" t="s">
        <v>6236</v>
      </c>
      <c r="E456" s="265" t="s">
        <v>5321</v>
      </c>
      <c r="F456" s="268" t="s">
        <v>6228</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6224</v>
      </c>
      <c r="B457" s="260" t="s">
        <v>6225</v>
      </c>
      <c r="C457" s="261" t="s">
        <v>6237</v>
      </c>
      <c r="D457" s="264" t="s">
        <v>6238</v>
      </c>
      <c r="E457" s="265" t="s">
        <v>5350</v>
      </c>
      <c r="F457" s="268" t="s">
        <v>6228</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6224</v>
      </c>
      <c r="B458" s="260" t="s">
        <v>6225</v>
      </c>
      <c r="C458" s="261" t="s">
        <v>6239</v>
      </c>
      <c r="D458" s="264" t="s">
        <v>6240</v>
      </c>
      <c r="E458" s="265" t="s">
        <v>5350</v>
      </c>
      <c r="F458" s="268" t="s">
        <v>6228</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6224</v>
      </c>
      <c r="B459" s="260" t="s">
        <v>6225</v>
      </c>
      <c r="C459" s="261" t="s">
        <v>6241</v>
      </c>
      <c r="D459" s="264" t="s">
        <v>6242</v>
      </c>
      <c r="E459" s="265" t="s">
        <v>5350</v>
      </c>
      <c r="F459" s="268" t="s">
        <v>6228</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6224</v>
      </c>
      <c r="B460" s="260" t="s">
        <v>6225</v>
      </c>
      <c r="C460" s="261" t="s">
        <v>6243</v>
      </c>
      <c r="D460" s="264" t="s">
        <v>6244</v>
      </c>
      <c r="E460" s="265" t="s">
        <v>5350</v>
      </c>
      <c r="F460" s="268" t="s">
        <v>6228</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6224</v>
      </c>
      <c r="B461" s="260" t="s">
        <v>6225</v>
      </c>
      <c r="C461" s="261" t="s">
        <v>6245</v>
      </c>
      <c r="D461" s="264" t="s">
        <v>6246</v>
      </c>
      <c r="E461" s="265" t="s">
        <v>5350</v>
      </c>
      <c r="F461" s="268" t="s">
        <v>6228</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6224</v>
      </c>
      <c r="B462" s="260" t="s">
        <v>6225</v>
      </c>
      <c r="C462" s="261" t="s">
        <v>6247</v>
      </c>
      <c r="D462" s="264" t="s">
        <v>6248</v>
      </c>
      <c r="E462" s="265" t="s">
        <v>5350</v>
      </c>
      <c r="F462" s="268" t="s">
        <v>6228</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6224</v>
      </c>
      <c r="B463" s="260" t="s">
        <v>6225</v>
      </c>
      <c r="C463" s="261" t="s">
        <v>6249</v>
      </c>
      <c r="D463" s="264" t="s">
        <v>6250</v>
      </c>
      <c r="E463" s="265" t="s">
        <v>5350</v>
      </c>
      <c r="F463" s="268" t="s">
        <v>6228</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6224</v>
      </c>
      <c r="B464" s="260" t="s">
        <v>6225</v>
      </c>
      <c r="C464" s="261" t="s">
        <v>6251</v>
      </c>
      <c r="D464" s="264" t="s">
        <v>6252</v>
      </c>
      <c r="E464" s="265" t="s">
        <v>5350</v>
      </c>
      <c r="F464" s="268" t="s">
        <v>6228</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6224</v>
      </c>
      <c r="B465" s="260" t="s">
        <v>6225</v>
      </c>
      <c r="C465" s="261" t="s">
        <v>6253</v>
      </c>
      <c r="D465" s="264" t="s">
        <v>6254</v>
      </c>
      <c r="E465" s="265" t="s">
        <v>5350</v>
      </c>
      <c r="F465" s="268" t="s">
        <v>6228</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6224</v>
      </c>
      <c r="B466" s="259" t="s">
        <v>6255</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6224</v>
      </c>
      <c r="B467" s="260" t="s">
        <v>6255</v>
      </c>
      <c r="C467" s="261" t="s">
        <v>6256</v>
      </c>
      <c r="D467" s="264" t="s">
        <v>6257</v>
      </c>
      <c r="E467" s="265" t="s">
        <v>5321</v>
      </c>
      <c r="F467" s="268" t="s">
        <v>5460</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6224</v>
      </c>
      <c r="B468" s="260" t="s">
        <v>6255</v>
      </c>
      <c r="C468" s="261" t="s">
        <v>6258</v>
      </c>
      <c r="D468" s="264" t="s">
        <v>6259</v>
      </c>
      <c r="E468" s="265" t="s">
        <v>5321</v>
      </c>
      <c r="F468" s="268" t="s">
        <v>5460</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6224</v>
      </c>
      <c r="B469" s="260" t="s">
        <v>6255</v>
      </c>
      <c r="C469" s="261" t="s">
        <v>6260</v>
      </c>
      <c r="D469" s="264" t="s">
        <v>6261</v>
      </c>
      <c r="E469" s="265" t="s">
        <v>5321</v>
      </c>
      <c r="F469" s="268" t="s">
        <v>5460</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6224</v>
      </c>
      <c r="B470" s="260" t="s">
        <v>6255</v>
      </c>
      <c r="C470" s="261" t="s">
        <v>6262</v>
      </c>
      <c r="D470" s="264" t="s">
        <v>6263</v>
      </c>
      <c r="E470" s="265" t="s">
        <v>5417</v>
      </c>
      <c r="F470" s="268" t="s">
        <v>5829</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6224</v>
      </c>
      <c r="B471" s="260" t="s">
        <v>6255</v>
      </c>
      <c r="C471" s="261" t="s">
        <v>6264</v>
      </c>
      <c r="D471" s="264" t="s">
        <v>6265</v>
      </c>
      <c r="E471" s="265" t="s">
        <v>5417</v>
      </c>
      <c r="F471" s="268" t="s">
        <v>5829</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6224</v>
      </c>
      <c r="B472" s="260" t="s">
        <v>6255</v>
      </c>
      <c r="C472" s="261" t="s">
        <v>6266</v>
      </c>
      <c r="D472" s="264" t="s">
        <v>6267</v>
      </c>
      <c r="E472" s="265" t="s">
        <v>5321</v>
      </c>
      <c r="F472" s="268" t="s">
        <v>5829</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6224</v>
      </c>
      <c r="B473" s="260" t="s">
        <v>6255</v>
      </c>
      <c r="C473" s="261" t="s">
        <v>6268</v>
      </c>
      <c r="D473" s="264" t="s">
        <v>6269</v>
      </c>
      <c r="E473" s="265" t="s">
        <v>5321</v>
      </c>
      <c r="F473" s="268" t="s">
        <v>5768</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6224</v>
      </c>
      <c r="B474" s="260" t="s">
        <v>6255</v>
      </c>
      <c r="C474" s="261" t="s">
        <v>6270</v>
      </c>
      <c r="D474" s="264" t="s">
        <v>6271</v>
      </c>
      <c r="E474" s="265" t="s">
        <v>5350</v>
      </c>
      <c r="F474" s="268" t="s">
        <v>5768</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6224</v>
      </c>
      <c r="B475" s="260" t="s">
        <v>6255</v>
      </c>
      <c r="C475" s="261" t="s">
        <v>6272</v>
      </c>
      <c r="D475" s="264" t="s">
        <v>6273</v>
      </c>
      <c r="E475" s="265" t="s">
        <v>5350</v>
      </c>
      <c r="F475" s="268" t="s">
        <v>5768</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6224</v>
      </c>
      <c r="B476" s="260" t="s">
        <v>6255</v>
      </c>
      <c r="C476" s="261" t="s">
        <v>6274</v>
      </c>
      <c r="D476" s="264" t="s">
        <v>6275</v>
      </c>
      <c r="E476" s="265" t="s">
        <v>5350</v>
      </c>
      <c r="F476" s="268" t="s">
        <v>5768</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6224</v>
      </c>
      <c r="B477" s="260" t="s">
        <v>6255</v>
      </c>
      <c r="C477" s="261" t="s">
        <v>6276</v>
      </c>
      <c r="D477" s="264" t="s">
        <v>6277</v>
      </c>
      <c r="E477" s="265" t="s">
        <v>5350</v>
      </c>
      <c r="F477" s="268" t="s">
        <v>5768</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6224</v>
      </c>
      <c r="B478" s="260" t="s">
        <v>6255</v>
      </c>
      <c r="C478" s="261" t="s">
        <v>6278</v>
      </c>
      <c r="D478" s="264" t="s">
        <v>6279</v>
      </c>
      <c r="E478" s="265" t="s">
        <v>5350</v>
      </c>
      <c r="F478" s="268" t="s">
        <v>5829</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6224</v>
      </c>
      <c r="B479" s="260" t="s">
        <v>6255</v>
      </c>
      <c r="C479" s="261" t="s">
        <v>6280</v>
      </c>
      <c r="D479" s="264" t="s">
        <v>6281</v>
      </c>
      <c r="E479" s="265" t="s">
        <v>5465</v>
      </c>
      <c r="F479" s="268" t="s">
        <v>5829</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6224</v>
      </c>
      <c r="B480" s="260" t="s">
        <v>6255</v>
      </c>
      <c r="C480" s="261" t="s">
        <v>6282</v>
      </c>
      <c r="D480" s="264" t="s">
        <v>6283</v>
      </c>
      <c r="E480" s="265" t="s">
        <v>5465</v>
      </c>
      <c r="F480" s="268" t="s">
        <v>5829</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6224</v>
      </c>
      <c r="B481" s="273" t="s">
        <v>6255</v>
      </c>
      <c r="C481" s="274" t="s">
        <v>6284</v>
      </c>
      <c r="D481" s="275" t="s">
        <v>6285</v>
      </c>
      <c r="E481" s="276" t="s">
        <v>5465</v>
      </c>
      <c r="F481" s="277" t="s">
        <v>5460</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575</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IFERROR(INDEX('Recommendations'!$H$2:$H$111, MATCH(H2,'Recommendations'!$A$2:$A$111,0))="Implemented", FALSE))</xm:f>
            <x14:dxf>
              <font>
                <color rgb="FF000000"/>
              </font>
              <fill>
                <patternFill>
                  <bgColor rgb="FF3C7D22"/>
                </patternFill>
              </fill>
            </x14:dxf>
          </x14:cfRule>
          <x14:cfRule type="expression" priority="2" id="{00000000-000E-0000-0B00-000002000000}">
            <xm:f>AND(H2&lt;&gt;"", IFERROR(INDEX('Recommendations'!$H$2:$H$111, MATCH(H2,'Recommendations'!$A$2:$A$111,0))="Compensated", FALSE))</xm:f>
            <x14:dxf>
              <font>
                <color rgb="FF000000"/>
              </font>
              <fill>
                <patternFill>
                  <bgColor rgb="FFC6E0B4"/>
                </patternFill>
              </fill>
            </x14:dxf>
          </x14:cfRule>
          <x14:cfRule type="expression" priority="3" id="{00000000-000E-0000-0B00-000003000000}">
            <xm:f>AND(H2&lt;&gt;"", IFERROR(INDEX('Recommendations'!$H$2:$H$111, MATCH(H2,'Recommendations'!$A$2:$A$111,0))="Testing", FALSE))</xm:f>
            <x14:dxf>
              <font>
                <color rgb="FF000000"/>
              </font>
              <fill>
                <patternFill>
                  <bgColor rgb="FFFFC000"/>
                </patternFill>
              </fill>
            </x14:dxf>
          </x14:cfRule>
          <x14:cfRule type="expression" priority="4" id="{00000000-000E-0000-0B00-000004000000}">
            <xm:f>AND(H2&lt;&gt;"", IFERROR(INDEX('Recommendations'!$H$2:$H$111, MATCH(H2,'Recommendations'!$A$2:$A$111,0))="Failed", FALSE))</xm:f>
            <x14:dxf>
              <font>
                <color rgb="FF000000"/>
              </font>
              <fill>
                <patternFill>
                  <bgColor rgb="FFD82891"/>
                </patternFill>
              </fill>
            </x14:dxf>
          </x14:cfRule>
          <x14:cfRule type="expression" priority="5" id="{00000000-000E-0000-0B00-000005000000}">
            <xm:f>AND(H2&lt;&gt;"", IFERROR(INDEX('Recommendations'!$H$2:$H$111, MATCH(H2,'Recommendations'!$A$2:$A$111,0))="Risk Accepted", FALSE))</xm:f>
            <x14:dxf>
              <font>
                <color rgb="FF000000"/>
              </font>
              <fill>
                <patternFill>
                  <bgColor rgb="FFD9D9D9"/>
                </patternFill>
              </fill>
            </x14:dxf>
          </x14:cfRule>
          <x14:cfRule type="expression" priority="6" id="{00000000-000E-0000-0B00-000006000000}">
            <xm:f>AND(H2&lt;&gt;"", IFERROR(INDEX('Recommendations'!$H$2:$H$111, MATCH(H2,'Recommendations'!$A$2:$A$111,0))="N/A",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36" width="9.1796875" style="18" customWidth="1"/>
    <col min="37" max="16384" width="9.1796875" style="18"/>
  </cols>
  <sheetData>
    <row r="2" spans="2:15" ht="31" x14ac:dyDescent="0.35">
      <c r="B2" s="292" t="s">
        <v>665</v>
      </c>
      <c r="C2" s="293"/>
      <c r="D2" s="293"/>
      <c r="E2" s="293"/>
      <c r="F2" s="293"/>
      <c r="G2" s="293"/>
      <c r="H2" s="293"/>
      <c r="I2" s="293"/>
    </row>
    <row r="4" spans="2:15" ht="18.5" x14ac:dyDescent="0.45">
      <c r="B4" s="42" t="s">
        <v>666</v>
      </c>
    </row>
    <row r="5" spans="2:15" x14ac:dyDescent="0.35">
      <c r="B5" s="44" t="s">
        <v>21</v>
      </c>
      <c r="C5" s="44" t="s">
        <v>667</v>
      </c>
      <c r="D5" s="44" t="s">
        <v>668</v>
      </c>
      <c r="F5" s="294" t="s">
        <v>669</v>
      </c>
      <c r="G5" s="294"/>
      <c r="H5" s="294"/>
      <c r="I5" s="295" t="s">
        <v>670</v>
      </c>
      <c r="J5" s="295"/>
      <c r="K5" s="295"/>
      <c r="L5" s="295"/>
      <c r="M5" s="295"/>
      <c r="N5" s="295"/>
      <c r="O5" s="295"/>
    </row>
    <row r="6" spans="2:15" x14ac:dyDescent="0.35">
      <c r="B6" s="50" t="s">
        <v>671</v>
      </c>
      <c r="C6" s="51">
        <v>110</v>
      </c>
      <c r="D6" s="52" t="s">
        <v>21</v>
      </c>
      <c r="F6" s="294" t="s">
        <v>672</v>
      </c>
      <c r="G6" s="294"/>
      <c r="H6" s="294"/>
      <c r="I6" s="296" t="s">
        <v>673</v>
      </c>
      <c r="J6" s="296"/>
      <c r="K6" s="296"/>
      <c r="L6" s="296"/>
      <c r="M6" s="296"/>
      <c r="N6" s="296"/>
      <c r="O6" s="296"/>
    </row>
    <row r="7" spans="2:15" x14ac:dyDescent="0.35">
      <c r="B7" s="53" t="s">
        <v>674</v>
      </c>
      <c r="C7" s="54">
        <f>C6-C8-C9</f>
        <v>110</v>
      </c>
      <c r="D7" s="55">
        <f>IF(C6&gt;0,C7/C6,0)</f>
        <v>1</v>
      </c>
      <c r="F7" s="294" t="s">
        <v>675</v>
      </c>
      <c r="G7" s="294"/>
      <c r="H7" s="294"/>
      <c r="I7" s="296" t="s">
        <v>673</v>
      </c>
      <c r="J7" s="296"/>
      <c r="K7" s="296"/>
      <c r="L7" s="296"/>
      <c r="M7" s="296"/>
      <c r="N7" s="296"/>
      <c r="O7" s="296"/>
    </row>
    <row r="8" spans="2:15" x14ac:dyDescent="0.35">
      <c r="B8" s="46" t="s">
        <v>676</v>
      </c>
      <c r="C8" s="47">
        <f>COUNTIF('Recommendations'!H:H,"Risk Accepted")</f>
        <v>0</v>
      </c>
      <c r="D8" s="48">
        <f>IF(C6&gt;0,C8/C6,0)</f>
        <v>0</v>
      </c>
      <c r="F8" s="294" t="s">
        <v>677</v>
      </c>
      <c r="G8" s="294"/>
      <c r="H8" s="294"/>
      <c r="I8" s="296" t="s">
        <v>673</v>
      </c>
      <c r="J8" s="296"/>
      <c r="K8" s="296"/>
      <c r="L8" s="296"/>
      <c r="M8" s="296"/>
      <c r="N8" s="296"/>
      <c r="O8" s="296"/>
    </row>
    <row r="9" spans="2:15" x14ac:dyDescent="0.35">
      <c r="B9" s="46" t="s">
        <v>678</v>
      </c>
      <c r="C9" s="47">
        <f>COUNTIF('Recommendations'!H:H,"N/A")</f>
        <v>0</v>
      </c>
      <c r="D9" s="48">
        <f>IF(C6&gt;0,C9/C6,0)</f>
        <v>0</v>
      </c>
      <c r="F9" s="294" t="s">
        <v>679</v>
      </c>
      <c r="G9" s="294"/>
      <c r="H9" s="294"/>
      <c r="I9" s="296" t="s">
        <v>673</v>
      </c>
      <c r="J9" s="296"/>
      <c r="K9" s="296"/>
      <c r="L9" s="296"/>
      <c r="M9" s="296"/>
      <c r="N9" s="296"/>
      <c r="O9" s="296"/>
    </row>
    <row r="12" spans="2:15" ht="18.5" x14ac:dyDescent="0.45">
      <c r="B12" s="42" t="s">
        <v>680</v>
      </c>
    </row>
    <row r="14" spans="2:15" x14ac:dyDescent="0.35">
      <c r="B14" s="56" t="s">
        <v>681</v>
      </c>
    </row>
    <row r="15" spans="2:15" x14ac:dyDescent="0.35">
      <c r="B15" s="44" t="s">
        <v>21</v>
      </c>
      <c r="C15" s="44" t="s">
        <v>682</v>
      </c>
      <c r="D15" s="44" t="s">
        <v>683</v>
      </c>
      <c r="E15" s="44" t="s">
        <v>684</v>
      </c>
      <c r="F15" s="44" t="s">
        <v>685</v>
      </c>
    </row>
    <row r="16" spans="2:15" x14ac:dyDescent="0.35">
      <c r="B16" s="46" t="s">
        <v>686</v>
      </c>
      <c r="C16" s="47">
        <f>COUNTIF('Recommendations'!M:M,"Resolved")</f>
        <v>0</v>
      </c>
      <c r="D16" s="47">
        <f>COUNTIF('Recommendations'!M:M,"Testing")</f>
        <v>0</v>
      </c>
      <c r="E16" s="47">
        <f>COUNTIF('Recommendations'!M:M,"Outstanding")</f>
        <v>110</v>
      </c>
      <c r="F16" s="47">
        <f>SUM(C16:E16)</f>
        <v>110</v>
      </c>
    </row>
    <row r="18" spans="2:6" x14ac:dyDescent="0.35">
      <c r="B18" s="56" t="s">
        <v>687</v>
      </c>
    </row>
    <row r="19" spans="2:6" x14ac:dyDescent="0.35">
      <c r="B19" s="57" t="s">
        <v>21</v>
      </c>
      <c r="C19" s="57" t="s">
        <v>682</v>
      </c>
      <c r="D19" s="57" t="s">
        <v>683</v>
      </c>
      <c r="E19" s="57" t="s">
        <v>684</v>
      </c>
      <c r="F19" s="57" t="s">
        <v>21</v>
      </c>
    </row>
    <row r="20" spans="2:6" x14ac:dyDescent="0.35">
      <c r="B20" s="46" t="s">
        <v>686</v>
      </c>
      <c r="C20" s="48">
        <f>IF(F16&gt;0, C16/F16, 0)</f>
        <v>0</v>
      </c>
      <c r="D20" s="48">
        <f>IF(F16&gt;0, D16/F16, 0)</f>
        <v>0</v>
      </c>
      <c r="E20" s="48">
        <f>IF(F16&gt;0, E16/F16, 0)</f>
        <v>1</v>
      </c>
      <c r="F20" s="49" t="s">
        <v>21</v>
      </c>
    </row>
    <row r="25" spans="2:6" ht="18.5" x14ac:dyDescent="0.45">
      <c r="B25" s="42" t="s">
        <v>688</v>
      </c>
    </row>
    <row r="27" spans="2:6" x14ac:dyDescent="0.35">
      <c r="B27" s="56" t="s">
        <v>681</v>
      </c>
    </row>
    <row r="28" spans="2:6" x14ac:dyDescent="0.35">
      <c r="B28" s="44" t="s">
        <v>3</v>
      </c>
      <c r="C28" s="44" t="s">
        <v>682</v>
      </c>
      <c r="D28" s="44" t="s">
        <v>683</v>
      </c>
      <c r="E28" s="44" t="s">
        <v>684</v>
      </c>
      <c r="F28" s="44" t="s">
        <v>685</v>
      </c>
    </row>
    <row r="29" spans="2:6" x14ac:dyDescent="0.35">
      <c r="B29" s="46" t="s">
        <v>181</v>
      </c>
      <c r="C29" s="47">
        <f>COUNTIFS('Recommendations'!D:D,"L3 Switch Secure Technical Implementation Guide - Cisco; L3 Switch",'Recommendations'!M:M,"=Resolved")</f>
        <v>0</v>
      </c>
      <c r="D29" s="47">
        <f>COUNTIFS('Recommendations'!D:D,"=L3 Switch Secure Technical Implementation Guide - Cisco; L3 Switch",'Recommendations'!M:M,"=Testing")</f>
        <v>0</v>
      </c>
      <c r="E29" s="47">
        <f>COUNTIFS('Recommendations'!D:D,"=L3 Switch Secure Technical Implementation Guide - Cisco; L3 Switch",'Recommendations'!M:M,"=Outstanding")</f>
        <v>19</v>
      </c>
      <c r="F29" s="47">
        <f t="shared" ref="F29:F34" si="0">SUM(C29:E29)</f>
        <v>19</v>
      </c>
    </row>
    <row r="30" spans="2:6" x14ac:dyDescent="0.35">
      <c r="B30" s="46" t="s">
        <v>99</v>
      </c>
      <c r="C30" s="47">
        <f>COUNTIFS('Recommendations'!D:D,"L3 Switch Secure Technical Implementation Guide - Cisco; L3 Switch; Router Security Technical Implementation Guide Cisco; Router",'Recommendations'!M:M,"=Resolved")</f>
        <v>0</v>
      </c>
      <c r="D30" s="47">
        <f>COUNTIFS('Recommendations'!D:D,"=L3 Switch Secure Technical Implementation Guide - Cisco; L3 Switch; Router Security Technical Implementation Guide Cisco; Router",'Recommendations'!M:M,"=Testing")</f>
        <v>0</v>
      </c>
      <c r="E30" s="47">
        <f>COUNTIFS('Recommendations'!D:D,"=L3 Switch Secure Technical Implementation Guide - Cisco; L3 Switch; Router Security Technical Implementation Guide Cisco; Router",'Recommendations'!M:M,"=Outstanding")</f>
        <v>1</v>
      </c>
      <c r="F30" s="47">
        <f t="shared" si="0"/>
        <v>1</v>
      </c>
    </row>
    <row r="31" spans="2:6" x14ac:dyDescent="0.35">
      <c r="B31" s="46" t="s">
        <v>17</v>
      </c>
      <c r="C31" s="47">
        <f>COUNTIFS('Recommendations'!D:D,"L3 Switch Secure Technical Implementation Guide - Cisco; L3 Switch; Router Security Technical Implementation Guide Cisco; Router Security Technical Implementation Guide Juniper; Router",'Recommendations'!M:M,"=Resolved")</f>
        <v>0</v>
      </c>
      <c r="D31" s="47">
        <f>COUNTIFS('Recommendations'!D:D,"=L3 Switch Secure Technical Implementation Guide - Cisco; L3 Switch; Router Security Technical Implementation Guide Cisco; Router Security Technical Implementation Guide Juniper; Router",'Recommendations'!M:M,"=Testing")</f>
        <v>0</v>
      </c>
      <c r="E31" s="47">
        <f>COUNTIFS('Recommendations'!D:D,"=L3 Switch Secure Technical Implementation Guide - Cisco; L3 Switch; Router Security Technical Implementation Guide Cisco; Router Security Technical Implementation Guide Juniper; Router",'Recommendations'!M:M,"=Outstanding")</f>
        <v>76</v>
      </c>
      <c r="F31" s="47">
        <f t="shared" si="0"/>
        <v>76</v>
      </c>
    </row>
    <row r="32" spans="2:6" x14ac:dyDescent="0.35">
      <c r="B32" s="46" t="s">
        <v>105</v>
      </c>
      <c r="C32" s="47">
        <f>COUNTIFS('Recommendations'!D:D,"L3 Switch Secure Technical Implementation Guide - Cisco; Router Security Technical Implementation Guide Cisco",'Recommendations'!M:M,"=Resolved")</f>
        <v>0</v>
      </c>
      <c r="D32" s="47">
        <f>COUNTIFS('Recommendations'!D:D,"=L3 Switch Secure Technical Implementation Guide - Cisco; Router Security Technical Implementation Guide Cisco",'Recommendations'!M:M,"=Testing")</f>
        <v>0</v>
      </c>
      <c r="E32" s="47">
        <f>COUNTIFS('Recommendations'!D:D,"=L3 Switch Secure Technical Implementation Guide - Cisco; Router Security Technical Implementation Guide Cisco",'Recommendations'!M:M,"=Outstanding")</f>
        <v>11</v>
      </c>
      <c r="F32" s="47">
        <f t="shared" si="0"/>
        <v>11</v>
      </c>
    </row>
    <row r="33" spans="2:6" x14ac:dyDescent="0.35">
      <c r="B33" s="46" t="s">
        <v>298</v>
      </c>
      <c r="C33" s="47">
        <f>COUNTIFS('Recommendations'!D:D,"L3 Switch; Router Security Technical Implementation Guide Juniper; Router",'Recommendations'!M:M,"=Resolved")</f>
        <v>0</v>
      </c>
      <c r="D33" s="47">
        <f>COUNTIFS('Recommendations'!D:D,"=L3 Switch; Router Security Technical Implementation Guide Juniper; Router",'Recommendations'!M:M,"=Testing")</f>
        <v>0</v>
      </c>
      <c r="E33" s="47">
        <f>COUNTIFS('Recommendations'!D:D,"=L3 Switch; Router Security Technical Implementation Guide Juniper; Router",'Recommendations'!M:M,"=Outstanding")</f>
        <v>1</v>
      </c>
      <c r="F33" s="47">
        <f t="shared" si="0"/>
        <v>1</v>
      </c>
    </row>
    <row r="34" spans="2:6" x14ac:dyDescent="0.35">
      <c r="B34" s="46" t="s">
        <v>207</v>
      </c>
      <c r="C34" s="47">
        <f>COUNTIFS('Recommendations'!D:D,"Router Security Technical Implementation Guide Juniper",'Recommendations'!M:M,"=Resolved")</f>
        <v>0</v>
      </c>
      <c r="D34" s="47">
        <f>COUNTIFS('Recommendations'!D:D,"=Router Security Technical Implementation Guide Juniper",'Recommendations'!M:M,"=Testing")</f>
        <v>0</v>
      </c>
      <c r="E34" s="47">
        <f>COUNTIFS('Recommendations'!D:D,"=Router Security Technical Implementation Guide Juniper",'Recommendations'!M:M,"=Outstanding")</f>
        <v>2</v>
      </c>
      <c r="F34" s="47">
        <f t="shared" si="0"/>
        <v>2</v>
      </c>
    </row>
    <row r="36" spans="2:6" x14ac:dyDescent="0.35">
      <c r="B36" s="56" t="s">
        <v>687</v>
      </c>
    </row>
    <row r="37" spans="2:6" x14ac:dyDescent="0.35">
      <c r="B37" s="57" t="s">
        <v>3</v>
      </c>
      <c r="C37" s="57" t="s">
        <v>682</v>
      </c>
      <c r="D37" s="57" t="s">
        <v>683</v>
      </c>
      <c r="E37" s="57" t="s">
        <v>684</v>
      </c>
      <c r="F37" s="57" t="s">
        <v>21</v>
      </c>
    </row>
    <row r="38" spans="2:6" x14ac:dyDescent="0.35">
      <c r="B38" s="46" t="s">
        <v>181</v>
      </c>
      <c r="C38" s="48">
        <f t="shared" ref="C38:C43" si="1">IF(F29&gt;0, C29/F29, 0)</f>
        <v>0</v>
      </c>
      <c r="D38" s="48">
        <f t="shared" ref="D38:D43" si="2">IF(F29&gt;0, D29/F29, 0)</f>
        <v>0</v>
      </c>
      <c r="E38" s="48">
        <f t="shared" ref="E38:E43" si="3">IF(F29&gt;0, E29/F29, 0)</f>
        <v>1</v>
      </c>
      <c r="F38" s="49" t="s">
        <v>21</v>
      </c>
    </row>
    <row r="39" spans="2:6" x14ac:dyDescent="0.35">
      <c r="B39" s="46" t="s">
        <v>99</v>
      </c>
      <c r="C39" s="48">
        <f t="shared" si="1"/>
        <v>0</v>
      </c>
      <c r="D39" s="48">
        <f t="shared" si="2"/>
        <v>0</v>
      </c>
      <c r="E39" s="48">
        <f t="shared" si="3"/>
        <v>1</v>
      </c>
      <c r="F39" s="49" t="s">
        <v>21</v>
      </c>
    </row>
    <row r="40" spans="2:6" x14ac:dyDescent="0.35">
      <c r="B40" s="46" t="s">
        <v>17</v>
      </c>
      <c r="C40" s="48">
        <f t="shared" si="1"/>
        <v>0</v>
      </c>
      <c r="D40" s="48">
        <f t="shared" si="2"/>
        <v>0</v>
      </c>
      <c r="E40" s="48">
        <f t="shared" si="3"/>
        <v>1</v>
      </c>
      <c r="F40" s="49" t="s">
        <v>21</v>
      </c>
    </row>
    <row r="41" spans="2:6" x14ac:dyDescent="0.35">
      <c r="B41" s="46" t="s">
        <v>105</v>
      </c>
      <c r="C41" s="48">
        <f t="shared" si="1"/>
        <v>0</v>
      </c>
      <c r="D41" s="48">
        <f t="shared" si="2"/>
        <v>0</v>
      </c>
      <c r="E41" s="48">
        <f t="shared" si="3"/>
        <v>1</v>
      </c>
      <c r="F41" s="49" t="s">
        <v>21</v>
      </c>
    </row>
    <row r="42" spans="2:6" x14ac:dyDescent="0.35">
      <c r="B42" s="46" t="s">
        <v>298</v>
      </c>
      <c r="C42" s="48">
        <f t="shared" si="1"/>
        <v>0</v>
      </c>
      <c r="D42" s="48">
        <f t="shared" si="2"/>
        <v>0</v>
      </c>
      <c r="E42" s="48">
        <f t="shared" si="3"/>
        <v>1</v>
      </c>
      <c r="F42" s="49" t="s">
        <v>21</v>
      </c>
    </row>
    <row r="43" spans="2:6" x14ac:dyDescent="0.35">
      <c r="B43" s="46" t="s">
        <v>207</v>
      </c>
      <c r="C43" s="48">
        <f t="shared" si="1"/>
        <v>0</v>
      </c>
      <c r="D43" s="48">
        <f t="shared" si="2"/>
        <v>0</v>
      </c>
      <c r="E43" s="48">
        <f t="shared" si="3"/>
        <v>1</v>
      </c>
      <c r="F43" s="49" t="s">
        <v>21</v>
      </c>
    </row>
    <row r="48" spans="2:6" ht="18.5" x14ac:dyDescent="0.45">
      <c r="B48" s="42" t="s">
        <v>689</v>
      </c>
    </row>
    <row r="50" spans="2:6" x14ac:dyDescent="0.35">
      <c r="B50" s="56" t="s">
        <v>681</v>
      </c>
    </row>
    <row r="51" spans="2:6" x14ac:dyDescent="0.35">
      <c r="B51" s="44" t="s">
        <v>6</v>
      </c>
      <c r="C51" s="44" t="s">
        <v>682</v>
      </c>
      <c r="D51" s="44" t="s">
        <v>683</v>
      </c>
      <c r="E51" s="44" t="s">
        <v>684</v>
      </c>
      <c r="F51" s="44" t="s">
        <v>685</v>
      </c>
    </row>
    <row r="52" spans="2:6" x14ac:dyDescent="0.35">
      <c r="B52" s="46" t="s">
        <v>690</v>
      </c>
      <c r="C52" s="47">
        <f>COUNTIFS('Recommendations'!G:G,"Phase1",'Recommendations'!M:M,"=Resolved")</f>
        <v>0</v>
      </c>
      <c r="D52" s="47">
        <f>COUNTIFS('Recommendations'!G:G,"=Phase1",'Recommendations'!M:M,"=Testing")</f>
        <v>0</v>
      </c>
      <c r="E52" s="47">
        <f>COUNTIFS('Recommendations'!G:G,"=Phase1",'Recommendations'!M:M,"=Outstanding")</f>
        <v>0</v>
      </c>
      <c r="F52" s="47">
        <f t="shared" ref="F52:F57" si="4">SUM(C52:E52)</f>
        <v>0</v>
      </c>
    </row>
    <row r="53" spans="2:6" x14ac:dyDescent="0.35">
      <c r="B53" s="46" t="s">
        <v>691</v>
      </c>
      <c r="C53" s="47">
        <f>COUNTIFS('Recommendations'!G:G,"Phase2",'Recommendations'!M:M,"=Resolved")</f>
        <v>0</v>
      </c>
      <c r="D53" s="47">
        <f>COUNTIFS('Recommendations'!G:G,"=Phase2",'Recommendations'!M:M,"=Testing")</f>
        <v>0</v>
      </c>
      <c r="E53" s="47">
        <f>COUNTIFS('Recommendations'!G:G,"=Phase2",'Recommendations'!M:M,"=Outstanding")</f>
        <v>0</v>
      </c>
      <c r="F53" s="47">
        <f t="shared" si="4"/>
        <v>0</v>
      </c>
    </row>
    <row r="54" spans="2:6" x14ac:dyDescent="0.35">
      <c r="B54" s="46" t="s">
        <v>692</v>
      </c>
      <c r="C54" s="47">
        <f>COUNTIFS('Recommendations'!G:G,"Phase3",'Recommendations'!M:M,"=Resolved")</f>
        <v>0</v>
      </c>
      <c r="D54" s="47">
        <f>COUNTIFS('Recommendations'!G:G,"=Phase3",'Recommendations'!M:M,"=Testing")</f>
        <v>0</v>
      </c>
      <c r="E54" s="47">
        <f>COUNTIFS('Recommendations'!G:G,"=Phase3",'Recommendations'!M:M,"=Outstanding")</f>
        <v>0</v>
      </c>
      <c r="F54" s="47">
        <f t="shared" si="4"/>
        <v>0</v>
      </c>
    </row>
    <row r="55" spans="2:6" x14ac:dyDescent="0.35">
      <c r="B55" s="46" t="s">
        <v>693</v>
      </c>
      <c r="C55" s="47">
        <f>COUNTIFS('Recommendations'!G:G,"Phase4",'Recommendations'!M:M,"=Resolved")</f>
        <v>0</v>
      </c>
      <c r="D55" s="47">
        <f>COUNTIFS('Recommendations'!G:G,"=Phase4",'Recommendations'!M:M,"=Testing")</f>
        <v>0</v>
      </c>
      <c r="E55" s="47">
        <f>COUNTIFS('Recommendations'!G:G,"=Phase4",'Recommendations'!M:M,"=Outstanding")</f>
        <v>0</v>
      </c>
      <c r="F55" s="47">
        <f t="shared" si="4"/>
        <v>0</v>
      </c>
    </row>
    <row r="56" spans="2:6" x14ac:dyDescent="0.35">
      <c r="B56" s="46" t="s">
        <v>694</v>
      </c>
      <c r="C56" s="47">
        <f>COUNTIFS('Recommendations'!G:G,"Phase5",'Recommendations'!M:M,"=Resolved")</f>
        <v>0</v>
      </c>
      <c r="D56" s="47">
        <f>COUNTIFS('Recommendations'!G:G,"=Phase5",'Recommendations'!M:M,"=Testing")</f>
        <v>0</v>
      </c>
      <c r="E56" s="47">
        <f>COUNTIFS('Recommendations'!G:G,"=Phase5",'Recommendations'!M:M,"=Outstanding")</f>
        <v>0</v>
      </c>
      <c r="F56" s="47">
        <f t="shared" si="4"/>
        <v>0</v>
      </c>
    </row>
    <row r="57" spans="2:6" x14ac:dyDescent="0.35">
      <c r="B57" s="46" t="s">
        <v>20</v>
      </c>
      <c r="C57" s="47">
        <f>COUNTIFS('Recommendations'!G:G,"Pending",'Recommendations'!M:M,"=Resolved")</f>
        <v>0</v>
      </c>
      <c r="D57" s="47">
        <f>COUNTIFS('Recommendations'!G:G,"=Pending",'Recommendations'!M:M,"=Testing")</f>
        <v>0</v>
      </c>
      <c r="E57" s="47">
        <f>COUNTIFS('Recommendations'!G:G,"=Pending",'Recommendations'!M:M,"=Outstanding")</f>
        <v>110</v>
      </c>
      <c r="F57" s="47">
        <f t="shared" si="4"/>
        <v>110</v>
      </c>
    </row>
    <row r="59" spans="2:6" x14ac:dyDescent="0.35">
      <c r="B59" s="56" t="s">
        <v>687</v>
      </c>
    </row>
    <row r="60" spans="2:6" x14ac:dyDescent="0.35">
      <c r="B60" s="57" t="s">
        <v>6</v>
      </c>
      <c r="C60" s="57" t="s">
        <v>682</v>
      </c>
      <c r="D60" s="57" t="s">
        <v>683</v>
      </c>
      <c r="E60" s="57" t="s">
        <v>684</v>
      </c>
      <c r="F60" s="57" t="s">
        <v>21</v>
      </c>
    </row>
    <row r="61" spans="2:6" x14ac:dyDescent="0.35">
      <c r="B61" s="46" t="s">
        <v>690</v>
      </c>
      <c r="C61" s="48">
        <f t="shared" ref="C61:C66" si="5">IF(F52&gt;0, C52/F52, 0)</f>
        <v>0</v>
      </c>
      <c r="D61" s="48">
        <f t="shared" ref="D61:D66" si="6">IF(F52&gt;0, D52/F52, 0)</f>
        <v>0</v>
      </c>
      <c r="E61" s="48">
        <f t="shared" ref="E61:E66" si="7">IF(F52&gt;0, E52/F52, 0)</f>
        <v>0</v>
      </c>
      <c r="F61" s="49" t="s">
        <v>21</v>
      </c>
    </row>
    <row r="62" spans="2:6" x14ac:dyDescent="0.35">
      <c r="B62" s="46" t="s">
        <v>691</v>
      </c>
      <c r="C62" s="48">
        <f t="shared" si="5"/>
        <v>0</v>
      </c>
      <c r="D62" s="48">
        <f t="shared" si="6"/>
        <v>0</v>
      </c>
      <c r="E62" s="48">
        <f t="shared" si="7"/>
        <v>0</v>
      </c>
      <c r="F62" s="49" t="s">
        <v>21</v>
      </c>
    </row>
    <row r="63" spans="2:6" x14ac:dyDescent="0.35">
      <c r="B63" s="46" t="s">
        <v>692</v>
      </c>
      <c r="C63" s="48">
        <f t="shared" si="5"/>
        <v>0</v>
      </c>
      <c r="D63" s="48">
        <f t="shared" si="6"/>
        <v>0</v>
      </c>
      <c r="E63" s="48">
        <f t="shared" si="7"/>
        <v>0</v>
      </c>
      <c r="F63" s="49" t="s">
        <v>21</v>
      </c>
    </row>
    <row r="64" spans="2:6" x14ac:dyDescent="0.35">
      <c r="B64" s="46" t="s">
        <v>693</v>
      </c>
      <c r="C64" s="48">
        <f t="shared" si="5"/>
        <v>0</v>
      </c>
      <c r="D64" s="48">
        <f t="shared" si="6"/>
        <v>0</v>
      </c>
      <c r="E64" s="48">
        <f t="shared" si="7"/>
        <v>0</v>
      </c>
      <c r="F64" s="49" t="s">
        <v>21</v>
      </c>
    </row>
    <row r="65" spans="2:6" x14ac:dyDescent="0.35">
      <c r="B65" s="46" t="s">
        <v>694</v>
      </c>
      <c r="C65" s="48">
        <f t="shared" si="5"/>
        <v>0</v>
      </c>
      <c r="D65" s="48">
        <f t="shared" si="6"/>
        <v>0</v>
      </c>
      <c r="E65" s="48">
        <f t="shared" si="7"/>
        <v>0</v>
      </c>
      <c r="F65" s="49" t="s">
        <v>21</v>
      </c>
    </row>
    <row r="66" spans="2:6" x14ac:dyDescent="0.35">
      <c r="B66" s="46" t="s">
        <v>20</v>
      </c>
      <c r="C66" s="48">
        <f t="shared" si="5"/>
        <v>0</v>
      </c>
      <c r="D66" s="48">
        <f t="shared" si="6"/>
        <v>0</v>
      </c>
      <c r="E66" s="48">
        <f t="shared" si="7"/>
        <v>1</v>
      </c>
      <c r="F66" s="49" t="s">
        <v>21</v>
      </c>
    </row>
    <row r="71" spans="2:6" ht="18.5" x14ac:dyDescent="0.45">
      <c r="B71" s="42" t="s">
        <v>695</v>
      </c>
    </row>
    <row r="73" spans="2:6" x14ac:dyDescent="0.35">
      <c r="B73" s="56" t="s">
        <v>681</v>
      </c>
    </row>
    <row r="74" spans="2:6" x14ac:dyDescent="0.35">
      <c r="B74" s="44" t="s">
        <v>2</v>
      </c>
      <c r="C74" s="44" t="s">
        <v>682</v>
      </c>
      <c r="D74" s="44" t="s">
        <v>683</v>
      </c>
      <c r="E74" s="44" t="s">
        <v>684</v>
      </c>
      <c r="F74" s="44" t="s">
        <v>685</v>
      </c>
    </row>
    <row r="75" spans="2:6" x14ac:dyDescent="0.35">
      <c r="B75" s="46" t="s">
        <v>33</v>
      </c>
      <c r="C75" s="47">
        <f>COUNTIFS('Recommendations'!C:C,"CAT I (High)",'Recommendations'!M:M,"=Resolved")</f>
        <v>0</v>
      </c>
      <c r="D75" s="47">
        <f>COUNTIFS('Recommendations'!C:C,"=CAT I (High)",'Recommendations'!M:M,"=Testing")</f>
        <v>0</v>
      </c>
      <c r="E75" s="47">
        <f>COUNTIFS('Recommendations'!C:C,"=CAT I (High)",'Recommendations'!M:M,"=Outstanding")</f>
        <v>11</v>
      </c>
      <c r="F75" s="47">
        <f>SUM(C75:E75)</f>
        <v>11</v>
      </c>
    </row>
    <row r="76" spans="2:6" x14ac:dyDescent="0.35">
      <c r="B76" s="46" t="s">
        <v>27</v>
      </c>
      <c r="C76" s="47">
        <f>COUNTIFS('Recommendations'!C:C,"CAT II (Medium)",'Recommendations'!M:M,"=Resolved")</f>
        <v>0</v>
      </c>
      <c r="D76" s="47">
        <f>COUNTIFS('Recommendations'!C:C,"=CAT II (Medium)",'Recommendations'!M:M,"=Testing")</f>
        <v>0</v>
      </c>
      <c r="E76" s="47">
        <f>COUNTIFS('Recommendations'!C:C,"=CAT II (Medium)",'Recommendations'!M:M,"=Outstanding")</f>
        <v>64</v>
      </c>
      <c r="F76" s="47">
        <f>SUM(C76:E76)</f>
        <v>64</v>
      </c>
    </row>
    <row r="77" spans="2:6" x14ac:dyDescent="0.35">
      <c r="B77" s="46" t="s">
        <v>16</v>
      </c>
      <c r="C77" s="47">
        <f>COUNTIFS('Recommendations'!C:C,"CAT III (Low)",'Recommendations'!M:M,"=Resolved")</f>
        <v>0</v>
      </c>
      <c r="D77" s="47">
        <f>COUNTIFS('Recommendations'!C:C,"=CAT III (Low)",'Recommendations'!M:M,"=Testing")</f>
        <v>0</v>
      </c>
      <c r="E77" s="47">
        <f>COUNTIFS('Recommendations'!C:C,"=CAT III (Low)",'Recommendations'!M:M,"=Outstanding")</f>
        <v>35</v>
      </c>
      <c r="F77" s="47">
        <f>SUM(C77:E77)</f>
        <v>35</v>
      </c>
    </row>
    <row r="79" spans="2:6" x14ac:dyDescent="0.35">
      <c r="B79" s="56" t="s">
        <v>687</v>
      </c>
    </row>
    <row r="80" spans="2:6" x14ac:dyDescent="0.35">
      <c r="B80" s="57" t="s">
        <v>2</v>
      </c>
      <c r="C80" s="57" t="s">
        <v>682</v>
      </c>
      <c r="D80" s="57" t="s">
        <v>683</v>
      </c>
      <c r="E80" s="57" t="s">
        <v>684</v>
      </c>
      <c r="F80" s="57" t="s">
        <v>21</v>
      </c>
    </row>
    <row r="81" spans="2:6" x14ac:dyDescent="0.35">
      <c r="B81" s="46" t="s">
        <v>33</v>
      </c>
      <c r="C81" s="48">
        <f>IF(F75&gt;0, C75/F75, 0)</f>
        <v>0</v>
      </c>
      <c r="D81" s="48">
        <f>IF(F75&gt;0, D75/F75, 0)</f>
        <v>0</v>
      </c>
      <c r="E81" s="48">
        <f>IF(F75&gt;0, E75/F75, 0)</f>
        <v>1</v>
      </c>
      <c r="F81" s="49" t="s">
        <v>21</v>
      </c>
    </row>
    <row r="82" spans="2:6" x14ac:dyDescent="0.35">
      <c r="B82" s="46" t="s">
        <v>27</v>
      </c>
      <c r="C82" s="48">
        <f>IF(F76&gt;0, C76/F76, 0)</f>
        <v>0</v>
      </c>
      <c r="D82" s="48">
        <f>IF(F76&gt;0, D76/F76, 0)</f>
        <v>0</v>
      </c>
      <c r="E82" s="48">
        <f>IF(F76&gt;0, E76/F76, 0)</f>
        <v>1</v>
      </c>
      <c r="F82" s="49" t="s">
        <v>21</v>
      </c>
    </row>
    <row r="83" spans="2:6" x14ac:dyDescent="0.35">
      <c r="B83" s="46" t="s">
        <v>16</v>
      </c>
      <c r="C83" s="48">
        <f>IF(F77&gt;0, C77/F77, 0)</f>
        <v>0</v>
      </c>
      <c r="D83" s="48">
        <f>IF(F77&gt;0, D77/F77, 0)</f>
        <v>0</v>
      </c>
      <c r="E83" s="48">
        <f>IF(F77&gt;0, E77/F77, 0)</f>
        <v>1</v>
      </c>
      <c r="F83" s="49" t="s">
        <v>21</v>
      </c>
    </row>
    <row r="88" spans="2:6" ht="18.5" x14ac:dyDescent="0.45">
      <c r="B88" s="42" t="s">
        <v>696</v>
      </c>
    </row>
    <row r="90" spans="2:6" x14ac:dyDescent="0.35">
      <c r="B90" s="56" t="s">
        <v>681</v>
      </c>
    </row>
    <row r="91" spans="2:6" x14ac:dyDescent="0.35">
      <c r="B91" s="44" t="s">
        <v>4</v>
      </c>
      <c r="C91" s="44" t="s">
        <v>682</v>
      </c>
      <c r="D91" s="44" t="s">
        <v>683</v>
      </c>
      <c r="E91" s="44" t="s">
        <v>684</v>
      </c>
      <c r="F91" s="44" t="s">
        <v>685</v>
      </c>
    </row>
    <row r="92" spans="2:6" x14ac:dyDescent="0.35">
      <c r="B92" s="46" t="s">
        <v>697</v>
      </c>
      <c r="C92" s="47">
        <f>COUNTIFS('Recommendations'!E:E,"Must",'Recommendations'!M:M,"=Resolved")</f>
        <v>0</v>
      </c>
      <c r="D92" s="47">
        <f>COUNTIFS('Recommendations'!E:E,"=Must",'Recommendations'!M:M,"=Testing")</f>
        <v>0</v>
      </c>
      <c r="E92" s="47">
        <f>COUNTIFS('Recommendations'!E:E,"=Must",'Recommendations'!M:M,"=Outstanding")</f>
        <v>0</v>
      </c>
      <c r="F92" s="47">
        <f>SUM(C92:E92)</f>
        <v>0</v>
      </c>
    </row>
    <row r="93" spans="2:6" x14ac:dyDescent="0.35">
      <c r="B93" s="46" t="s">
        <v>698</v>
      </c>
      <c r="C93" s="47">
        <f>COUNTIFS('Recommendations'!E:E,"Should",'Recommendations'!M:M,"=Resolved")</f>
        <v>0</v>
      </c>
      <c r="D93" s="47">
        <f>COUNTIFS('Recommendations'!E:E,"=Should",'Recommendations'!M:M,"=Testing")</f>
        <v>0</v>
      </c>
      <c r="E93" s="47">
        <f>COUNTIFS('Recommendations'!E:E,"=Should",'Recommendations'!M:M,"=Outstanding")</f>
        <v>0</v>
      </c>
      <c r="F93" s="47">
        <f>SUM(C93:E93)</f>
        <v>0</v>
      </c>
    </row>
    <row r="94" spans="2:6" x14ac:dyDescent="0.35">
      <c r="B94" s="46" t="s">
        <v>699</v>
      </c>
      <c r="C94" s="47">
        <f>COUNTIFS('Recommendations'!E:E,"Could",'Recommendations'!M:M,"=Resolved")</f>
        <v>0</v>
      </c>
      <c r="D94" s="47">
        <f>COUNTIFS('Recommendations'!E:E,"=Could",'Recommendations'!M:M,"=Testing")</f>
        <v>0</v>
      </c>
      <c r="E94" s="47">
        <f>COUNTIFS('Recommendations'!E:E,"=Could",'Recommendations'!M:M,"=Outstanding")</f>
        <v>0</v>
      </c>
      <c r="F94" s="47">
        <f>SUM(C94:E94)</f>
        <v>0</v>
      </c>
    </row>
    <row r="95" spans="2:6" x14ac:dyDescent="0.35">
      <c r="B95" s="46" t="s">
        <v>700</v>
      </c>
      <c r="C95" s="47">
        <f>COUNTIFS('Recommendations'!E:E,"Won't",'Recommendations'!M:M,"=Resolved")</f>
        <v>0</v>
      </c>
      <c r="D95" s="47">
        <f>COUNTIFS('Recommendations'!E:E,"=Won't",'Recommendations'!M:M,"=Testing")</f>
        <v>0</v>
      </c>
      <c r="E95" s="47">
        <f>COUNTIFS('Recommendations'!E:E,"=Won't",'Recommendations'!M:M,"=Outstanding")</f>
        <v>0</v>
      </c>
      <c r="F95" s="47">
        <f>SUM(C95:E95)</f>
        <v>0</v>
      </c>
    </row>
    <row r="96" spans="2:6" x14ac:dyDescent="0.35">
      <c r="B96" s="46" t="s">
        <v>18</v>
      </c>
      <c r="C96" s="47">
        <f>COUNTIFS('Recommendations'!E:E,"Unassigned",'Recommendations'!M:M,"=Resolved")</f>
        <v>0</v>
      </c>
      <c r="D96" s="47">
        <f>COUNTIFS('Recommendations'!E:E,"=Unassigned",'Recommendations'!M:M,"=Testing")</f>
        <v>0</v>
      </c>
      <c r="E96" s="47">
        <f>COUNTIFS('Recommendations'!E:E,"=Unassigned",'Recommendations'!M:M,"=Outstanding")</f>
        <v>110</v>
      </c>
      <c r="F96" s="47">
        <f>SUM(C96:E96)</f>
        <v>110</v>
      </c>
    </row>
    <row r="98" spans="2:6" x14ac:dyDescent="0.35">
      <c r="B98" s="56" t="s">
        <v>687</v>
      </c>
    </row>
    <row r="99" spans="2:6" x14ac:dyDescent="0.35">
      <c r="B99" s="57" t="s">
        <v>4</v>
      </c>
      <c r="C99" s="57" t="s">
        <v>682</v>
      </c>
      <c r="D99" s="57" t="s">
        <v>683</v>
      </c>
      <c r="E99" s="57" t="s">
        <v>684</v>
      </c>
      <c r="F99" s="57" t="s">
        <v>21</v>
      </c>
    </row>
    <row r="100" spans="2:6" x14ac:dyDescent="0.35">
      <c r="B100" s="46" t="s">
        <v>697</v>
      </c>
      <c r="C100" s="48">
        <f>IF(F92&gt;0, C92/F92, 0)</f>
        <v>0</v>
      </c>
      <c r="D100" s="48">
        <f>IF(F92&gt;0, D92/F92, 0)</f>
        <v>0</v>
      </c>
      <c r="E100" s="48">
        <f>IF(F92&gt;0, E92/F92, 0)</f>
        <v>0</v>
      </c>
      <c r="F100" s="49" t="s">
        <v>21</v>
      </c>
    </row>
    <row r="101" spans="2:6" x14ac:dyDescent="0.35">
      <c r="B101" s="46" t="s">
        <v>698</v>
      </c>
      <c r="C101" s="48">
        <f>IF(F93&gt;0, C93/F93, 0)</f>
        <v>0</v>
      </c>
      <c r="D101" s="48">
        <f>IF(F93&gt;0, D93/F93, 0)</f>
        <v>0</v>
      </c>
      <c r="E101" s="48">
        <f>IF(F93&gt;0, E93/F93, 0)</f>
        <v>0</v>
      </c>
      <c r="F101" s="49" t="s">
        <v>21</v>
      </c>
    </row>
    <row r="102" spans="2:6" x14ac:dyDescent="0.35">
      <c r="B102" s="46" t="s">
        <v>699</v>
      </c>
      <c r="C102" s="48">
        <f>IF(F94&gt;0, C94/F94, 0)</f>
        <v>0</v>
      </c>
      <c r="D102" s="48">
        <f>IF(F94&gt;0, D94/F94, 0)</f>
        <v>0</v>
      </c>
      <c r="E102" s="48">
        <f>IF(F94&gt;0, E94/F94, 0)</f>
        <v>0</v>
      </c>
      <c r="F102" s="49" t="s">
        <v>21</v>
      </c>
    </row>
    <row r="103" spans="2:6" x14ac:dyDescent="0.35">
      <c r="B103" s="46" t="s">
        <v>700</v>
      </c>
      <c r="C103" s="48">
        <f>IF(F95&gt;0, C95/F95, 0)</f>
        <v>0</v>
      </c>
      <c r="D103" s="48">
        <f>IF(F95&gt;0, D95/F95, 0)</f>
        <v>0</v>
      </c>
      <c r="E103" s="48">
        <f>IF(F95&gt;0, E95/F95, 0)</f>
        <v>0</v>
      </c>
      <c r="F103" s="49" t="s">
        <v>21</v>
      </c>
    </row>
    <row r="104" spans="2:6" x14ac:dyDescent="0.35">
      <c r="B104" s="46" t="s">
        <v>18</v>
      </c>
      <c r="C104" s="48">
        <f>IF(F96&gt;0, C96/F96, 0)</f>
        <v>0</v>
      </c>
      <c r="D104" s="48">
        <f>IF(F96&gt;0, D96/F96, 0)</f>
        <v>0</v>
      </c>
      <c r="E104" s="48">
        <f>IF(F96&gt;0, E96/F96, 0)</f>
        <v>1</v>
      </c>
      <c r="F104" s="49" t="s">
        <v>21</v>
      </c>
    </row>
    <row r="109" spans="2:6" ht="18.5" x14ac:dyDescent="0.45">
      <c r="B109" s="42" t="s">
        <v>701</v>
      </c>
    </row>
    <row r="111" spans="2:6" x14ac:dyDescent="0.35">
      <c r="B111" s="56" t="s">
        <v>681</v>
      </c>
    </row>
    <row r="112" spans="2:6" x14ac:dyDescent="0.35">
      <c r="B112" s="44" t="s">
        <v>702</v>
      </c>
      <c r="C112" s="44" t="s">
        <v>682</v>
      </c>
      <c r="D112" s="44" t="s">
        <v>683</v>
      </c>
      <c r="E112" s="44" t="s">
        <v>684</v>
      </c>
      <c r="F112" s="44" t="s">
        <v>685</v>
      </c>
    </row>
    <row r="113" spans="2:10" x14ac:dyDescent="0.35">
      <c r="B113" s="46" t="s">
        <v>703</v>
      </c>
      <c r="C113" s="47">
        <f>COUNTIFS('Recommendations'!F:F,"Low",'Recommendations'!M:M,"=Resolved")</f>
        <v>0</v>
      </c>
      <c r="D113" s="47">
        <f>COUNTIFS('Recommendations'!F:F,"=Low",'Recommendations'!M:M,"=Testing")</f>
        <v>0</v>
      </c>
      <c r="E113" s="47">
        <f>COUNTIFS('Recommendations'!F:F,"=Low",'Recommendations'!M:M,"=Outstanding")</f>
        <v>0</v>
      </c>
      <c r="F113" s="47">
        <f>SUM(C113:E113)</f>
        <v>0</v>
      </c>
    </row>
    <row r="114" spans="2:10" x14ac:dyDescent="0.35">
      <c r="B114" s="46" t="s">
        <v>704</v>
      </c>
      <c r="C114" s="47">
        <f>COUNTIFS('Recommendations'!F:F,"Medium",'Recommendations'!M:M,"=Resolved")</f>
        <v>0</v>
      </c>
      <c r="D114" s="47">
        <f>COUNTIFS('Recommendations'!F:F,"=Medium",'Recommendations'!M:M,"=Testing")</f>
        <v>0</v>
      </c>
      <c r="E114" s="47">
        <f>COUNTIFS('Recommendations'!F:F,"=Medium",'Recommendations'!M:M,"=Outstanding")</f>
        <v>0</v>
      </c>
      <c r="F114" s="47">
        <f>SUM(C114:E114)</f>
        <v>0</v>
      </c>
    </row>
    <row r="115" spans="2:10" x14ac:dyDescent="0.35">
      <c r="B115" s="46" t="s">
        <v>705</v>
      </c>
      <c r="C115" s="47">
        <f>COUNTIFS('Recommendations'!F:F,"High",'Recommendations'!M:M,"=Resolved")</f>
        <v>0</v>
      </c>
      <c r="D115" s="47">
        <f>COUNTIFS('Recommendations'!F:F,"=High",'Recommendations'!M:M,"=Testing")</f>
        <v>0</v>
      </c>
      <c r="E115" s="47">
        <f>COUNTIFS('Recommendations'!F:F,"=High",'Recommendations'!M:M,"=Outstanding")</f>
        <v>0</v>
      </c>
      <c r="F115" s="47">
        <f>SUM(C115:E115)</f>
        <v>0</v>
      </c>
    </row>
    <row r="116" spans="2:10" x14ac:dyDescent="0.35">
      <c r="B116" s="46" t="s">
        <v>19</v>
      </c>
      <c r="C116" s="47">
        <f>COUNTIFS('Recommendations'!F:F,"Unassessed",'Recommendations'!M:M,"=Resolved")</f>
        <v>0</v>
      </c>
      <c r="D116" s="47">
        <f>COUNTIFS('Recommendations'!F:F,"=Unassessed",'Recommendations'!M:M,"=Testing")</f>
        <v>0</v>
      </c>
      <c r="E116" s="47">
        <f>COUNTIFS('Recommendations'!F:F,"=Unassessed",'Recommendations'!M:M,"=Outstanding")</f>
        <v>110</v>
      </c>
      <c r="F116" s="47">
        <f>SUM(C116:E116)</f>
        <v>110</v>
      </c>
    </row>
    <row r="118" spans="2:10" x14ac:dyDescent="0.35">
      <c r="B118" s="56" t="s">
        <v>687</v>
      </c>
    </row>
    <row r="119" spans="2:10" x14ac:dyDescent="0.35">
      <c r="B119" s="57" t="s">
        <v>702</v>
      </c>
      <c r="C119" s="57" t="s">
        <v>682</v>
      </c>
      <c r="D119" s="57" t="s">
        <v>683</v>
      </c>
      <c r="E119" s="57" t="s">
        <v>684</v>
      </c>
      <c r="F119" s="57" t="s">
        <v>21</v>
      </c>
    </row>
    <row r="120" spans="2:10" x14ac:dyDescent="0.35">
      <c r="B120" s="46" t="s">
        <v>703</v>
      </c>
      <c r="C120" s="48">
        <f>IF(F113&gt;0, C113/F113, 0)</f>
        <v>0</v>
      </c>
      <c r="D120" s="48">
        <f>IF(F113&gt;0, D113/F113, 0)</f>
        <v>0</v>
      </c>
      <c r="E120" s="48">
        <f>IF(F113&gt;0, E113/F113, 0)</f>
        <v>0</v>
      </c>
      <c r="F120" s="49" t="s">
        <v>21</v>
      </c>
    </row>
    <row r="121" spans="2:10" x14ac:dyDescent="0.35">
      <c r="B121" s="46" t="s">
        <v>704</v>
      </c>
      <c r="C121" s="48">
        <f>IF(F114&gt;0, C114/F114, 0)</f>
        <v>0</v>
      </c>
      <c r="D121" s="48">
        <f>IF(F114&gt;0, D114/F114, 0)</f>
        <v>0</v>
      </c>
      <c r="E121" s="48">
        <f>IF(F114&gt;0, E114/F114, 0)</f>
        <v>0</v>
      </c>
      <c r="F121" s="49" t="s">
        <v>21</v>
      </c>
    </row>
    <row r="122" spans="2:10" x14ac:dyDescent="0.35">
      <c r="B122" s="46" t="s">
        <v>705</v>
      </c>
      <c r="C122" s="48">
        <f>IF(F115&gt;0, C115/F115, 0)</f>
        <v>0</v>
      </c>
      <c r="D122" s="48">
        <f>IF(F115&gt;0, D115/F115, 0)</f>
        <v>0</v>
      </c>
      <c r="E122" s="48">
        <f>IF(F115&gt;0, E115/F115, 0)</f>
        <v>0</v>
      </c>
      <c r="F122" s="49" t="s">
        <v>21</v>
      </c>
    </row>
    <row r="123" spans="2:10" x14ac:dyDescent="0.35">
      <c r="B123" s="46" t="s">
        <v>19</v>
      </c>
      <c r="C123" s="48">
        <f>IF(F116&gt;0, C116/F116, 0)</f>
        <v>0</v>
      </c>
      <c r="D123" s="48">
        <f>IF(F116&gt;0, D116/F116, 0)</f>
        <v>0</v>
      </c>
      <c r="E123" s="48">
        <f>IF(F116&gt;0, E116/F116, 0)</f>
        <v>1</v>
      </c>
      <c r="F123" s="49" t="s">
        <v>21</v>
      </c>
    </row>
    <row r="128" spans="2:10" ht="18.5" x14ac:dyDescent="0.45">
      <c r="B128" s="42" t="s">
        <v>706</v>
      </c>
      <c r="J128" s="42" t="s">
        <v>707</v>
      </c>
    </row>
    <row r="129" spans="2:23" x14ac:dyDescent="0.35">
      <c r="B129" s="44" t="s">
        <v>6</v>
      </c>
      <c r="C129" s="297" t="s">
        <v>708</v>
      </c>
      <c r="D129" s="297"/>
      <c r="E129" s="44" t="s">
        <v>674</v>
      </c>
      <c r="F129" s="44" t="s">
        <v>682</v>
      </c>
      <c r="G129" s="297" t="s">
        <v>709</v>
      </c>
      <c r="H129" s="297"/>
      <c r="J129" s="44" t="s">
        <v>6</v>
      </c>
      <c r="K129" s="44" t="s">
        <v>697</v>
      </c>
      <c r="L129" s="44" t="s">
        <v>698</v>
      </c>
      <c r="M129" s="44" t="s">
        <v>699</v>
      </c>
      <c r="N129" s="44" t="s">
        <v>700</v>
      </c>
      <c r="O129" s="44" t="s">
        <v>18</v>
      </c>
    </row>
    <row r="130" spans="2:23" x14ac:dyDescent="0.35">
      <c r="B130" s="50" t="s">
        <v>690</v>
      </c>
      <c r="C130" s="298" t="s">
        <v>21</v>
      </c>
      <c r="D130" s="298"/>
      <c r="E130" s="47">
        <f>COUNTIF('Recommendations'!G:G,"Phase1")-COUNTIFS('Recommendations'!G:G,"Phase1",'Recommendations'!H:H,"Risk Accepted")-COUNTIFS('Recommendations'!G:G,"Phase1",'Recommendations'!H:H,"N/A")</f>
        <v>0</v>
      </c>
      <c r="F130" s="47">
        <f>COUNTIFS('Recommendations'!G:G,"Phase1",'Recommendations'!M:M,"Resolved")</f>
        <v>0</v>
      </c>
      <c r="G130" s="299">
        <f t="shared" ref="G130:G135" si="8">IF(E130&gt;0,F130/E130,0)</f>
        <v>0</v>
      </c>
      <c r="H130" s="299"/>
      <c r="J130" s="50" t="s">
        <v>690</v>
      </c>
      <c r="K130" s="47">
        <f>COUNTIFS('Recommendations'!G:G,"Phase1",'Recommendations'!E:E,"Must")</f>
        <v>0</v>
      </c>
      <c r="L130" s="47">
        <f>COUNTIFS('Recommendations'!G:G,"Phase1",'Recommendations'!E:E,"Should")</f>
        <v>0</v>
      </c>
      <c r="M130" s="47">
        <f>COUNTIFS('Recommendations'!G:G,"Phase1",'Recommendations'!E:E,"Could")</f>
        <v>0</v>
      </c>
      <c r="N130" s="47">
        <f>COUNTIFS('Recommendations'!G:G,"Phase1",'Recommendations'!E:E,"Won't")</f>
        <v>0</v>
      </c>
      <c r="O130" s="47">
        <f>COUNTIFS('Recommendations'!G:G,"Phase1",'Recommendations'!E:E,"Unassigned")</f>
        <v>0</v>
      </c>
    </row>
    <row r="131" spans="2:23" x14ac:dyDescent="0.35">
      <c r="B131" s="50" t="s">
        <v>691</v>
      </c>
      <c r="C131" s="298" t="s">
        <v>21</v>
      </c>
      <c r="D131" s="298"/>
      <c r="E131" s="47">
        <f>COUNTIF('Recommendations'!G:G,"Phase2")-COUNTIFS('Recommendations'!G:G,"Phase2",'Recommendations'!H:H,"Risk Accepted")-COUNTIFS('Recommendations'!G:G,"Phase2",'Recommendations'!H:H,"N/A")</f>
        <v>0</v>
      </c>
      <c r="F131" s="47">
        <f>COUNTIFS('Recommendations'!G:G,"Phase2",'Recommendations'!M:M,"Resolved")</f>
        <v>0</v>
      </c>
      <c r="G131" s="299">
        <f t="shared" si="8"/>
        <v>0</v>
      </c>
      <c r="H131" s="299"/>
      <c r="J131" s="50" t="s">
        <v>691</v>
      </c>
      <c r="K131" s="47">
        <f>COUNTIFS('Recommendations'!G:G,"Phase2",'Recommendations'!E:E,"Must")</f>
        <v>0</v>
      </c>
      <c r="L131" s="47">
        <f>COUNTIFS('Recommendations'!G:G,"Phase2",'Recommendations'!E:E,"Should")</f>
        <v>0</v>
      </c>
      <c r="M131" s="47">
        <f>COUNTIFS('Recommendations'!G:G,"Phase2",'Recommendations'!E:E,"Could")</f>
        <v>0</v>
      </c>
      <c r="N131" s="47">
        <f>COUNTIFS('Recommendations'!G:G,"Phase2",'Recommendations'!E:E,"Won't")</f>
        <v>0</v>
      </c>
      <c r="O131" s="47">
        <f>COUNTIFS('Recommendations'!G:G,"Phase2",'Recommendations'!E:E,"Unassigned")</f>
        <v>0</v>
      </c>
    </row>
    <row r="132" spans="2:23" x14ac:dyDescent="0.35">
      <c r="B132" s="50" t="s">
        <v>692</v>
      </c>
      <c r="C132" s="298" t="s">
        <v>21</v>
      </c>
      <c r="D132" s="298"/>
      <c r="E132" s="47">
        <f>COUNTIF('Recommendations'!G:G,"Phase3")-COUNTIFS('Recommendations'!G:G,"Phase3",'Recommendations'!H:H,"Risk Accepted")-COUNTIFS('Recommendations'!G:G,"Phase3",'Recommendations'!H:H,"N/A")</f>
        <v>0</v>
      </c>
      <c r="F132" s="47">
        <f>COUNTIFS('Recommendations'!G:G,"Phase3",'Recommendations'!M:M,"Resolved")</f>
        <v>0</v>
      </c>
      <c r="G132" s="299">
        <f t="shared" si="8"/>
        <v>0</v>
      </c>
      <c r="H132" s="299"/>
      <c r="J132" s="50" t="s">
        <v>692</v>
      </c>
      <c r="K132" s="47">
        <f>COUNTIFS('Recommendations'!G:G,"Phase3",'Recommendations'!E:E,"Must")</f>
        <v>0</v>
      </c>
      <c r="L132" s="47">
        <f>COUNTIFS('Recommendations'!G:G,"Phase3",'Recommendations'!E:E,"Should")</f>
        <v>0</v>
      </c>
      <c r="M132" s="47">
        <f>COUNTIFS('Recommendations'!G:G,"Phase3",'Recommendations'!E:E,"Could")</f>
        <v>0</v>
      </c>
      <c r="N132" s="47">
        <f>COUNTIFS('Recommendations'!G:G,"Phase3",'Recommendations'!E:E,"Won't")</f>
        <v>0</v>
      </c>
      <c r="O132" s="47">
        <f>COUNTIFS('Recommendations'!G:G,"Phase3",'Recommendations'!E:E,"Unassigned")</f>
        <v>0</v>
      </c>
    </row>
    <row r="133" spans="2:23" x14ac:dyDescent="0.35">
      <c r="B133" s="50" t="s">
        <v>693</v>
      </c>
      <c r="C133" s="298" t="s">
        <v>21</v>
      </c>
      <c r="D133" s="298"/>
      <c r="E133" s="47">
        <f>COUNTIF('Recommendations'!G:G,"Phase4")-COUNTIFS('Recommendations'!G:G,"Phase4",'Recommendations'!H:H,"Risk Accepted")-COUNTIFS('Recommendations'!G:G,"Phase4",'Recommendations'!H:H,"N/A")</f>
        <v>0</v>
      </c>
      <c r="F133" s="47">
        <f>COUNTIFS('Recommendations'!G:G,"Phase4",'Recommendations'!M:M,"Resolved")</f>
        <v>0</v>
      </c>
      <c r="G133" s="299">
        <f t="shared" si="8"/>
        <v>0</v>
      </c>
      <c r="H133" s="299"/>
      <c r="J133" s="50" t="s">
        <v>693</v>
      </c>
      <c r="K133" s="47">
        <f>COUNTIFS('Recommendations'!G:G,"Phase4",'Recommendations'!E:E,"Must")</f>
        <v>0</v>
      </c>
      <c r="L133" s="47">
        <f>COUNTIFS('Recommendations'!G:G,"Phase4",'Recommendations'!E:E,"Should")</f>
        <v>0</v>
      </c>
      <c r="M133" s="47">
        <f>COUNTIFS('Recommendations'!G:G,"Phase4",'Recommendations'!E:E,"Could")</f>
        <v>0</v>
      </c>
      <c r="N133" s="47">
        <f>COUNTIFS('Recommendations'!G:G,"Phase4",'Recommendations'!E:E,"Won't")</f>
        <v>0</v>
      </c>
      <c r="O133" s="47">
        <f>COUNTIFS('Recommendations'!G:G,"Phase4",'Recommendations'!E:E,"Unassigned")</f>
        <v>0</v>
      </c>
    </row>
    <row r="134" spans="2:23" x14ac:dyDescent="0.35">
      <c r="B134" s="50" t="s">
        <v>694</v>
      </c>
      <c r="C134" s="298" t="s">
        <v>21</v>
      </c>
      <c r="D134" s="298"/>
      <c r="E134" s="47">
        <f>COUNTIF('Recommendations'!G:G,"Phase5")-COUNTIFS('Recommendations'!G:G,"Phase5",'Recommendations'!H:H,"Risk Accepted")-COUNTIFS('Recommendations'!G:G,"Phase5",'Recommendations'!H:H,"N/A")</f>
        <v>0</v>
      </c>
      <c r="F134" s="47">
        <f>COUNTIFS('Recommendations'!G:G,"Phase5",'Recommendations'!M:M,"Resolved")</f>
        <v>0</v>
      </c>
      <c r="G134" s="299">
        <f t="shared" si="8"/>
        <v>0</v>
      </c>
      <c r="H134" s="299"/>
      <c r="J134" s="50" t="s">
        <v>694</v>
      </c>
      <c r="K134" s="47">
        <f>COUNTIFS('Recommendations'!G:G,"Phase5",'Recommendations'!E:E,"Must")</f>
        <v>0</v>
      </c>
      <c r="L134" s="47">
        <f>COUNTIFS('Recommendations'!G:G,"Phase5",'Recommendations'!E:E,"Should")</f>
        <v>0</v>
      </c>
      <c r="M134" s="47">
        <f>COUNTIFS('Recommendations'!G:G,"Phase5",'Recommendations'!E:E,"Could")</f>
        <v>0</v>
      </c>
      <c r="N134" s="47">
        <f>COUNTIFS('Recommendations'!G:G,"Phase5",'Recommendations'!E:E,"Won't")</f>
        <v>0</v>
      </c>
      <c r="O134" s="47">
        <f>COUNTIFS('Recommendations'!G:G,"Phase5",'Recommendations'!E:E,"Unassigned")</f>
        <v>0</v>
      </c>
    </row>
    <row r="135" spans="2:23" x14ac:dyDescent="0.35">
      <c r="B135" s="50" t="s">
        <v>20</v>
      </c>
      <c r="C135" s="298" t="s">
        <v>21</v>
      </c>
      <c r="D135" s="298"/>
      <c r="E135" s="47">
        <f>COUNTIF('Recommendations'!G:G,"Pending")-COUNTIFS('Recommendations'!G:G,"Pending",'Recommendations'!H:H,"Risk Accepted")-COUNTIFS('Recommendations'!G:G,"Pending",'Recommendations'!H:H,"N/A")</f>
        <v>110</v>
      </c>
      <c r="F135" s="47">
        <f>COUNTIFS('Recommendations'!G:G,"Pending",'Recommendations'!M:M,"Resolved")</f>
        <v>0</v>
      </c>
      <c r="G135" s="299">
        <f t="shared" si="8"/>
        <v>0</v>
      </c>
      <c r="H135" s="299"/>
      <c r="J135" s="50" t="s">
        <v>20</v>
      </c>
      <c r="K135" s="47">
        <f>COUNTIFS('Recommendations'!G:G,"Pending",'Recommendations'!E:E,"Must")</f>
        <v>0</v>
      </c>
      <c r="L135" s="47">
        <f>COUNTIFS('Recommendations'!G:G,"Pending",'Recommendations'!E:E,"Should")</f>
        <v>0</v>
      </c>
      <c r="M135" s="47">
        <f>COUNTIFS('Recommendations'!G:G,"Pending",'Recommendations'!E:E,"Could")</f>
        <v>0</v>
      </c>
      <c r="N135" s="47">
        <f>COUNTIFS('Recommendations'!G:G,"Pending",'Recommendations'!E:E,"Won't")</f>
        <v>0</v>
      </c>
      <c r="O135" s="47">
        <f>COUNTIFS('Recommendations'!G:G,"Pending",'Recommendations'!E:E,"Unassigned")</f>
        <v>110</v>
      </c>
    </row>
    <row r="142" spans="2:23" ht="21" x14ac:dyDescent="0.5">
      <c r="B142" s="42" t="s">
        <v>710</v>
      </c>
      <c r="P142" s="59" t="s">
        <v>711</v>
      </c>
    </row>
    <row r="144" spans="2:23" ht="60" customHeight="1" x14ac:dyDescent="0.35">
      <c r="B144" s="300" t="s">
        <v>712</v>
      </c>
      <c r="C144" s="293"/>
      <c r="D144" s="293"/>
      <c r="E144" s="293"/>
      <c r="F144" s="293"/>
      <c r="P144" s="300" t="s">
        <v>713</v>
      </c>
      <c r="Q144" s="293"/>
      <c r="R144" s="293"/>
      <c r="S144" s="293"/>
      <c r="T144" s="293"/>
      <c r="U144" s="293"/>
      <c r="V144" s="293"/>
      <c r="W144" s="293"/>
    </row>
    <row r="146" spans="15:24" ht="30" customHeight="1" x14ac:dyDescent="0.35">
      <c r="P146" s="60" t="s">
        <v>714</v>
      </c>
      <c r="Q146" s="61">
        <f>C16</f>
        <v>0</v>
      </c>
      <c r="R146" s="62"/>
      <c r="S146" s="61">
        <f>C92</f>
        <v>0</v>
      </c>
      <c r="T146" s="62"/>
      <c r="U146" s="61">
        <f>C93</f>
        <v>0</v>
      </c>
      <c r="V146" s="62"/>
      <c r="W146" s="61">
        <f>C94</f>
        <v>0</v>
      </c>
      <c r="X146" s="62"/>
    </row>
    <row r="147" spans="15:24" ht="35" customHeight="1" x14ac:dyDescent="0.35">
      <c r="P147" s="63" t="s">
        <v>715</v>
      </c>
      <c r="Q147" s="63" t="s">
        <v>716</v>
      </c>
      <c r="R147" s="63" t="s">
        <v>717</v>
      </c>
      <c r="S147" s="63" t="s">
        <v>718</v>
      </c>
      <c r="T147" s="63" t="s">
        <v>719</v>
      </c>
      <c r="U147" s="63" t="s">
        <v>720</v>
      </c>
      <c r="V147" s="63" t="s">
        <v>721</v>
      </c>
      <c r="W147" s="63" t="s">
        <v>722</v>
      </c>
      <c r="X147" s="63" t="s">
        <v>723</v>
      </c>
    </row>
    <row r="148" spans="15:24" x14ac:dyDescent="0.35">
      <c r="O148" s="64" t="s">
        <v>724</v>
      </c>
      <c r="P148" s="65" t="s">
        <v>725</v>
      </c>
      <c r="Q148" s="66">
        <v>0</v>
      </c>
      <c r="R148" s="67">
        <f>IF(Dashboard!F16&gt;0, Q148/Dashboard!F16, "")</f>
        <v>0</v>
      </c>
      <c r="S148" s="66">
        <v>0</v>
      </c>
      <c r="T148" s="67" t="str">
        <f>IF(AND(NOT(ISBLANK(S148)),Dashboard!F92&gt;0), S148/Dashboard!F92, "")</f>
        <v/>
      </c>
      <c r="U148" s="66">
        <v>0</v>
      </c>
      <c r="V148" s="67" t="str">
        <f>IF(AND(NOT(ISBLANK(U148)),Dashboard!F93&gt;0), U148/Dashboard!F93, "")</f>
        <v/>
      </c>
      <c r="W148" s="66">
        <v>0</v>
      </c>
      <c r="X148" s="67" t="str">
        <f>IF(AND(NOT(ISBLANK(W148)),Dashboard!F94&gt;0), W148/Dashboard!F94, "")</f>
        <v/>
      </c>
    </row>
    <row r="149" spans="15:24" x14ac:dyDescent="0.35">
      <c r="P149" s="58"/>
      <c r="Q149" s="45"/>
      <c r="R149" s="48" t="str">
        <f>IF(AND(NOT(ISBLANK(Q149)),Dashboard!F16&gt;0), Q149/Dashboard!F16, "")</f>
        <v/>
      </c>
      <c r="S149" s="45"/>
      <c r="T149" s="48" t="str">
        <f>IF(AND(NOT(ISBLANK(S149)),Dashboard!F92&gt;0), S149/Dashboard!F92, "")</f>
        <v/>
      </c>
      <c r="U149" s="45"/>
      <c r="V149" s="48" t="str">
        <f>IF(AND(NOT(ISBLANK(U149)),Dashboard!F93&gt;0), U149/Dashboard!F93, "")</f>
        <v/>
      </c>
      <c r="W149" s="45"/>
      <c r="X149" s="48" t="str">
        <f>IF(AND(NOT(ISBLANK(W149)),Dashboard!F94&gt;0), W149/Dashboard!F94, "")</f>
        <v/>
      </c>
    </row>
    <row r="150" spans="15:24" x14ac:dyDescent="0.35">
      <c r="P150" s="58"/>
      <c r="Q150" s="45"/>
      <c r="R150" s="48" t="str">
        <f>IF(AND(NOT(ISBLANK(Q150)),Dashboard!F16&gt;0), Q150/Dashboard!F16, "")</f>
        <v/>
      </c>
      <c r="S150" s="45"/>
      <c r="T150" s="48" t="str">
        <f>IF(AND(NOT(ISBLANK(S150)),Dashboard!F92&gt;0), S150/Dashboard!F92, "")</f>
        <v/>
      </c>
      <c r="U150" s="45"/>
      <c r="V150" s="48" t="str">
        <f>IF(AND(NOT(ISBLANK(U150)),Dashboard!F93&gt;0), U150/Dashboard!F93, "")</f>
        <v/>
      </c>
      <c r="W150" s="45"/>
      <c r="X150" s="48" t="str">
        <f>IF(AND(NOT(ISBLANK(W150)),Dashboard!F94&gt;0), W150/Dashboard!F94, "")</f>
        <v/>
      </c>
    </row>
    <row r="151" spans="15:24" x14ac:dyDescent="0.35">
      <c r="P151" s="58"/>
      <c r="Q151" s="45"/>
      <c r="R151" s="48" t="str">
        <f>IF(AND(NOT(ISBLANK(Q151)),Dashboard!F16&gt;0), Q151/Dashboard!F16, "")</f>
        <v/>
      </c>
      <c r="S151" s="45"/>
      <c r="T151" s="48" t="str">
        <f>IF(AND(NOT(ISBLANK(S151)),Dashboard!F92&gt;0), S151/Dashboard!F92, "")</f>
        <v/>
      </c>
      <c r="U151" s="45"/>
      <c r="V151" s="48" t="str">
        <f>IF(AND(NOT(ISBLANK(U151)),Dashboard!F93&gt;0), U151/Dashboard!F93, "")</f>
        <v/>
      </c>
      <c r="W151" s="45"/>
      <c r="X151" s="48" t="str">
        <f>IF(AND(NOT(ISBLANK(W151)),Dashboard!F94&gt;0), W151/Dashboard!F94, "")</f>
        <v/>
      </c>
    </row>
    <row r="152" spans="15:24" x14ac:dyDescent="0.35">
      <c r="P152" s="58"/>
      <c r="Q152" s="45"/>
      <c r="R152" s="48" t="str">
        <f>IF(AND(NOT(ISBLANK(Q152)),Dashboard!F16&gt;0), Q152/Dashboard!F16, "")</f>
        <v/>
      </c>
      <c r="S152" s="45"/>
      <c r="T152" s="48" t="str">
        <f>IF(AND(NOT(ISBLANK(S152)),Dashboard!F92&gt;0), S152/Dashboard!F92, "")</f>
        <v/>
      </c>
      <c r="U152" s="45"/>
      <c r="V152" s="48" t="str">
        <f>IF(AND(NOT(ISBLANK(U152)),Dashboard!F93&gt;0), U152/Dashboard!F93, "")</f>
        <v/>
      </c>
      <c r="W152" s="45"/>
      <c r="X152" s="48" t="str">
        <f>IF(AND(NOT(ISBLANK(W152)),Dashboard!F94&gt;0), W152/Dashboard!F94, "")</f>
        <v/>
      </c>
    </row>
    <row r="153" spans="15:24" x14ac:dyDescent="0.35">
      <c r="P153" s="58"/>
      <c r="Q153" s="45"/>
      <c r="R153" s="48" t="str">
        <f>IF(AND(NOT(ISBLANK(Q153)),Dashboard!F16&gt;0), Q153/Dashboard!F16, "")</f>
        <v/>
      </c>
      <c r="S153" s="45"/>
      <c r="T153" s="48" t="str">
        <f>IF(AND(NOT(ISBLANK(S153)),Dashboard!F92&gt;0), S153/Dashboard!F92, "")</f>
        <v/>
      </c>
      <c r="U153" s="45"/>
      <c r="V153" s="48" t="str">
        <f>IF(AND(NOT(ISBLANK(U153)),Dashboard!F93&gt;0), U153/Dashboard!F93, "")</f>
        <v/>
      </c>
      <c r="W153" s="45"/>
      <c r="X153" s="48" t="str">
        <f>IF(AND(NOT(ISBLANK(W153)),Dashboard!F94&gt;0), W153/Dashboard!F94, "")</f>
        <v/>
      </c>
    </row>
    <row r="154" spans="15:24" x14ac:dyDescent="0.35">
      <c r="P154" s="58"/>
      <c r="Q154" s="45"/>
      <c r="R154" s="48" t="str">
        <f>IF(AND(NOT(ISBLANK(Q154)),Dashboard!F16&gt;0), Q154/Dashboard!F16, "")</f>
        <v/>
      </c>
      <c r="S154" s="45"/>
      <c r="T154" s="48" t="str">
        <f>IF(AND(NOT(ISBLANK(S154)),Dashboard!F92&gt;0), S154/Dashboard!F92, "")</f>
        <v/>
      </c>
      <c r="U154" s="45"/>
      <c r="V154" s="48" t="str">
        <f>IF(AND(NOT(ISBLANK(U154)),Dashboard!F93&gt;0), U154/Dashboard!F93, "")</f>
        <v/>
      </c>
      <c r="W154" s="45"/>
      <c r="X154" s="48" t="str">
        <f>IF(AND(NOT(ISBLANK(W154)),Dashboard!F94&gt;0), W154/Dashboard!F94, "")</f>
        <v/>
      </c>
    </row>
    <row r="155" spans="15:24" x14ac:dyDescent="0.35">
      <c r="P155" s="58"/>
      <c r="Q155" s="45"/>
      <c r="R155" s="48" t="str">
        <f>IF(AND(NOT(ISBLANK(Q155)),Dashboard!F16&gt;0), Q155/Dashboard!F16, "")</f>
        <v/>
      </c>
      <c r="S155" s="45"/>
      <c r="T155" s="48" t="str">
        <f>IF(AND(NOT(ISBLANK(S155)),Dashboard!F92&gt;0), S155/Dashboard!F92, "")</f>
        <v/>
      </c>
      <c r="U155" s="45"/>
      <c r="V155" s="48" t="str">
        <f>IF(AND(NOT(ISBLANK(U155)),Dashboard!F93&gt;0), U155/Dashboard!F93, "")</f>
        <v/>
      </c>
      <c r="W155" s="45"/>
      <c r="X155" s="48" t="str">
        <f>IF(AND(NOT(ISBLANK(W155)),Dashboard!F94&gt;0), W155/Dashboard!F94, "")</f>
        <v/>
      </c>
    </row>
    <row r="156" spans="15:24" x14ac:dyDescent="0.35">
      <c r="P156" s="58"/>
      <c r="Q156" s="45"/>
      <c r="R156" s="48" t="str">
        <f>IF(AND(NOT(ISBLANK(Q156)),Dashboard!F16&gt;0), Q156/Dashboard!F16, "")</f>
        <v/>
      </c>
      <c r="S156" s="45"/>
      <c r="T156" s="48" t="str">
        <f>IF(AND(NOT(ISBLANK(S156)),Dashboard!F92&gt;0), S156/Dashboard!F92, "")</f>
        <v/>
      </c>
      <c r="U156" s="45"/>
      <c r="V156" s="48" t="str">
        <f>IF(AND(NOT(ISBLANK(U156)),Dashboard!F93&gt;0), U156/Dashboard!F93, "")</f>
        <v/>
      </c>
      <c r="W156" s="45"/>
      <c r="X156" s="48" t="str">
        <f>IF(AND(NOT(ISBLANK(W156)),Dashboard!F94&gt;0), W156/Dashboard!F94, "")</f>
        <v/>
      </c>
    </row>
    <row r="157" spans="15:24" x14ac:dyDescent="0.35">
      <c r="P157" s="58"/>
      <c r="Q157" s="45"/>
      <c r="R157" s="48" t="str">
        <f>IF(AND(NOT(ISBLANK(Q157)),Dashboard!F16&gt;0), Q157/Dashboard!F16, "")</f>
        <v/>
      </c>
      <c r="S157" s="45"/>
      <c r="T157" s="48" t="str">
        <f>IF(AND(NOT(ISBLANK(S157)),Dashboard!F92&gt;0), S157/Dashboard!F92, "")</f>
        <v/>
      </c>
      <c r="U157" s="45"/>
      <c r="V157" s="48" t="str">
        <f>IF(AND(NOT(ISBLANK(U157)),Dashboard!F93&gt;0), U157/Dashboard!F93, "")</f>
        <v/>
      </c>
      <c r="W157" s="45"/>
      <c r="X157" s="48" t="str">
        <f>IF(AND(NOT(ISBLANK(W157)),Dashboard!F94&gt;0), W157/Dashboard!F94, "")</f>
        <v/>
      </c>
    </row>
    <row r="158" spans="15:24" x14ac:dyDescent="0.35">
      <c r="P158" s="58"/>
      <c r="Q158" s="45"/>
      <c r="R158" s="48" t="str">
        <f>IF(AND(NOT(ISBLANK(Q158)),Dashboard!F16&gt;0), Q158/Dashboard!F16, "")</f>
        <v/>
      </c>
      <c r="S158" s="45"/>
      <c r="T158" s="48" t="str">
        <f>IF(AND(NOT(ISBLANK(S158)),Dashboard!F92&gt;0), S158/Dashboard!F92, "")</f>
        <v/>
      </c>
      <c r="U158" s="45"/>
      <c r="V158" s="48" t="str">
        <f>IF(AND(NOT(ISBLANK(U158)),Dashboard!F93&gt;0), U158/Dashboard!F93, "")</f>
        <v/>
      </c>
      <c r="W158" s="45"/>
      <c r="X158" s="48" t="str">
        <f>IF(AND(NOT(ISBLANK(W158)),Dashboard!F94&gt;0), W158/Dashboard!F94, "")</f>
        <v/>
      </c>
    </row>
    <row r="159" spans="15:24" x14ac:dyDescent="0.35">
      <c r="P159" s="58"/>
      <c r="Q159" s="45"/>
      <c r="R159" s="48" t="str">
        <f>IF(AND(NOT(ISBLANK(Q159)),Dashboard!F16&gt;0), Q159/Dashboard!F16, "")</f>
        <v/>
      </c>
      <c r="S159" s="45"/>
      <c r="T159" s="48" t="str">
        <f>IF(AND(NOT(ISBLANK(S159)),Dashboard!F92&gt;0), S159/Dashboard!F92, "")</f>
        <v/>
      </c>
      <c r="U159" s="45"/>
      <c r="V159" s="48" t="str">
        <f>IF(AND(NOT(ISBLANK(U159)),Dashboard!F93&gt;0), U159/Dashboard!F93, "")</f>
        <v/>
      </c>
      <c r="W159" s="45"/>
      <c r="X159" s="48" t="str">
        <f>IF(AND(NOT(ISBLANK(W159)),Dashboard!F94&gt;0), W159/Dashboard!F94, "")</f>
        <v/>
      </c>
    </row>
    <row r="160" spans="15:24" x14ac:dyDescent="0.35">
      <c r="P160" s="58"/>
      <c r="Q160" s="45"/>
      <c r="R160" s="48" t="str">
        <f>IF(AND(NOT(ISBLANK(Q160)),Dashboard!F16&gt;0), Q160/Dashboard!F16, "")</f>
        <v/>
      </c>
      <c r="S160" s="45"/>
      <c r="T160" s="48" t="str">
        <f>IF(AND(NOT(ISBLANK(S160)),Dashboard!F92&gt;0), S160/Dashboard!F92, "")</f>
        <v/>
      </c>
      <c r="U160" s="45"/>
      <c r="V160" s="48" t="str">
        <f>IF(AND(NOT(ISBLANK(U160)),Dashboard!F93&gt;0), U160/Dashboard!F93, "")</f>
        <v/>
      </c>
      <c r="W160" s="45"/>
      <c r="X160" s="48" t="str">
        <f>IF(AND(NOT(ISBLANK(W160)),Dashboard!F94&gt;0), W160/Dashboard!F94, "")</f>
        <v/>
      </c>
    </row>
    <row r="161" spans="16:24" x14ac:dyDescent="0.35">
      <c r="P161" s="58"/>
      <c r="Q161" s="45"/>
      <c r="R161" s="48" t="str">
        <f>IF(AND(NOT(ISBLANK(Q161)),Dashboard!F16&gt;0), Q161/Dashboard!F16, "")</f>
        <v/>
      </c>
      <c r="S161" s="45"/>
      <c r="T161" s="48" t="str">
        <f>IF(AND(NOT(ISBLANK(S161)),Dashboard!F92&gt;0), S161/Dashboard!F92, "")</f>
        <v/>
      </c>
      <c r="U161" s="45"/>
      <c r="V161" s="48" t="str">
        <f>IF(AND(NOT(ISBLANK(U161)),Dashboard!F93&gt;0), U161/Dashboard!F93, "")</f>
        <v/>
      </c>
      <c r="W161" s="45"/>
      <c r="X161" s="48" t="str">
        <f>IF(AND(NOT(ISBLANK(W161)),Dashboard!F94&gt;0), W161/Dashboard!F94, "")</f>
        <v/>
      </c>
    </row>
    <row r="162" spans="16:24" x14ac:dyDescent="0.35">
      <c r="P162" s="58"/>
      <c r="Q162" s="45"/>
      <c r="R162" s="48" t="str">
        <f>IF(AND(NOT(ISBLANK(Q162)),Dashboard!F16&gt;0), Q162/Dashboard!F16, "")</f>
        <v/>
      </c>
      <c r="S162" s="45"/>
      <c r="T162" s="48" t="str">
        <f>IF(AND(NOT(ISBLANK(S162)),Dashboard!F92&gt;0), S162/Dashboard!F92, "")</f>
        <v/>
      </c>
      <c r="U162" s="45"/>
      <c r="V162" s="48" t="str">
        <f>IF(AND(NOT(ISBLANK(U162)),Dashboard!F93&gt;0), U162/Dashboard!F93, "")</f>
        <v/>
      </c>
      <c r="W162" s="45"/>
      <c r="X162" s="48" t="str">
        <f>IF(AND(NOT(ISBLANK(W162)),Dashboard!F94&gt;0), W162/Dashboard!F94, "")</f>
        <v/>
      </c>
    </row>
    <row r="163" spans="16:24" x14ac:dyDescent="0.35">
      <c r="P163" s="58"/>
      <c r="Q163" s="45"/>
      <c r="R163" s="48" t="str">
        <f>IF(AND(NOT(ISBLANK(Q163)),Dashboard!F16&gt;0), Q163/Dashboard!F16, "")</f>
        <v/>
      </c>
      <c r="S163" s="45"/>
      <c r="T163" s="48" t="str">
        <f>IF(AND(NOT(ISBLANK(S163)),Dashboard!F92&gt;0), S163/Dashboard!F92, "")</f>
        <v/>
      </c>
      <c r="U163" s="45"/>
      <c r="V163" s="48" t="str">
        <f>IF(AND(NOT(ISBLANK(U163)),Dashboard!F93&gt;0), U163/Dashboard!F93, "")</f>
        <v/>
      </c>
      <c r="W163" s="45"/>
      <c r="X163" s="48" t="str">
        <f>IF(AND(NOT(ISBLANK(W163)),Dashboard!F94&gt;0), W163/Dashboard!F94, "")</f>
        <v/>
      </c>
    </row>
    <row r="164" spans="16:24" x14ac:dyDescent="0.35">
      <c r="P164" s="58"/>
      <c r="Q164" s="45"/>
      <c r="R164" s="48" t="str">
        <f>IF(AND(NOT(ISBLANK(Q164)),Dashboard!F16&gt;0), Q164/Dashboard!F16, "")</f>
        <v/>
      </c>
      <c r="S164" s="45"/>
      <c r="T164" s="48" t="str">
        <f>IF(AND(NOT(ISBLANK(S164)),Dashboard!F92&gt;0), S164/Dashboard!F92, "")</f>
        <v/>
      </c>
      <c r="U164" s="45"/>
      <c r="V164" s="48" t="str">
        <f>IF(AND(NOT(ISBLANK(U164)),Dashboard!F93&gt;0), U164/Dashboard!F93, "")</f>
        <v/>
      </c>
      <c r="W164" s="45"/>
      <c r="X164" s="48" t="str">
        <f>IF(AND(NOT(ISBLANK(W164)),Dashboard!F94&gt;0), W164/Dashboard!F94, "")</f>
        <v/>
      </c>
    </row>
    <row r="165" spans="16:24" x14ac:dyDescent="0.35">
      <c r="P165" s="58"/>
      <c r="Q165" s="45"/>
      <c r="R165" s="48" t="str">
        <f>IF(AND(NOT(ISBLANK(Q165)),Dashboard!F16&gt;0), Q165/Dashboard!F16, "")</f>
        <v/>
      </c>
      <c r="S165" s="45"/>
      <c r="T165" s="48" t="str">
        <f>IF(AND(NOT(ISBLANK(S165)),Dashboard!F92&gt;0), S165/Dashboard!F92, "")</f>
        <v/>
      </c>
      <c r="U165" s="45"/>
      <c r="V165" s="48" t="str">
        <f>IF(AND(NOT(ISBLANK(U165)),Dashboard!F93&gt;0), U165/Dashboard!F93, "")</f>
        <v/>
      </c>
      <c r="W165" s="45"/>
      <c r="X165" s="48" t="str">
        <f>IF(AND(NOT(ISBLANK(W165)),Dashboard!F94&gt;0), W165/Dashboard!F94, "")</f>
        <v/>
      </c>
    </row>
    <row r="166" spans="16:24" x14ac:dyDescent="0.35">
      <c r="P166" s="58"/>
      <c r="Q166" s="45"/>
      <c r="R166" s="48" t="str">
        <f>IF(AND(NOT(ISBLANK(Q166)),Dashboard!F16&gt;0), Q166/Dashboard!F16, "")</f>
        <v/>
      </c>
      <c r="S166" s="45"/>
      <c r="T166" s="48" t="str">
        <f>IF(AND(NOT(ISBLANK(S166)),Dashboard!F92&gt;0), S166/Dashboard!F92, "")</f>
        <v/>
      </c>
      <c r="U166" s="45"/>
      <c r="V166" s="48" t="str">
        <f>IF(AND(NOT(ISBLANK(U166)),Dashboard!F93&gt;0), U166/Dashboard!F93, "")</f>
        <v/>
      </c>
      <c r="W166" s="45"/>
      <c r="X166" s="48" t="str">
        <f>IF(AND(NOT(ISBLANK(W166)),Dashboard!F94&gt;0), W166/Dashboard!F94, "")</f>
        <v/>
      </c>
    </row>
    <row r="167" spans="16:24" x14ac:dyDescent="0.35">
      <c r="P167" s="58"/>
      <c r="Q167" s="45"/>
      <c r="R167" s="48" t="str">
        <f>IF(AND(NOT(ISBLANK(Q167)),Dashboard!F16&gt;0), Q167/Dashboard!F16, "")</f>
        <v/>
      </c>
      <c r="S167" s="45"/>
      <c r="T167" s="48" t="str">
        <f>IF(AND(NOT(ISBLANK(S167)),Dashboard!F92&gt;0), S167/Dashboard!F92, "")</f>
        <v/>
      </c>
      <c r="U167" s="45"/>
      <c r="V167" s="48" t="str">
        <f>IF(AND(NOT(ISBLANK(U167)),Dashboard!F93&gt;0), U167/Dashboard!F93, "")</f>
        <v/>
      </c>
      <c r="W167" s="45"/>
      <c r="X167" s="48" t="str">
        <f>IF(AND(NOT(ISBLANK(W167)),Dashboard!F94&gt;0), W167/Dashboard!F94, "")</f>
        <v/>
      </c>
    </row>
    <row r="168" spans="16:24" x14ac:dyDescent="0.35">
      <c r="P168" s="58"/>
      <c r="Q168" s="45"/>
      <c r="R168" s="48" t="str">
        <f>IF(AND(NOT(ISBLANK(Q168)),Dashboard!F16&gt;0), Q168/Dashboard!F16, "")</f>
        <v/>
      </c>
      <c r="S168" s="45"/>
      <c r="T168" s="48" t="str">
        <f>IF(AND(NOT(ISBLANK(S168)),Dashboard!F92&gt;0), S168/Dashboard!F92, "")</f>
        <v/>
      </c>
      <c r="U168" s="45"/>
      <c r="V168" s="48" t="str">
        <f>IF(AND(NOT(ISBLANK(U168)),Dashboard!F93&gt;0), U168/Dashboard!F93, "")</f>
        <v/>
      </c>
      <c r="W168" s="45"/>
      <c r="X168" s="48" t="str">
        <f>IF(AND(NOT(ISBLANK(W168)),Dashboard!F94&gt;0), W168/Dashboard!F94, "")</f>
        <v/>
      </c>
    </row>
    <row r="169" spans="16:24" x14ac:dyDescent="0.35">
      <c r="P169" s="58"/>
      <c r="Q169" s="45"/>
      <c r="R169" s="48" t="str">
        <f>IF(AND(NOT(ISBLANK(Q169)),Dashboard!F16&gt;0), Q169/Dashboard!F16, "")</f>
        <v/>
      </c>
      <c r="S169" s="45"/>
      <c r="T169" s="48" t="str">
        <f>IF(AND(NOT(ISBLANK(S169)),Dashboard!F92&gt;0), S169/Dashboard!F92, "")</f>
        <v/>
      </c>
      <c r="U169" s="45"/>
      <c r="V169" s="48" t="str">
        <f>IF(AND(NOT(ISBLANK(U169)),Dashboard!F93&gt;0), U169/Dashboard!F93, "")</f>
        <v/>
      </c>
      <c r="W169" s="45"/>
      <c r="X169" s="48" t="str">
        <f>IF(AND(NOT(ISBLANK(W169)),Dashboard!F94&gt;0), W169/Dashboard!F94, "")</f>
        <v/>
      </c>
    </row>
    <row r="170" spans="16:24" x14ac:dyDescent="0.35">
      <c r="P170" s="58"/>
      <c r="Q170" s="45"/>
      <c r="R170" s="48" t="str">
        <f>IF(AND(NOT(ISBLANK(Q170)),Dashboard!F16&gt;0), Q170/Dashboard!F16, "")</f>
        <v/>
      </c>
      <c r="S170" s="45"/>
      <c r="T170" s="48" t="str">
        <f>IF(AND(NOT(ISBLANK(S170)),Dashboard!F92&gt;0), S170/Dashboard!F92, "")</f>
        <v/>
      </c>
      <c r="U170" s="45"/>
      <c r="V170" s="48" t="str">
        <f>IF(AND(NOT(ISBLANK(U170)),Dashboard!F93&gt;0), U170/Dashboard!F93, "")</f>
        <v/>
      </c>
      <c r="W170" s="45"/>
      <c r="X170" s="48" t="str">
        <f>IF(AND(NOT(ISBLANK(W170)),Dashboard!F94&gt;0), W170/Dashboard!F94, "")</f>
        <v/>
      </c>
    </row>
    <row r="171" spans="16:24" x14ac:dyDescent="0.35">
      <c r="P171" s="58"/>
      <c r="Q171" s="45"/>
      <c r="R171" s="48" t="str">
        <f>IF(AND(NOT(ISBLANK(Q171)),Dashboard!F16&gt;0), Q171/Dashboard!F16, "")</f>
        <v/>
      </c>
      <c r="S171" s="45"/>
      <c r="T171" s="48" t="str">
        <f>IF(AND(NOT(ISBLANK(S171)),Dashboard!F92&gt;0), S171/Dashboard!F92, "")</f>
        <v/>
      </c>
      <c r="U171" s="45"/>
      <c r="V171" s="48" t="str">
        <f>IF(AND(NOT(ISBLANK(U171)),Dashboard!F93&gt;0), U171/Dashboard!F93, "")</f>
        <v/>
      </c>
      <c r="W171" s="45"/>
      <c r="X171" s="48" t="str">
        <f>IF(AND(NOT(ISBLANK(W171)),Dashboard!F94&gt;0), W171/Dashboard!F94, "")</f>
        <v/>
      </c>
    </row>
    <row r="172" spans="16:24" x14ac:dyDescent="0.35">
      <c r="P172" s="58"/>
      <c r="Q172" s="45"/>
      <c r="R172" s="48" t="str">
        <f>IF(AND(NOT(ISBLANK(Q172)),Dashboard!F16&gt;0), Q172/Dashboard!F16, "")</f>
        <v/>
      </c>
      <c r="S172" s="45"/>
      <c r="T172" s="48" t="str">
        <f>IF(AND(NOT(ISBLANK(S172)),Dashboard!F92&gt;0), S172/Dashboard!F92, "")</f>
        <v/>
      </c>
      <c r="U172" s="45"/>
      <c r="V172" s="48" t="str">
        <f>IF(AND(NOT(ISBLANK(U172)),Dashboard!F93&gt;0), U172/Dashboard!F93, "")</f>
        <v/>
      </c>
      <c r="W172" s="45"/>
      <c r="X172" s="48" t="str">
        <f>IF(AND(NOT(ISBLANK(W172)),Dashboard!F94&gt;0), W172/Dashboard!F94, "")</f>
        <v/>
      </c>
    </row>
    <row r="173" spans="16:24" x14ac:dyDescent="0.35">
      <c r="P173" s="58"/>
      <c r="Q173" s="45"/>
      <c r="R173" s="48" t="str">
        <f>IF(AND(NOT(ISBLANK(Q173)),Dashboard!F16&gt;0), Q173/Dashboard!F16, "")</f>
        <v/>
      </c>
      <c r="S173" s="45"/>
      <c r="T173" s="48" t="str">
        <f>IF(AND(NOT(ISBLANK(S173)),Dashboard!F92&gt;0), S173/Dashboard!F92, "")</f>
        <v/>
      </c>
      <c r="U173" s="45"/>
      <c r="V173" s="48" t="str">
        <f>IF(AND(NOT(ISBLANK(U173)),Dashboard!F93&gt;0), U173/Dashboard!F93, "")</f>
        <v/>
      </c>
      <c r="W173" s="45"/>
      <c r="X173" s="48" t="str">
        <f>IF(AND(NOT(ISBLANK(W173)),Dashboard!F94&gt;0), W173/Dashboard!F94, "")</f>
        <v/>
      </c>
    </row>
    <row r="174" spans="16:24" x14ac:dyDescent="0.35">
      <c r="P174" s="58"/>
      <c r="Q174" s="45"/>
      <c r="R174" s="48" t="str">
        <f>IF(AND(NOT(ISBLANK(Q174)),Dashboard!F16&gt;0), Q174/Dashboard!F16, "")</f>
        <v/>
      </c>
      <c r="S174" s="45"/>
      <c r="T174" s="48" t="str">
        <f>IF(AND(NOT(ISBLANK(S174)),Dashboard!F92&gt;0), S174/Dashboard!F92, "")</f>
        <v/>
      </c>
      <c r="U174" s="45"/>
      <c r="V174" s="48" t="str">
        <f>IF(AND(NOT(ISBLANK(U174)),Dashboard!F93&gt;0), U174/Dashboard!F93, "")</f>
        <v/>
      </c>
      <c r="W174" s="45"/>
      <c r="X174" s="48" t="str">
        <f>IF(AND(NOT(ISBLANK(W174)),Dashboard!F94&gt;0), W174/Dashboard!F94, "")</f>
        <v/>
      </c>
    </row>
    <row r="175" spans="16:24" x14ac:dyDescent="0.35">
      <c r="P175" s="58"/>
      <c r="Q175" s="45"/>
      <c r="R175" s="48" t="str">
        <f>IF(AND(NOT(ISBLANK(Q175)),Dashboard!F16&gt;0), Q175/Dashboard!F16, "")</f>
        <v/>
      </c>
      <c r="S175" s="45"/>
      <c r="T175" s="48" t="str">
        <f>IF(AND(NOT(ISBLANK(S175)),Dashboard!F92&gt;0), S175/Dashboard!F92, "")</f>
        <v/>
      </c>
      <c r="U175" s="45"/>
      <c r="V175" s="48" t="str">
        <f>IF(AND(NOT(ISBLANK(U175)),Dashboard!F93&gt;0), U175/Dashboard!F93, "")</f>
        <v/>
      </c>
      <c r="W175" s="45"/>
      <c r="X175" s="48" t="str">
        <f>IF(AND(NOT(ISBLANK(W175)),Dashboard!F94&gt;0), W175/Dashboard!F94, "")</f>
        <v/>
      </c>
    </row>
    <row r="176" spans="16:24" x14ac:dyDescent="0.35">
      <c r="P176" s="58"/>
      <c r="Q176" s="45"/>
      <c r="R176" s="48" t="str">
        <f>IF(AND(NOT(ISBLANK(Q176)),Dashboard!F16&gt;0), Q176/Dashboard!F16, "")</f>
        <v/>
      </c>
      <c r="S176" s="45"/>
      <c r="T176" s="48" t="str">
        <f>IF(AND(NOT(ISBLANK(S176)),Dashboard!F92&gt;0), S176/Dashboard!F92, "")</f>
        <v/>
      </c>
      <c r="U176" s="45"/>
      <c r="V176" s="48" t="str">
        <f>IF(AND(NOT(ISBLANK(U176)),Dashboard!F93&gt;0), U176/Dashboard!F93, "")</f>
        <v/>
      </c>
      <c r="W176" s="45"/>
      <c r="X176" s="48" t="str">
        <f>IF(AND(NOT(ISBLANK(W176)),Dashboard!F94&gt;0), W176/Dashboard!F94, "")</f>
        <v/>
      </c>
    </row>
    <row r="177" spans="2:24" x14ac:dyDescent="0.35">
      <c r="P177" s="58"/>
      <c r="Q177" s="45"/>
      <c r="R177" s="48" t="str">
        <f>IF(AND(NOT(ISBLANK(Q177)),Dashboard!F16&gt;0), Q177/Dashboard!F16, "")</f>
        <v/>
      </c>
      <c r="S177" s="45"/>
      <c r="T177" s="48" t="str">
        <f>IF(AND(NOT(ISBLANK(S177)),Dashboard!F92&gt;0), S177/Dashboard!F92, "")</f>
        <v/>
      </c>
      <c r="U177" s="45"/>
      <c r="V177" s="48" t="str">
        <f>IF(AND(NOT(ISBLANK(U177)),Dashboard!F93&gt;0), U177/Dashboard!F93, "")</f>
        <v/>
      </c>
      <c r="W177" s="45"/>
      <c r="X177" s="48" t="str">
        <f>IF(AND(NOT(ISBLANK(W177)),Dashboard!F94&gt;0), W177/Dashboard!F94, "")</f>
        <v/>
      </c>
    </row>
    <row r="178" spans="2:24" x14ac:dyDescent="0.35">
      <c r="P178" s="58"/>
      <c r="Q178" s="45"/>
      <c r="R178" s="48" t="str">
        <f>IF(AND(NOT(ISBLANK(Q178)),Dashboard!F16&gt;0), Q178/Dashboard!F16, "")</f>
        <v/>
      </c>
      <c r="S178" s="45"/>
      <c r="T178" s="48" t="str">
        <f>IF(AND(NOT(ISBLANK(S178)),Dashboard!F92&gt;0), S178/Dashboard!F92, "")</f>
        <v/>
      </c>
      <c r="U178" s="45"/>
      <c r="V178" s="48" t="str">
        <f>IF(AND(NOT(ISBLANK(U178)),Dashboard!F93&gt;0), U178/Dashboard!F93, "")</f>
        <v/>
      </c>
      <c r="W178" s="45"/>
      <c r="X178" s="48" t="str">
        <f>IF(AND(NOT(ISBLANK(W178)),Dashboard!F94&gt;0), W178/Dashboard!F94, "")</f>
        <v/>
      </c>
    </row>
    <row r="183" spans="2:24" ht="21" x14ac:dyDescent="0.5">
      <c r="B183" s="42" t="s">
        <v>726</v>
      </c>
      <c r="P183" s="59" t="s">
        <v>727</v>
      </c>
    </row>
    <row r="185" spans="2:24" ht="45" customHeight="1" x14ac:dyDescent="0.35">
      <c r="B185" s="300" t="s">
        <v>728</v>
      </c>
      <c r="C185" s="293"/>
      <c r="D185" s="293"/>
      <c r="E185" s="293"/>
      <c r="F185" s="293"/>
      <c r="P185" s="300" t="s">
        <v>729</v>
      </c>
      <c r="Q185" s="293"/>
      <c r="R185" s="293"/>
      <c r="S185" s="293"/>
      <c r="T185" s="293"/>
      <c r="U185" s="293"/>
    </row>
    <row r="186" spans="2:24" ht="35" customHeight="1" x14ac:dyDescent="0.35">
      <c r="P186" s="297" t="s">
        <v>730</v>
      </c>
      <c r="Q186" s="297"/>
      <c r="R186" s="297" t="s">
        <v>731</v>
      </c>
      <c r="S186" s="297"/>
      <c r="T186" s="297"/>
    </row>
    <row r="187" spans="2:24" ht="30" customHeight="1" x14ac:dyDescent="0.35">
      <c r="P187" s="301">
        <v>0</v>
      </c>
      <c r="Q187" s="302"/>
      <c r="R187" s="303" t="s">
        <v>732</v>
      </c>
      <c r="S187" s="304"/>
      <c r="T187" s="304"/>
    </row>
    <row r="190" spans="2:24" ht="25" customHeight="1" x14ac:dyDescent="0.35">
      <c r="P190" s="68" t="s">
        <v>715</v>
      </c>
      <c r="Q190" s="68" t="s">
        <v>733</v>
      </c>
      <c r="R190" s="68" t="s">
        <v>734</v>
      </c>
      <c r="S190" s="305" t="s">
        <v>8</v>
      </c>
      <c r="T190" s="305"/>
      <c r="U190" s="305"/>
      <c r="V190" s="293"/>
    </row>
    <row r="191" spans="2:24" ht="20" customHeight="1" x14ac:dyDescent="0.35">
      <c r="P191" s="70"/>
      <c r="Q191" s="71"/>
      <c r="R191" s="72" t="str">
        <f>IF(AND(NOT(ISBLANK(Q191)), Dashboard!$P187&gt;0), Q191/Dashboard!$P187, "")</f>
        <v/>
      </c>
      <c r="S191" s="306"/>
      <c r="T191" s="307"/>
      <c r="U191" s="307"/>
      <c r="V191" s="307"/>
    </row>
    <row r="192" spans="2:24" ht="20" customHeight="1" x14ac:dyDescent="0.35">
      <c r="P192" s="70"/>
      <c r="Q192" s="71"/>
      <c r="R192" s="72" t="str">
        <f>IF(AND(NOT(ISBLANK(Q192)), Dashboard!$P187&gt;0), Q192/Dashboard!$P187, "")</f>
        <v/>
      </c>
      <c r="S192" s="306"/>
      <c r="T192" s="307"/>
      <c r="U192" s="307"/>
      <c r="V192" s="307"/>
    </row>
    <row r="193" spans="16:22" ht="20" customHeight="1" x14ac:dyDescent="0.35">
      <c r="P193" s="70"/>
      <c r="Q193" s="71"/>
      <c r="R193" s="72" t="str">
        <f>IF(AND(NOT(ISBLANK(Q193)), Dashboard!$P187&gt;0), Q193/Dashboard!$P187, "")</f>
        <v/>
      </c>
      <c r="S193" s="306"/>
      <c r="T193" s="307"/>
      <c r="U193" s="307"/>
      <c r="V193" s="307"/>
    </row>
    <row r="194" spans="16:22" ht="20" customHeight="1" x14ac:dyDescent="0.35">
      <c r="P194" s="70"/>
      <c r="Q194" s="71"/>
      <c r="R194" s="72" t="str">
        <f>IF(AND(NOT(ISBLANK(Q194)), Dashboard!$P187&gt;0), Q194/Dashboard!$P187, "")</f>
        <v/>
      </c>
      <c r="S194" s="306"/>
      <c r="T194" s="307"/>
      <c r="U194" s="307"/>
      <c r="V194" s="307"/>
    </row>
    <row r="195" spans="16:22" ht="20" customHeight="1" x14ac:dyDescent="0.35">
      <c r="P195" s="70"/>
      <c r="Q195" s="71"/>
      <c r="R195" s="72" t="str">
        <f>IF(AND(NOT(ISBLANK(Q195)), Dashboard!$P187&gt;0), Q195/Dashboard!$P187, "")</f>
        <v/>
      </c>
      <c r="S195" s="306"/>
      <c r="T195" s="307"/>
      <c r="U195" s="307"/>
      <c r="V195" s="307"/>
    </row>
    <row r="196" spans="16:22" ht="20" customHeight="1" x14ac:dyDescent="0.35">
      <c r="P196" s="70"/>
      <c r="Q196" s="71"/>
      <c r="R196" s="72" t="str">
        <f>IF(AND(NOT(ISBLANK(Q196)), Dashboard!$P187&gt;0), Q196/Dashboard!$P187, "")</f>
        <v/>
      </c>
      <c r="S196" s="306"/>
      <c r="T196" s="307"/>
      <c r="U196" s="307"/>
      <c r="V196" s="307"/>
    </row>
    <row r="197" spans="16:22" ht="20" customHeight="1" x14ac:dyDescent="0.35">
      <c r="P197" s="70"/>
      <c r="Q197" s="71"/>
      <c r="R197" s="72" t="str">
        <f>IF(AND(NOT(ISBLANK(Q197)), Dashboard!$P187&gt;0), Q197/Dashboard!$P187, "")</f>
        <v/>
      </c>
      <c r="S197" s="306"/>
      <c r="T197" s="307"/>
      <c r="U197" s="307"/>
      <c r="V197" s="307"/>
    </row>
    <row r="198" spans="16:22" ht="20" customHeight="1" x14ac:dyDescent="0.35">
      <c r="P198" s="70"/>
      <c r="Q198" s="71"/>
      <c r="R198" s="72" t="str">
        <f>IF(AND(NOT(ISBLANK(Q198)), Dashboard!$P187&gt;0), Q198/Dashboard!$P187, "")</f>
        <v/>
      </c>
      <c r="S198" s="306"/>
      <c r="T198" s="307"/>
      <c r="U198" s="307"/>
      <c r="V198" s="307"/>
    </row>
    <row r="199" spans="16:22" ht="20" customHeight="1" x14ac:dyDescent="0.35">
      <c r="P199" s="70"/>
      <c r="Q199" s="71"/>
      <c r="R199" s="72" t="str">
        <f>IF(AND(NOT(ISBLANK(Q199)), Dashboard!$P187&gt;0), Q199/Dashboard!$P187, "")</f>
        <v/>
      </c>
      <c r="S199" s="306"/>
      <c r="T199" s="307"/>
      <c r="U199" s="307"/>
      <c r="V199" s="307"/>
    </row>
    <row r="200" spans="16:22" ht="20" customHeight="1" x14ac:dyDescent="0.35">
      <c r="P200" s="70"/>
      <c r="Q200" s="71"/>
      <c r="R200" s="72" t="str">
        <f>IF(AND(NOT(ISBLANK(Q200)), Dashboard!$P187&gt;0), Q200/Dashboard!$P187, "")</f>
        <v/>
      </c>
      <c r="S200" s="306"/>
      <c r="T200" s="307"/>
      <c r="U200" s="307"/>
      <c r="V200" s="307"/>
    </row>
    <row r="201" spans="16:22" ht="20" customHeight="1" x14ac:dyDescent="0.35">
      <c r="P201" s="70"/>
      <c r="Q201" s="71"/>
      <c r="R201" s="72" t="str">
        <f>IF(AND(NOT(ISBLANK(Q201)), Dashboard!$P187&gt;0), Q201/Dashboard!$P187, "")</f>
        <v/>
      </c>
      <c r="S201" s="306"/>
      <c r="T201" s="307"/>
      <c r="U201" s="307"/>
      <c r="V201" s="307"/>
    </row>
    <row r="202" spans="16:22" ht="20" customHeight="1" x14ac:dyDescent="0.35">
      <c r="P202" s="70"/>
      <c r="Q202" s="71"/>
      <c r="R202" s="72" t="str">
        <f>IF(AND(NOT(ISBLANK(Q202)), Dashboard!$P187&gt;0), Q202/Dashboard!$P187, "")</f>
        <v/>
      </c>
      <c r="S202" s="306"/>
      <c r="T202" s="307"/>
      <c r="U202" s="307"/>
      <c r="V202" s="307"/>
    </row>
    <row r="203" spans="16:22" ht="20" customHeight="1" x14ac:dyDescent="0.35">
      <c r="P203" s="70"/>
      <c r="Q203" s="71"/>
      <c r="R203" s="72" t="str">
        <f>IF(AND(NOT(ISBLANK(Q203)), Dashboard!$P187&gt;0), Q203/Dashboard!$P187, "")</f>
        <v/>
      </c>
      <c r="S203" s="306"/>
      <c r="T203" s="307"/>
      <c r="U203" s="307"/>
      <c r="V203" s="307"/>
    </row>
    <row r="204" spans="16:22" ht="20" customHeight="1" x14ac:dyDescent="0.35">
      <c r="P204" s="70"/>
      <c r="Q204" s="71"/>
      <c r="R204" s="72" t="str">
        <f>IF(AND(NOT(ISBLANK(Q204)), Dashboard!$P187&gt;0), Q204/Dashboard!$P187, "")</f>
        <v/>
      </c>
      <c r="S204" s="306"/>
      <c r="T204" s="307"/>
      <c r="U204" s="307"/>
      <c r="V204" s="307"/>
    </row>
    <row r="205" spans="16:22" ht="20" customHeight="1" x14ac:dyDescent="0.35">
      <c r="P205" s="70"/>
      <c r="Q205" s="71"/>
      <c r="R205" s="72" t="str">
        <f>IF(AND(NOT(ISBLANK(Q205)), Dashboard!$P187&gt;0), Q205/Dashboard!$P187, "")</f>
        <v/>
      </c>
      <c r="S205" s="306"/>
      <c r="T205" s="307"/>
      <c r="U205" s="307"/>
      <c r="V205" s="307"/>
    </row>
    <row r="206" spans="16:22" ht="20" customHeight="1" x14ac:dyDescent="0.35">
      <c r="P206" s="70"/>
      <c r="Q206" s="71"/>
      <c r="R206" s="72" t="str">
        <f>IF(AND(NOT(ISBLANK(Q206)), Dashboard!$P187&gt;0), Q206/Dashboard!$P187, "")</f>
        <v/>
      </c>
      <c r="S206" s="306"/>
      <c r="T206" s="307"/>
      <c r="U206" s="307"/>
      <c r="V206" s="307"/>
    </row>
    <row r="207" spans="16:22" ht="20" customHeight="1" x14ac:dyDescent="0.35">
      <c r="P207" s="70"/>
      <c r="Q207" s="71"/>
      <c r="R207" s="72" t="str">
        <f>IF(AND(NOT(ISBLANK(Q207)), Dashboard!$P187&gt;0), Q207/Dashboard!$P187, "")</f>
        <v/>
      </c>
      <c r="S207" s="306"/>
      <c r="T207" s="307"/>
      <c r="U207" s="307"/>
      <c r="V207" s="307"/>
    </row>
    <row r="208" spans="16:22" ht="20" customHeight="1" x14ac:dyDescent="0.35">
      <c r="P208" s="70"/>
      <c r="Q208" s="71"/>
      <c r="R208" s="72" t="str">
        <f>IF(AND(NOT(ISBLANK(Q208)), Dashboard!$P187&gt;0), Q208/Dashboard!$P187, "")</f>
        <v/>
      </c>
      <c r="S208" s="306"/>
      <c r="T208" s="307"/>
      <c r="U208" s="307"/>
      <c r="V208" s="307"/>
    </row>
    <row r="209" spans="2:22" ht="20" customHeight="1" x14ac:dyDescent="0.35">
      <c r="P209" s="70"/>
      <c r="Q209" s="71"/>
      <c r="R209" s="72" t="str">
        <f>IF(AND(NOT(ISBLANK(Q209)), Dashboard!$P187&gt;0), Q209/Dashboard!$P187, "")</f>
        <v/>
      </c>
      <c r="S209" s="306"/>
      <c r="T209" s="307"/>
      <c r="U209" s="307"/>
      <c r="V209" s="307"/>
    </row>
    <row r="210" spans="2:22" ht="20" customHeight="1" x14ac:dyDescent="0.35">
      <c r="P210" s="70"/>
      <c r="Q210" s="71"/>
      <c r="R210" s="72" t="str">
        <f>IF(AND(NOT(ISBLANK(Q210)), Dashboard!$P187&gt;0), Q210/Dashboard!$P187, "")</f>
        <v/>
      </c>
      <c r="S210" s="306"/>
      <c r="T210" s="307"/>
      <c r="U210" s="307"/>
      <c r="V210" s="307"/>
    </row>
    <row r="214" spans="2:22" ht="32" customHeight="1" x14ac:dyDescent="0.35">
      <c r="B214" s="291" t="s">
        <v>575</v>
      </c>
      <c r="C214" s="291"/>
      <c r="D214" s="291"/>
      <c r="E214" s="291"/>
      <c r="F214" s="291"/>
      <c r="G214" s="291"/>
      <c r="H214" s="291"/>
      <c r="I214" s="291"/>
    </row>
  </sheetData>
  <mergeCells count="55">
    <mergeCell ref="B214:I214"/>
    <mergeCell ref="S206:V206"/>
    <mergeCell ref="S207:V207"/>
    <mergeCell ref="S208:V208"/>
    <mergeCell ref="S209:V209"/>
    <mergeCell ref="S210:V210"/>
    <mergeCell ref="S201:V201"/>
    <mergeCell ref="S202:V202"/>
    <mergeCell ref="S203:V203"/>
    <mergeCell ref="S204:V204"/>
    <mergeCell ref="S205:V205"/>
    <mergeCell ref="S196:V196"/>
    <mergeCell ref="S197:V197"/>
    <mergeCell ref="S198:V198"/>
    <mergeCell ref="S199:V199"/>
    <mergeCell ref="S200:V200"/>
    <mergeCell ref="S191:V191"/>
    <mergeCell ref="S192:V192"/>
    <mergeCell ref="S193:V193"/>
    <mergeCell ref="S194:V194"/>
    <mergeCell ref="S195:V195"/>
    <mergeCell ref="P186:Q186"/>
    <mergeCell ref="R186:T186"/>
    <mergeCell ref="P187:Q187"/>
    <mergeCell ref="R187:T187"/>
    <mergeCell ref="S190:V190"/>
    <mergeCell ref="C135:D135"/>
    <mergeCell ref="G135:H135"/>
    <mergeCell ref="B144:F144"/>
    <mergeCell ref="P144:W144"/>
    <mergeCell ref="B185:F185"/>
    <mergeCell ref="P185:U185"/>
    <mergeCell ref="C132:D132"/>
    <mergeCell ref="G132:H132"/>
    <mergeCell ref="C133:D133"/>
    <mergeCell ref="G133:H133"/>
    <mergeCell ref="C134:D134"/>
    <mergeCell ref="G134:H134"/>
    <mergeCell ref="C129:D129"/>
    <mergeCell ref="G129:H129"/>
    <mergeCell ref="C130:D130"/>
    <mergeCell ref="G130:H130"/>
    <mergeCell ref="C131:D131"/>
    <mergeCell ref="G131:H131"/>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30:H135">
    <cfRule type="expression" dxfId="80" priority="4">
      <formula>$G130&gt;=0.8</formula>
    </cfRule>
    <cfRule type="expression" dxfId="79" priority="5">
      <formula>AND($G130&gt;=0.5,$G130&lt;0.8)</formula>
    </cfRule>
    <cfRule type="expression" dxfId="78" priority="6">
      <formula>$G130&lt;0.5</formula>
    </cfRule>
  </conditionalFormatting>
  <conditionalFormatting sqref="K130:K135">
    <cfRule type="cellIs" dxfId="77" priority="7" operator="greaterThan">
      <formula>0</formula>
    </cfRule>
  </conditionalFormatting>
  <conditionalFormatting sqref="L130:L135">
    <cfRule type="cellIs" dxfId="76" priority="8" operator="greaterThan">
      <formula>0</formula>
    </cfRule>
  </conditionalFormatting>
  <conditionalFormatting sqref="M130:M135">
    <cfRule type="cellIs" dxfId="75" priority="9" operator="greaterThan">
      <formula>0</formula>
    </cfRule>
  </conditionalFormatting>
  <conditionalFormatting sqref="N130:N135">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9" xr:uid="{00000000-0002-0000-0100-000000000000}">
      <formula1>0</formula1>
      <formula2>C16</formula2>
    </dataValidation>
    <dataValidation type="whole" allowBlank="1" showErrorMessage="1" errorTitle="Invalid count" error="Value must be between 0 and the current implemented total." sqref="S149" xr:uid="{00000000-0002-0000-0100-000001000000}">
      <formula1>0</formula1>
      <formula2>C92</formula2>
    </dataValidation>
    <dataValidation type="whole" allowBlank="1" showErrorMessage="1" errorTitle="Invalid count" error="Value must be between 0 and the current implemented total." sqref="U149" xr:uid="{00000000-0002-0000-0100-000002000000}">
      <formula1>0</formula1>
      <formula2>C93</formula2>
    </dataValidation>
    <dataValidation type="whole" allowBlank="1" showErrorMessage="1" errorTitle="Invalid count" error="Value must be between 0 and the current implemented total." sqref="W149" xr:uid="{00000000-0002-0000-0100-000003000000}">
      <formula1>0</formula1>
      <formula2>C94</formula2>
    </dataValidation>
    <dataValidation type="whole" allowBlank="1" showErrorMessage="1" errorTitle="Invalid overall count" error="Overall count must be between 0 and the current implemented total." sqref="Q150" xr:uid="{00000000-0002-0000-0100-000004000000}">
      <formula1>0</formula1>
      <formula2>C16</formula2>
    </dataValidation>
    <dataValidation type="whole" allowBlank="1" showErrorMessage="1" errorTitle="Invalid count" error="Value must be between 0 and the current implemented total." sqref="S150" xr:uid="{00000000-0002-0000-0100-000005000000}">
      <formula1>0</formula1>
      <formula2>C92</formula2>
    </dataValidation>
    <dataValidation type="whole" allowBlank="1" showErrorMessage="1" errorTitle="Invalid count" error="Value must be between 0 and the current implemented total." sqref="U150" xr:uid="{00000000-0002-0000-0100-000006000000}">
      <formula1>0</formula1>
      <formula2>C93</formula2>
    </dataValidation>
    <dataValidation type="whole" allowBlank="1" showErrorMessage="1" errorTitle="Invalid count" error="Value must be between 0 and the current implemented total." sqref="W150" xr:uid="{00000000-0002-0000-0100-000007000000}">
      <formula1>0</formula1>
      <formula2>C94</formula2>
    </dataValidation>
    <dataValidation type="whole" allowBlank="1" showErrorMessage="1" errorTitle="Invalid overall count" error="Overall count must be between 0 and the current implemented total." sqref="Q151" xr:uid="{00000000-0002-0000-0100-000008000000}">
      <formula1>0</formula1>
      <formula2>C16</formula2>
    </dataValidation>
    <dataValidation type="whole" allowBlank="1" showErrorMessage="1" errorTitle="Invalid count" error="Value must be between 0 and the current implemented total." sqref="S151" xr:uid="{00000000-0002-0000-0100-000009000000}">
      <formula1>0</formula1>
      <formula2>C92</formula2>
    </dataValidation>
    <dataValidation type="whole" allowBlank="1" showErrorMessage="1" errorTitle="Invalid count" error="Value must be between 0 and the current implemented total." sqref="U151" xr:uid="{00000000-0002-0000-0100-00000A000000}">
      <formula1>0</formula1>
      <formula2>C93</formula2>
    </dataValidation>
    <dataValidation type="whole" allowBlank="1" showErrorMessage="1" errorTitle="Invalid count" error="Value must be between 0 and the current implemented total." sqref="W151" xr:uid="{00000000-0002-0000-0100-00000B000000}">
      <formula1>0</formula1>
      <formula2>C94</formula2>
    </dataValidation>
    <dataValidation type="whole" allowBlank="1" showErrorMessage="1" errorTitle="Invalid overall count" error="Overall count must be between 0 and the current implemented total." sqref="Q152" xr:uid="{00000000-0002-0000-0100-00000C000000}">
      <formula1>0</formula1>
      <formula2>C16</formula2>
    </dataValidation>
    <dataValidation type="whole" allowBlank="1" showErrorMessage="1" errorTitle="Invalid count" error="Value must be between 0 and the current implemented total." sqref="S152" xr:uid="{00000000-0002-0000-0100-00000D000000}">
      <formula1>0</formula1>
      <formula2>C92</formula2>
    </dataValidation>
    <dataValidation type="whole" allowBlank="1" showErrorMessage="1" errorTitle="Invalid count" error="Value must be between 0 and the current implemented total." sqref="U152" xr:uid="{00000000-0002-0000-0100-00000E000000}">
      <formula1>0</formula1>
      <formula2>C93</formula2>
    </dataValidation>
    <dataValidation type="whole" allowBlank="1" showErrorMessage="1" errorTitle="Invalid count" error="Value must be between 0 and the current implemented total." sqref="W152" xr:uid="{00000000-0002-0000-0100-00000F000000}">
      <formula1>0</formula1>
      <formula2>C94</formula2>
    </dataValidation>
    <dataValidation type="whole" allowBlank="1" showErrorMessage="1" errorTitle="Invalid overall count" error="Overall count must be between 0 and the current implemented total." sqref="Q153" xr:uid="{00000000-0002-0000-0100-000010000000}">
      <formula1>0</formula1>
      <formula2>C16</formula2>
    </dataValidation>
    <dataValidation type="whole" allowBlank="1" showErrorMessage="1" errorTitle="Invalid count" error="Value must be between 0 and the current implemented total." sqref="S153" xr:uid="{00000000-0002-0000-0100-000011000000}">
      <formula1>0</formula1>
      <formula2>C92</formula2>
    </dataValidation>
    <dataValidation type="whole" allowBlank="1" showErrorMessage="1" errorTitle="Invalid count" error="Value must be between 0 and the current implemented total." sqref="U153" xr:uid="{00000000-0002-0000-0100-000012000000}">
      <formula1>0</formula1>
      <formula2>C93</formula2>
    </dataValidation>
    <dataValidation type="whole" allowBlank="1" showErrorMessage="1" errorTitle="Invalid count" error="Value must be between 0 and the current implemented total." sqref="W153" xr:uid="{00000000-0002-0000-0100-000013000000}">
      <formula1>0</formula1>
      <formula2>C94</formula2>
    </dataValidation>
    <dataValidation type="whole" allowBlank="1" showErrorMessage="1" errorTitle="Invalid overall count" error="Overall count must be between 0 and the current implemented total." sqref="Q154" xr:uid="{00000000-0002-0000-0100-000014000000}">
      <formula1>0</formula1>
      <formula2>C16</formula2>
    </dataValidation>
    <dataValidation type="whole" allowBlank="1" showErrorMessage="1" errorTitle="Invalid count" error="Value must be between 0 and the current implemented total." sqref="S154" xr:uid="{00000000-0002-0000-0100-000015000000}">
      <formula1>0</formula1>
      <formula2>C92</formula2>
    </dataValidation>
    <dataValidation type="whole" allowBlank="1" showErrorMessage="1" errorTitle="Invalid count" error="Value must be between 0 and the current implemented total." sqref="U154" xr:uid="{00000000-0002-0000-0100-000016000000}">
      <formula1>0</formula1>
      <formula2>C93</formula2>
    </dataValidation>
    <dataValidation type="whole" allowBlank="1" showErrorMessage="1" errorTitle="Invalid count" error="Value must be between 0 and the current implemented total." sqref="W154" xr:uid="{00000000-0002-0000-0100-000017000000}">
      <formula1>0</formula1>
      <formula2>C94</formula2>
    </dataValidation>
    <dataValidation type="whole" allowBlank="1" showErrorMessage="1" errorTitle="Invalid overall count" error="Overall count must be between 0 and the current implemented total." sqref="Q155" xr:uid="{00000000-0002-0000-0100-000018000000}">
      <formula1>0</formula1>
      <formula2>C16</formula2>
    </dataValidation>
    <dataValidation type="whole" allowBlank="1" showErrorMessage="1" errorTitle="Invalid count" error="Value must be between 0 and the current implemented total." sqref="S155" xr:uid="{00000000-0002-0000-0100-000019000000}">
      <formula1>0</formula1>
      <formula2>C92</formula2>
    </dataValidation>
    <dataValidation type="whole" allowBlank="1" showErrorMessage="1" errorTitle="Invalid count" error="Value must be between 0 and the current implemented total." sqref="U155" xr:uid="{00000000-0002-0000-0100-00001A000000}">
      <formula1>0</formula1>
      <formula2>C93</formula2>
    </dataValidation>
    <dataValidation type="whole" allowBlank="1" showErrorMessage="1" errorTitle="Invalid count" error="Value must be between 0 and the current implemented total." sqref="W155" xr:uid="{00000000-0002-0000-0100-00001B000000}">
      <formula1>0</formula1>
      <formula2>C94</formula2>
    </dataValidation>
    <dataValidation type="whole" allowBlank="1" showErrorMessage="1" errorTitle="Invalid overall count" error="Overall count must be between 0 and the current implemented total." sqref="Q156" xr:uid="{00000000-0002-0000-0100-00001C000000}">
      <formula1>0</formula1>
      <formula2>C16</formula2>
    </dataValidation>
    <dataValidation type="whole" allowBlank="1" showErrorMessage="1" errorTitle="Invalid count" error="Value must be between 0 and the current implemented total." sqref="S156" xr:uid="{00000000-0002-0000-0100-00001D000000}">
      <formula1>0</formula1>
      <formula2>C92</formula2>
    </dataValidation>
    <dataValidation type="whole" allowBlank="1" showErrorMessage="1" errorTitle="Invalid count" error="Value must be between 0 and the current implemented total." sqref="U156" xr:uid="{00000000-0002-0000-0100-00001E000000}">
      <formula1>0</formula1>
      <formula2>C93</formula2>
    </dataValidation>
    <dataValidation type="whole" allowBlank="1" showErrorMessage="1" errorTitle="Invalid count" error="Value must be between 0 and the current implemented total." sqref="W156" xr:uid="{00000000-0002-0000-0100-00001F000000}">
      <formula1>0</formula1>
      <formula2>C94</formula2>
    </dataValidation>
    <dataValidation type="whole" allowBlank="1" showErrorMessage="1" errorTitle="Invalid overall count" error="Overall count must be between 0 and the current implemented total." sqref="Q157" xr:uid="{00000000-0002-0000-0100-000020000000}">
      <formula1>0</formula1>
      <formula2>C16</formula2>
    </dataValidation>
    <dataValidation type="whole" allowBlank="1" showErrorMessage="1" errorTitle="Invalid count" error="Value must be between 0 and the current implemented total." sqref="S157" xr:uid="{00000000-0002-0000-0100-000021000000}">
      <formula1>0</formula1>
      <formula2>C92</formula2>
    </dataValidation>
    <dataValidation type="whole" allowBlank="1" showErrorMessage="1" errorTitle="Invalid count" error="Value must be between 0 and the current implemented total." sqref="U157" xr:uid="{00000000-0002-0000-0100-000022000000}">
      <formula1>0</formula1>
      <formula2>C93</formula2>
    </dataValidation>
    <dataValidation type="whole" allowBlank="1" showErrorMessage="1" errorTitle="Invalid count" error="Value must be between 0 and the current implemented total." sqref="W157" xr:uid="{00000000-0002-0000-0100-000023000000}">
      <formula1>0</formula1>
      <formula2>C94</formula2>
    </dataValidation>
    <dataValidation type="whole" allowBlank="1" showErrorMessage="1" errorTitle="Invalid overall count" error="Overall count must be between 0 and the current implemented total." sqref="Q158" xr:uid="{00000000-0002-0000-0100-000024000000}">
      <formula1>0</formula1>
      <formula2>C16</formula2>
    </dataValidation>
    <dataValidation type="whole" allowBlank="1" showErrorMessage="1" errorTitle="Invalid count" error="Value must be between 0 and the current implemented total." sqref="S158" xr:uid="{00000000-0002-0000-0100-000025000000}">
      <formula1>0</formula1>
      <formula2>C92</formula2>
    </dataValidation>
    <dataValidation type="whole" allowBlank="1" showErrorMessage="1" errorTitle="Invalid count" error="Value must be between 0 and the current implemented total." sqref="U158" xr:uid="{00000000-0002-0000-0100-000026000000}">
      <formula1>0</formula1>
      <formula2>C93</formula2>
    </dataValidation>
    <dataValidation type="whole" allowBlank="1" showErrorMessage="1" errorTitle="Invalid count" error="Value must be between 0 and the current implemented total." sqref="W158" xr:uid="{00000000-0002-0000-0100-000027000000}">
      <formula1>0</formula1>
      <formula2>C94</formula2>
    </dataValidation>
    <dataValidation type="whole" allowBlank="1" showErrorMessage="1" errorTitle="Invalid overall count" error="Overall count must be between 0 and the current implemented total." sqref="Q159" xr:uid="{00000000-0002-0000-0100-000028000000}">
      <formula1>0</formula1>
      <formula2>C16</formula2>
    </dataValidation>
    <dataValidation type="whole" allowBlank="1" showErrorMessage="1" errorTitle="Invalid count" error="Value must be between 0 and the current implemented total." sqref="S159" xr:uid="{00000000-0002-0000-0100-000029000000}">
      <formula1>0</formula1>
      <formula2>C92</formula2>
    </dataValidation>
    <dataValidation type="whole" allowBlank="1" showErrorMessage="1" errorTitle="Invalid count" error="Value must be between 0 and the current implemented total." sqref="U159" xr:uid="{00000000-0002-0000-0100-00002A000000}">
      <formula1>0</formula1>
      <formula2>C93</formula2>
    </dataValidation>
    <dataValidation type="whole" allowBlank="1" showErrorMessage="1" errorTitle="Invalid count" error="Value must be between 0 and the current implemented total." sqref="W159" xr:uid="{00000000-0002-0000-0100-00002B000000}">
      <formula1>0</formula1>
      <formula2>C94</formula2>
    </dataValidation>
    <dataValidation type="whole" allowBlank="1" showErrorMessage="1" errorTitle="Invalid overall count" error="Overall count must be between 0 and the current implemented total." sqref="Q160" xr:uid="{00000000-0002-0000-0100-00002C000000}">
      <formula1>0</formula1>
      <formula2>C16</formula2>
    </dataValidation>
    <dataValidation type="whole" allowBlank="1" showErrorMessage="1" errorTitle="Invalid count" error="Value must be between 0 and the current implemented total." sqref="S160" xr:uid="{00000000-0002-0000-0100-00002D000000}">
      <formula1>0</formula1>
      <formula2>C92</formula2>
    </dataValidation>
    <dataValidation type="whole" allowBlank="1" showErrorMessage="1" errorTitle="Invalid count" error="Value must be between 0 and the current implemented total." sqref="U160" xr:uid="{00000000-0002-0000-0100-00002E000000}">
      <formula1>0</formula1>
      <formula2>C93</formula2>
    </dataValidation>
    <dataValidation type="whole" allowBlank="1" showErrorMessage="1" errorTitle="Invalid count" error="Value must be between 0 and the current implemented total." sqref="W160" xr:uid="{00000000-0002-0000-0100-00002F000000}">
      <formula1>0</formula1>
      <formula2>C94</formula2>
    </dataValidation>
    <dataValidation type="whole" allowBlank="1" showErrorMessage="1" errorTitle="Invalid overall count" error="Overall count must be between 0 and the current implemented total." sqref="Q161" xr:uid="{00000000-0002-0000-0100-000030000000}">
      <formula1>0</formula1>
      <formula2>C16</formula2>
    </dataValidation>
    <dataValidation type="whole" allowBlank="1" showErrorMessage="1" errorTitle="Invalid count" error="Value must be between 0 and the current implemented total." sqref="S161" xr:uid="{00000000-0002-0000-0100-000031000000}">
      <formula1>0</formula1>
      <formula2>C92</formula2>
    </dataValidation>
    <dataValidation type="whole" allowBlank="1" showErrorMessage="1" errorTitle="Invalid count" error="Value must be between 0 and the current implemented total." sqref="U161" xr:uid="{00000000-0002-0000-0100-000032000000}">
      <formula1>0</formula1>
      <formula2>C93</formula2>
    </dataValidation>
    <dataValidation type="whole" allowBlank="1" showErrorMessage="1" errorTitle="Invalid count" error="Value must be between 0 and the current implemented total." sqref="W161" xr:uid="{00000000-0002-0000-0100-000033000000}">
      <formula1>0</formula1>
      <formula2>C94</formula2>
    </dataValidation>
    <dataValidation type="whole" allowBlank="1" showErrorMessage="1" errorTitle="Invalid overall count" error="Overall count must be between 0 and the current implemented total." sqref="Q162" xr:uid="{00000000-0002-0000-0100-000034000000}">
      <formula1>0</formula1>
      <formula2>C16</formula2>
    </dataValidation>
    <dataValidation type="whole" allowBlank="1" showErrorMessage="1" errorTitle="Invalid count" error="Value must be between 0 and the current implemented total." sqref="S162" xr:uid="{00000000-0002-0000-0100-000035000000}">
      <formula1>0</formula1>
      <formula2>C92</formula2>
    </dataValidation>
    <dataValidation type="whole" allowBlank="1" showErrorMessage="1" errorTitle="Invalid count" error="Value must be between 0 and the current implemented total." sqref="U162" xr:uid="{00000000-0002-0000-0100-000036000000}">
      <formula1>0</formula1>
      <formula2>C93</formula2>
    </dataValidation>
    <dataValidation type="whole" allowBlank="1" showErrorMessage="1" errorTitle="Invalid count" error="Value must be between 0 and the current implemented total." sqref="W162" xr:uid="{00000000-0002-0000-0100-000037000000}">
      <formula1>0</formula1>
      <formula2>C94</formula2>
    </dataValidation>
    <dataValidation type="whole" allowBlank="1" showErrorMessage="1" errorTitle="Invalid overall count" error="Overall count must be between 0 and the current implemented total." sqref="Q163" xr:uid="{00000000-0002-0000-0100-000038000000}">
      <formula1>0</formula1>
      <formula2>C16</formula2>
    </dataValidation>
    <dataValidation type="whole" allowBlank="1" showErrorMessage="1" errorTitle="Invalid count" error="Value must be between 0 and the current implemented total." sqref="S163" xr:uid="{00000000-0002-0000-0100-000039000000}">
      <formula1>0</formula1>
      <formula2>C92</formula2>
    </dataValidation>
    <dataValidation type="whole" allowBlank="1" showErrorMessage="1" errorTitle="Invalid count" error="Value must be between 0 and the current implemented total." sqref="U163" xr:uid="{00000000-0002-0000-0100-00003A000000}">
      <formula1>0</formula1>
      <formula2>C93</formula2>
    </dataValidation>
    <dataValidation type="whole" allowBlank="1" showErrorMessage="1" errorTitle="Invalid count" error="Value must be between 0 and the current implemented total." sqref="W163" xr:uid="{00000000-0002-0000-0100-00003B000000}">
      <formula1>0</formula1>
      <formula2>C94</formula2>
    </dataValidation>
    <dataValidation type="whole" allowBlank="1" showErrorMessage="1" errorTitle="Invalid overall count" error="Overall count must be between 0 and the current implemented total." sqref="Q164" xr:uid="{00000000-0002-0000-0100-00003C000000}">
      <formula1>0</formula1>
      <formula2>C16</formula2>
    </dataValidation>
    <dataValidation type="whole" allowBlank="1" showErrorMessage="1" errorTitle="Invalid count" error="Value must be between 0 and the current implemented total." sqref="S164" xr:uid="{00000000-0002-0000-0100-00003D000000}">
      <formula1>0</formula1>
      <formula2>C92</formula2>
    </dataValidation>
    <dataValidation type="whole" allowBlank="1" showErrorMessage="1" errorTitle="Invalid count" error="Value must be between 0 and the current implemented total." sqref="U164" xr:uid="{00000000-0002-0000-0100-00003E000000}">
      <formula1>0</formula1>
      <formula2>C93</formula2>
    </dataValidation>
    <dataValidation type="whole" allowBlank="1" showErrorMessage="1" errorTitle="Invalid count" error="Value must be between 0 and the current implemented total." sqref="W164" xr:uid="{00000000-0002-0000-0100-00003F000000}">
      <formula1>0</formula1>
      <formula2>C94</formula2>
    </dataValidation>
    <dataValidation type="whole" allowBlank="1" showErrorMessage="1" errorTitle="Invalid overall count" error="Overall count must be between 0 and the current implemented total." sqref="Q165" xr:uid="{00000000-0002-0000-0100-000040000000}">
      <formula1>0</formula1>
      <formula2>C16</formula2>
    </dataValidation>
    <dataValidation type="whole" allowBlank="1" showErrorMessage="1" errorTitle="Invalid count" error="Value must be between 0 and the current implemented total." sqref="S165" xr:uid="{00000000-0002-0000-0100-000041000000}">
      <formula1>0</formula1>
      <formula2>C92</formula2>
    </dataValidation>
    <dataValidation type="whole" allowBlank="1" showErrorMessage="1" errorTitle="Invalid count" error="Value must be between 0 and the current implemented total." sqref="U165" xr:uid="{00000000-0002-0000-0100-000042000000}">
      <formula1>0</formula1>
      <formula2>C93</formula2>
    </dataValidation>
    <dataValidation type="whole" allowBlank="1" showErrorMessage="1" errorTitle="Invalid count" error="Value must be between 0 and the current implemented total." sqref="W165" xr:uid="{00000000-0002-0000-0100-000043000000}">
      <formula1>0</formula1>
      <formula2>C94</formula2>
    </dataValidation>
    <dataValidation type="whole" allowBlank="1" showErrorMessage="1" errorTitle="Invalid overall count" error="Overall count must be between 0 and the current implemented total." sqref="Q166" xr:uid="{00000000-0002-0000-0100-000044000000}">
      <formula1>0</formula1>
      <formula2>C16</formula2>
    </dataValidation>
    <dataValidation type="whole" allowBlank="1" showErrorMessage="1" errorTitle="Invalid count" error="Value must be between 0 and the current implemented total." sqref="S166" xr:uid="{00000000-0002-0000-0100-000045000000}">
      <formula1>0</formula1>
      <formula2>C92</formula2>
    </dataValidation>
    <dataValidation type="whole" allowBlank="1" showErrorMessage="1" errorTitle="Invalid count" error="Value must be between 0 and the current implemented total." sqref="U166" xr:uid="{00000000-0002-0000-0100-000046000000}">
      <formula1>0</formula1>
      <formula2>C93</formula2>
    </dataValidation>
    <dataValidation type="whole" allowBlank="1" showErrorMessage="1" errorTitle="Invalid count" error="Value must be between 0 and the current implemented total." sqref="W166" xr:uid="{00000000-0002-0000-0100-000047000000}">
      <formula1>0</formula1>
      <formula2>C94</formula2>
    </dataValidation>
    <dataValidation type="whole" allowBlank="1" showErrorMessage="1" errorTitle="Invalid overall count" error="Overall count must be between 0 and the current implemented total." sqref="Q167" xr:uid="{00000000-0002-0000-0100-000048000000}">
      <formula1>0</formula1>
      <formula2>C16</formula2>
    </dataValidation>
    <dataValidation type="whole" allowBlank="1" showErrorMessage="1" errorTitle="Invalid count" error="Value must be between 0 and the current implemented total." sqref="S167" xr:uid="{00000000-0002-0000-0100-000049000000}">
      <formula1>0</formula1>
      <formula2>C92</formula2>
    </dataValidation>
    <dataValidation type="whole" allowBlank="1" showErrorMessage="1" errorTitle="Invalid count" error="Value must be between 0 and the current implemented total." sqref="U167" xr:uid="{00000000-0002-0000-0100-00004A000000}">
      <formula1>0</formula1>
      <formula2>C93</formula2>
    </dataValidation>
    <dataValidation type="whole" allowBlank="1" showErrorMessage="1" errorTitle="Invalid count" error="Value must be between 0 and the current implemented total." sqref="W167" xr:uid="{00000000-0002-0000-0100-00004B000000}">
      <formula1>0</formula1>
      <formula2>C94</formula2>
    </dataValidation>
    <dataValidation type="whole" allowBlank="1" showErrorMessage="1" errorTitle="Invalid overall count" error="Overall count must be between 0 and the current implemented total." sqref="Q168" xr:uid="{00000000-0002-0000-0100-00004C000000}">
      <formula1>0</formula1>
      <formula2>C16</formula2>
    </dataValidation>
    <dataValidation type="whole" allowBlank="1" showErrorMessage="1" errorTitle="Invalid count" error="Value must be between 0 and the current implemented total." sqref="S168" xr:uid="{00000000-0002-0000-0100-00004D000000}">
      <formula1>0</formula1>
      <formula2>C92</formula2>
    </dataValidation>
    <dataValidation type="whole" allowBlank="1" showErrorMessage="1" errorTitle="Invalid count" error="Value must be between 0 and the current implemented total." sqref="U168" xr:uid="{00000000-0002-0000-0100-00004E000000}">
      <formula1>0</formula1>
      <formula2>C93</formula2>
    </dataValidation>
    <dataValidation type="whole" allowBlank="1" showErrorMessage="1" errorTitle="Invalid count" error="Value must be between 0 and the current implemented total." sqref="W168" xr:uid="{00000000-0002-0000-0100-00004F000000}">
      <formula1>0</formula1>
      <formula2>C94</formula2>
    </dataValidation>
    <dataValidation type="whole" allowBlank="1" showErrorMessage="1" errorTitle="Invalid overall count" error="Overall count must be between 0 and the current implemented total." sqref="Q169" xr:uid="{00000000-0002-0000-0100-000050000000}">
      <formula1>0</formula1>
      <formula2>C16</formula2>
    </dataValidation>
    <dataValidation type="whole" allowBlank="1" showErrorMessage="1" errorTitle="Invalid count" error="Value must be between 0 and the current implemented total." sqref="S169" xr:uid="{00000000-0002-0000-0100-000051000000}">
      <formula1>0</formula1>
      <formula2>C92</formula2>
    </dataValidation>
    <dataValidation type="whole" allowBlank="1" showErrorMessage="1" errorTitle="Invalid count" error="Value must be between 0 and the current implemented total." sqref="U169" xr:uid="{00000000-0002-0000-0100-000052000000}">
      <formula1>0</formula1>
      <formula2>C93</formula2>
    </dataValidation>
    <dataValidation type="whole" allowBlank="1" showErrorMessage="1" errorTitle="Invalid count" error="Value must be between 0 and the current implemented total." sqref="W169" xr:uid="{00000000-0002-0000-0100-000053000000}">
      <formula1>0</formula1>
      <formula2>C94</formula2>
    </dataValidation>
    <dataValidation type="whole" allowBlank="1" showErrorMessage="1" errorTitle="Invalid overall count" error="Overall count must be between 0 and the current implemented total." sqref="Q170" xr:uid="{00000000-0002-0000-0100-000054000000}">
      <formula1>0</formula1>
      <formula2>C16</formula2>
    </dataValidation>
    <dataValidation type="whole" allowBlank="1" showErrorMessage="1" errorTitle="Invalid count" error="Value must be between 0 and the current implemented total." sqref="S170" xr:uid="{00000000-0002-0000-0100-000055000000}">
      <formula1>0</formula1>
      <formula2>C92</formula2>
    </dataValidation>
    <dataValidation type="whole" allowBlank="1" showErrorMessage="1" errorTitle="Invalid count" error="Value must be between 0 and the current implemented total." sqref="U170" xr:uid="{00000000-0002-0000-0100-000056000000}">
      <formula1>0</formula1>
      <formula2>C93</formula2>
    </dataValidation>
    <dataValidation type="whole" allowBlank="1" showErrorMessage="1" errorTitle="Invalid count" error="Value must be between 0 and the current implemented total." sqref="W170" xr:uid="{00000000-0002-0000-0100-000057000000}">
      <formula1>0</formula1>
      <formula2>C94</formula2>
    </dataValidation>
    <dataValidation type="whole" allowBlank="1" showErrorMessage="1" errorTitle="Invalid overall count" error="Overall count must be between 0 and the current implemented total." sqref="Q171" xr:uid="{00000000-0002-0000-0100-000058000000}">
      <formula1>0</formula1>
      <formula2>C16</formula2>
    </dataValidation>
    <dataValidation type="whole" allowBlank="1" showErrorMessage="1" errorTitle="Invalid count" error="Value must be between 0 and the current implemented total." sqref="S171" xr:uid="{00000000-0002-0000-0100-000059000000}">
      <formula1>0</formula1>
      <formula2>C92</formula2>
    </dataValidation>
    <dataValidation type="whole" allowBlank="1" showErrorMessage="1" errorTitle="Invalid count" error="Value must be between 0 and the current implemented total." sqref="U171" xr:uid="{00000000-0002-0000-0100-00005A000000}">
      <formula1>0</formula1>
      <formula2>C93</formula2>
    </dataValidation>
    <dataValidation type="whole" allowBlank="1" showErrorMessage="1" errorTitle="Invalid count" error="Value must be between 0 and the current implemented total." sqref="W171" xr:uid="{00000000-0002-0000-0100-00005B000000}">
      <formula1>0</formula1>
      <formula2>C94</formula2>
    </dataValidation>
    <dataValidation type="whole" allowBlank="1" showErrorMessage="1" errorTitle="Invalid overall count" error="Overall count must be between 0 and the current implemented total." sqref="Q172" xr:uid="{00000000-0002-0000-0100-00005C000000}">
      <formula1>0</formula1>
      <formula2>C16</formula2>
    </dataValidation>
    <dataValidation type="whole" allowBlank="1" showErrorMessage="1" errorTitle="Invalid count" error="Value must be between 0 and the current implemented total." sqref="S172" xr:uid="{00000000-0002-0000-0100-00005D000000}">
      <formula1>0</formula1>
      <formula2>C92</formula2>
    </dataValidation>
    <dataValidation type="whole" allowBlank="1" showErrorMessage="1" errorTitle="Invalid count" error="Value must be between 0 and the current implemented total." sqref="U172" xr:uid="{00000000-0002-0000-0100-00005E000000}">
      <formula1>0</formula1>
      <formula2>C93</formula2>
    </dataValidation>
    <dataValidation type="whole" allowBlank="1" showErrorMessage="1" errorTitle="Invalid count" error="Value must be between 0 and the current implemented total." sqref="W172" xr:uid="{00000000-0002-0000-0100-00005F000000}">
      <formula1>0</formula1>
      <formula2>C94</formula2>
    </dataValidation>
    <dataValidation type="whole" allowBlank="1" showErrorMessage="1" errorTitle="Invalid overall count" error="Overall count must be between 0 and the current implemented total." sqref="Q173" xr:uid="{00000000-0002-0000-0100-000060000000}">
      <formula1>0</formula1>
      <formula2>C16</formula2>
    </dataValidation>
    <dataValidation type="whole" allowBlank="1" showErrorMessage="1" errorTitle="Invalid count" error="Value must be between 0 and the current implemented total." sqref="S173" xr:uid="{00000000-0002-0000-0100-000061000000}">
      <formula1>0</formula1>
      <formula2>C92</formula2>
    </dataValidation>
    <dataValidation type="whole" allowBlank="1" showErrorMessage="1" errorTitle="Invalid count" error="Value must be between 0 and the current implemented total." sqref="U173" xr:uid="{00000000-0002-0000-0100-000062000000}">
      <formula1>0</formula1>
      <formula2>C93</formula2>
    </dataValidation>
    <dataValidation type="whole" allowBlank="1" showErrorMessage="1" errorTitle="Invalid count" error="Value must be between 0 and the current implemented total." sqref="W173" xr:uid="{00000000-0002-0000-0100-000063000000}">
      <formula1>0</formula1>
      <formula2>C94</formula2>
    </dataValidation>
    <dataValidation type="whole" allowBlank="1" showErrorMessage="1" errorTitle="Invalid overall count" error="Overall count must be between 0 and the current implemented total." sqref="Q174" xr:uid="{00000000-0002-0000-0100-000064000000}">
      <formula1>0</formula1>
      <formula2>C16</formula2>
    </dataValidation>
    <dataValidation type="whole" allowBlank="1" showErrorMessage="1" errorTitle="Invalid count" error="Value must be between 0 and the current implemented total." sqref="S174" xr:uid="{00000000-0002-0000-0100-000065000000}">
      <formula1>0</formula1>
      <formula2>C92</formula2>
    </dataValidation>
    <dataValidation type="whole" allowBlank="1" showErrorMessage="1" errorTitle="Invalid count" error="Value must be between 0 and the current implemented total." sqref="U174" xr:uid="{00000000-0002-0000-0100-000066000000}">
      <formula1>0</formula1>
      <formula2>C93</formula2>
    </dataValidation>
    <dataValidation type="whole" allowBlank="1" showErrorMessage="1" errorTitle="Invalid count" error="Value must be between 0 and the current implemented total." sqref="W174" xr:uid="{00000000-0002-0000-0100-000067000000}">
      <formula1>0</formula1>
      <formula2>C94</formula2>
    </dataValidation>
    <dataValidation type="whole" allowBlank="1" showErrorMessage="1" errorTitle="Invalid overall count" error="Overall count must be between 0 and the current implemented total." sqref="Q175" xr:uid="{00000000-0002-0000-0100-000068000000}">
      <formula1>0</formula1>
      <formula2>C16</formula2>
    </dataValidation>
    <dataValidation type="whole" allowBlank="1" showErrorMessage="1" errorTitle="Invalid count" error="Value must be between 0 and the current implemented total." sqref="S175" xr:uid="{00000000-0002-0000-0100-000069000000}">
      <formula1>0</formula1>
      <formula2>C92</formula2>
    </dataValidation>
    <dataValidation type="whole" allowBlank="1" showErrorMessage="1" errorTitle="Invalid count" error="Value must be between 0 and the current implemented total." sqref="U175" xr:uid="{00000000-0002-0000-0100-00006A000000}">
      <formula1>0</formula1>
      <formula2>C93</formula2>
    </dataValidation>
    <dataValidation type="whole" allowBlank="1" showErrorMessage="1" errorTitle="Invalid count" error="Value must be between 0 and the current implemented total." sqref="W175" xr:uid="{00000000-0002-0000-0100-00006B000000}">
      <formula1>0</formula1>
      <formula2>C94</formula2>
    </dataValidation>
    <dataValidation type="whole" allowBlank="1" showErrorMessage="1" errorTitle="Invalid overall count" error="Overall count must be between 0 and the current implemented total." sqref="Q176" xr:uid="{00000000-0002-0000-0100-00006C000000}">
      <formula1>0</formula1>
      <formula2>C16</formula2>
    </dataValidation>
    <dataValidation type="whole" allowBlank="1" showErrorMessage="1" errorTitle="Invalid count" error="Value must be between 0 and the current implemented total." sqref="S176" xr:uid="{00000000-0002-0000-0100-00006D000000}">
      <formula1>0</formula1>
      <formula2>C92</formula2>
    </dataValidation>
    <dataValidation type="whole" allowBlank="1" showErrorMessage="1" errorTitle="Invalid count" error="Value must be between 0 and the current implemented total." sqref="U176" xr:uid="{00000000-0002-0000-0100-00006E000000}">
      <formula1>0</formula1>
      <formula2>C93</formula2>
    </dataValidation>
    <dataValidation type="whole" allowBlank="1" showErrorMessage="1" errorTitle="Invalid count" error="Value must be between 0 and the current implemented total." sqref="W176" xr:uid="{00000000-0002-0000-0100-00006F000000}">
      <formula1>0</formula1>
      <formula2>C94</formula2>
    </dataValidation>
    <dataValidation type="whole" allowBlank="1" showErrorMessage="1" errorTitle="Invalid overall count" error="Overall count must be between 0 and the current implemented total." sqref="Q177" xr:uid="{00000000-0002-0000-0100-000070000000}">
      <formula1>0</formula1>
      <formula2>C16</formula2>
    </dataValidation>
    <dataValidation type="whole" allowBlank="1" showErrorMessage="1" errorTitle="Invalid count" error="Value must be between 0 and the current implemented total." sqref="S177" xr:uid="{00000000-0002-0000-0100-000071000000}">
      <formula1>0</formula1>
      <formula2>C92</formula2>
    </dataValidation>
    <dataValidation type="whole" allowBlank="1" showErrorMessage="1" errorTitle="Invalid count" error="Value must be between 0 and the current implemented total." sqref="U177" xr:uid="{00000000-0002-0000-0100-000072000000}">
      <formula1>0</formula1>
      <formula2>C93</formula2>
    </dataValidation>
    <dataValidation type="whole" allowBlank="1" showErrorMessage="1" errorTitle="Invalid count" error="Value must be between 0 and the current implemented total." sqref="W177" xr:uid="{00000000-0002-0000-0100-000073000000}">
      <formula1>0</formula1>
      <formula2>C94</formula2>
    </dataValidation>
    <dataValidation type="whole" allowBlank="1" showErrorMessage="1" errorTitle="Invalid overall count" error="Overall count must be between 0 and the current implemented total." sqref="Q178" xr:uid="{00000000-0002-0000-0100-000074000000}">
      <formula1>0</formula1>
      <formula2>C16</formula2>
    </dataValidation>
    <dataValidation type="whole" allowBlank="1" showErrorMessage="1" errorTitle="Invalid count" error="Value must be between 0 and the current implemented total." sqref="S178" xr:uid="{00000000-0002-0000-0100-000075000000}">
      <formula1>0</formula1>
      <formula2>C92</formula2>
    </dataValidation>
    <dataValidation type="whole" allowBlank="1" showErrorMessage="1" errorTitle="Invalid count" error="Value must be between 0 and the current implemented total." sqref="U178" xr:uid="{00000000-0002-0000-0100-000076000000}">
      <formula1>0</formula1>
      <formula2>C93</formula2>
    </dataValidation>
    <dataValidation type="whole" allowBlank="1" showErrorMessage="1" errorTitle="Invalid count" error="Value must be between 0 and the current implemented total." sqref="W178" xr:uid="{00000000-0002-0000-0100-000077000000}">
      <formula1>0</formula1>
      <formula2>C94</formula2>
    </dataValidation>
    <dataValidation type="whole" allowBlank="1" showErrorMessage="1" errorTitle="Invalid Asset Count" error="Value must be between 0 and the Total Asset Numbers above." sqref="Q191" xr:uid="{00000000-0002-0000-0100-000078000000}">
      <formula1>0</formula1>
      <formula2>$P187</formula2>
    </dataValidation>
    <dataValidation type="whole" allowBlank="1" showErrorMessage="1" errorTitle="Invalid Asset Count" error="Value must be between 0 and the Total Asset Numbers above." sqref="Q192" xr:uid="{00000000-0002-0000-0100-000079000000}">
      <formula1>0</formula1>
      <formula2>$P187</formula2>
    </dataValidation>
    <dataValidation type="whole" allowBlank="1" showErrorMessage="1" errorTitle="Invalid Asset Count" error="Value must be between 0 and the Total Asset Numbers above." sqref="Q193" xr:uid="{00000000-0002-0000-0100-00007A000000}">
      <formula1>0</formula1>
      <formula2>$P187</formula2>
    </dataValidation>
    <dataValidation type="whole" allowBlank="1" showErrorMessage="1" errorTitle="Invalid Asset Count" error="Value must be between 0 and the Total Asset Numbers above." sqref="Q194" xr:uid="{00000000-0002-0000-0100-00007B000000}">
      <formula1>0</formula1>
      <formula2>$P187</formula2>
    </dataValidation>
    <dataValidation type="whole" allowBlank="1" showErrorMessage="1" errorTitle="Invalid Asset Count" error="Value must be between 0 and the Total Asset Numbers above." sqref="Q195" xr:uid="{00000000-0002-0000-0100-00007C000000}">
      <formula1>0</formula1>
      <formula2>$P187</formula2>
    </dataValidation>
    <dataValidation type="whole" allowBlank="1" showErrorMessage="1" errorTitle="Invalid Asset Count" error="Value must be between 0 and the Total Asset Numbers above." sqref="Q196" xr:uid="{00000000-0002-0000-0100-00007D000000}">
      <formula1>0</formula1>
      <formula2>$P187</formula2>
    </dataValidation>
    <dataValidation type="whole" allowBlank="1" showErrorMessage="1" errorTitle="Invalid Asset Count" error="Value must be between 0 and the Total Asset Numbers above." sqref="Q197" xr:uid="{00000000-0002-0000-0100-00007E000000}">
      <formula1>0</formula1>
      <formula2>$P187</formula2>
    </dataValidation>
    <dataValidation type="whole" allowBlank="1" showErrorMessage="1" errorTitle="Invalid Asset Count" error="Value must be between 0 and the Total Asset Numbers above." sqref="Q198" xr:uid="{00000000-0002-0000-0100-00007F000000}">
      <formula1>0</formula1>
      <formula2>$P187</formula2>
    </dataValidation>
    <dataValidation type="whole" allowBlank="1" showErrorMessage="1" errorTitle="Invalid Asset Count" error="Value must be between 0 and the Total Asset Numbers above." sqref="Q199" xr:uid="{00000000-0002-0000-0100-000080000000}">
      <formula1>0</formula1>
      <formula2>$P187</formula2>
    </dataValidation>
    <dataValidation type="whole" allowBlank="1" showErrorMessage="1" errorTitle="Invalid Asset Count" error="Value must be between 0 and the Total Asset Numbers above." sqref="Q200" xr:uid="{00000000-0002-0000-0100-000081000000}">
      <formula1>0</formula1>
      <formula2>$P187</formula2>
    </dataValidation>
    <dataValidation type="whole" allowBlank="1" showErrorMessage="1" errorTitle="Invalid Asset Count" error="Value must be between 0 and the Total Asset Numbers above." sqref="Q201" xr:uid="{00000000-0002-0000-0100-000082000000}">
      <formula1>0</formula1>
      <formula2>$P187</formula2>
    </dataValidation>
    <dataValidation type="whole" allowBlank="1" showErrorMessage="1" errorTitle="Invalid Asset Count" error="Value must be between 0 and the Total Asset Numbers above." sqref="Q202" xr:uid="{00000000-0002-0000-0100-000083000000}">
      <formula1>0</formula1>
      <formula2>$P187</formula2>
    </dataValidation>
    <dataValidation type="whole" allowBlank="1" showErrorMessage="1" errorTitle="Invalid Asset Count" error="Value must be between 0 and the Total Asset Numbers above." sqref="Q203" xr:uid="{00000000-0002-0000-0100-000084000000}">
      <formula1>0</formula1>
      <formula2>$P187</formula2>
    </dataValidation>
    <dataValidation type="whole" allowBlank="1" showErrorMessage="1" errorTitle="Invalid Asset Count" error="Value must be between 0 and the Total Asset Numbers above." sqref="Q204" xr:uid="{00000000-0002-0000-0100-000085000000}">
      <formula1>0</formula1>
      <formula2>$P187</formula2>
    </dataValidation>
    <dataValidation type="whole" allowBlank="1" showErrorMessage="1" errorTitle="Invalid Asset Count" error="Value must be between 0 and the Total Asset Numbers above." sqref="Q205" xr:uid="{00000000-0002-0000-0100-000086000000}">
      <formula1>0</formula1>
      <formula2>$P187</formula2>
    </dataValidation>
    <dataValidation type="whole" allowBlank="1" showErrorMessage="1" errorTitle="Invalid Asset Count" error="Value must be between 0 and the Total Asset Numbers above." sqref="Q206" xr:uid="{00000000-0002-0000-0100-000087000000}">
      <formula1>0</formula1>
      <formula2>$P187</formula2>
    </dataValidation>
    <dataValidation type="whole" allowBlank="1" showErrorMessage="1" errorTitle="Invalid Asset Count" error="Value must be between 0 and the Total Asset Numbers above." sqref="Q207" xr:uid="{00000000-0002-0000-0100-000088000000}">
      <formula1>0</formula1>
      <formula2>$P187</formula2>
    </dataValidation>
    <dataValidation type="whole" allowBlank="1" showErrorMessage="1" errorTitle="Invalid Asset Count" error="Value must be between 0 and the Total Asset Numbers above." sqref="Q208" xr:uid="{00000000-0002-0000-0100-000089000000}">
      <formula1>0</formula1>
      <formula2>$P187</formula2>
    </dataValidation>
    <dataValidation type="whole" allowBlank="1" showErrorMessage="1" errorTitle="Invalid Asset Count" error="Value must be between 0 and the Total Asset Numbers above." sqref="Q209" xr:uid="{00000000-0002-0000-0100-00008A000000}">
      <formula1>0</formula1>
      <formula2>$P187</formula2>
    </dataValidation>
    <dataValidation type="whole" allowBlank="1" showErrorMessage="1" errorTitle="Invalid Asset Count" error="Value must be between 0 and the Total Asset Numbers above." sqref="Q210" xr:uid="{00000000-0002-0000-0100-00008B000000}">
      <formula1>0</formula1>
      <formula2>$P187</formula2>
    </dataValidation>
  </dataValidations>
  <hyperlinks>
    <hyperlink ref="B21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11"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33</v>
      </c>
      <c r="D4" s="3" t="s">
        <v>17</v>
      </c>
      <c r="E4" s="4" t="s">
        <v>18</v>
      </c>
      <c r="F4" s="4" t="s">
        <v>19</v>
      </c>
      <c r="G4" s="4" t="s">
        <v>20</v>
      </c>
      <c r="H4" s="4" t="s">
        <v>21</v>
      </c>
      <c r="I4" s="5" t="s">
        <v>21</v>
      </c>
      <c r="J4" s="1" t="s">
        <v>34</v>
      </c>
      <c r="K4" s="1" t="s">
        <v>35</v>
      </c>
      <c r="L4" s="1" t="s">
        <v>36</v>
      </c>
      <c r="M4" s="4" t="str">
        <f t="shared" si="0"/>
        <v>Outstanding</v>
      </c>
      <c r="N4" s="13" t="s">
        <v>21</v>
      </c>
    </row>
    <row r="5" spans="1:14" ht="60" customHeight="1" x14ac:dyDescent="0.35">
      <c r="A5" s="11" t="s">
        <v>37</v>
      </c>
      <c r="B5" s="1" t="s">
        <v>38</v>
      </c>
      <c r="C5" s="2" t="s">
        <v>27</v>
      </c>
      <c r="D5" s="3" t="s">
        <v>17</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27</v>
      </c>
      <c r="D6" s="3" t="s">
        <v>17</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27</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27</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27</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33</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27</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27</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33</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27</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99</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105</v>
      </c>
      <c r="E18" s="4" t="s">
        <v>18</v>
      </c>
      <c r="F18" s="4" t="s">
        <v>19</v>
      </c>
      <c r="G18" s="4" t="s">
        <v>20</v>
      </c>
      <c r="H18" s="4" t="s">
        <v>21</v>
      </c>
      <c r="I18" s="5" t="s">
        <v>21</v>
      </c>
      <c r="J18" s="1" t="s">
        <v>106</v>
      </c>
      <c r="K18" s="1" t="s">
        <v>107</v>
      </c>
      <c r="L18" s="1" t="s">
        <v>108</v>
      </c>
      <c r="M18" s="4" t="str">
        <f t="shared" si="0"/>
        <v>Outstanding</v>
      </c>
      <c r="N18" s="13" t="s">
        <v>21</v>
      </c>
    </row>
    <row r="19" spans="1:14" ht="60" customHeight="1" x14ac:dyDescent="0.35">
      <c r="A19" s="11" t="s">
        <v>109</v>
      </c>
      <c r="B19" s="1" t="s">
        <v>110</v>
      </c>
      <c r="C19" s="2" t="s">
        <v>16</v>
      </c>
      <c r="D19" s="3" t="s">
        <v>17</v>
      </c>
      <c r="E19" s="4" t="s">
        <v>18</v>
      </c>
      <c r="F19" s="4" t="s">
        <v>19</v>
      </c>
      <c r="G19" s="4" t="s">
        <v>20</v>
      </c>
      <c r="H19" s="4" t="s">
        <v>21</v>
      </c>
      <c r="I19" s="5" t="s">
        <v>21</v>
      </c>
      <c r="J19" s="1" t="s">
        <v>111</v>
      </c>
      <c r="K19" s="1" t="s">
        <v>112</v>
      </c>
      <c r="L19" s="1" t="s">
        <v>113</v>
      </c>
      <c r="M19" s="4" t="str">
        <f t="shared" si="0"/>
        <v>Outstanding</v>
      </c>
      <c r="N19" s="13" t="s">
        <v>21</v>
      </c>
    </row>
    <row r="20" spans="1:14" ht="60" customHeight="1" x14ac:dyDescent="0.35">
      <c r="A20" s="11" t="s">
        <v>114</v>
      </c>
      <c r="B20" s="1" t="s">
        <v>115</v>
      </c>
      <c r="C20" s="2" t="s">
        <v>27</v>
      </c>
      <c r="D20" s="3" t="s">
        <v>105</v>
      </c>
      <c r="E20" s="4" t="s">
        <v>18</v>
      </c>
      <c r="F20" s="4" t="s">
        <v>19</v>
      </c>
      <c r="G20" s="4" t="s">
        <v>20</v>
      </c>
      <c r="H20" s="4" t="s">
        <v>21</v>
      </c>
      <c r="I20" s="5" t="s">
        <v>21</v>
      </c>
      <c r="J20" s="1" t="s">
        <v>116</v>
      </c>
      <c r="K20" s="1" t="s">
        <v>117</v>
      </c>
      <c r="L20" s="1" t="s">
        <v>118</v>
      </c>
      <c r="M20" s="4" t="str">
        <f t="shared" si="0"/>
        <v>Outstanding</v>
      </c>
      <c r="N20" s="13" t="s">
        <v>21</v>
      </c>
    </row>
    <row r="21" spans="1:14" ht="60" customHeight="1" x14ac:dyDescent="0.35">
      <c r="A21" s="11" t="s">
        <v>119</v>
      </c>
      <c r="B21" s="1" t="s">
        <v>120</v>
      </c>
      <c r="C21" s="2" t="s">
        <v>27</v>
      </c>
      <c r="D21" s="3" t="s">
        <v>17</v>
      </c>
      <c r="E21" s="4" t="s">
        <v>18</v>
      </c>
      <c r="F21" s="4" t="s">
        <v>19</v>
      </c>
      <c r="G21" s="4" t="s">
        <v>20</v>
      </c>
      <c r="H21" s="4" t="s">
        <v>21</v>
      </c>
      <c r="I21" s="5" t="s">
        <v>21</v>
      </c>
      <c r="J21" s="1" t="s">
        <v>121</v>
      </c>
      <c r="K21" s="1" t="s">
        <v>122</v>
      </c>
      <c r="L21" s="1" t="s">
        <v>123</v>
      </c>
      <c r="M21" s="4" t="str">
        <f t="shared" si="0"/>
        <v>Outstanding</v>
      </c>
      <c r="N21" s="13" t="s">
        <v>21</v>
      </c>
    </row>
    <row r="22" spans="1:14" ht="60" customHeight="1" x14ac:dyDescent="0.35">
      <c r="A22" s="11" t="s">
        <v>124</v>
      </c>
      <c r="B22" s="1" t="s">
        <v>125</v>
      </c>
      <c r="C22" s="2" t="s">
        <v>16</v>
      </c>
      <c r="D22" s="3" t="s">
        <v>105</v>
      </c>
      <c r="E22" s="4" t="s">
        <v>18</v>
      </c>
      <c r="F22" s="4" t="s">
        <v>19</v>
      </c>
      <c r="G22" s="4" t="s">
        <v>20</v>
      </c>
      <c r="H22" s="4" t="s">
        <v>21</v>
      </c>
      <c r="I22" s="5" t="s">
        <v>21</v>
      </c>
      <c r="J22" s="1" t="s">
        <v>126</v>
      </c>
      <c r="K22" s="1" t="s">
        <v>127</v>
      </c>
      <c r="L22" s="1" t="s">
        <v>128</v>
      </c>
      <c r="M22" s="4" t="str">
        <f t="shared" si="0"/>
        <v>Outstanding</v>
      </c>
      <c r="N22" s="13" t="s">
        <v>21</v>
      </c>
    </row>
    <row r="23" spans="1:14" ht="60" customHeight="1" x14ac:dyDescent="0.35">
      <c r="A23" s="11" t="s">
        <v>129</v>
      </c>
      <c r="B23" s="1" t="s">
        <v>130</v>
      </c>
      <c r="C23" s="2" t="s">
        <v>27</v>
      </c>
      <c r="D23" s="3" t="s">
        <v>17</v>
      </c>
      <c r="E23" s="4" t="s">
        <v>18</v>
      </c>
      <c r="F23" s="4" t="s">
        <v>19</v>
      </c>
      <c r="G23" s="4" t="s">
        <v>20</v>
      </c>
      <c r="H23" s="4" t="s">
        <v>21</v>
      </c>
      <c r="I23" s="5" t="s">
        <v>21</v>
      </c>
      <c r="J23" s="1" t="s">
        <v>131</v>
      </c>
      <c r="K23" s="1" t="s">
        <v>132</v>
      </c>
      <c r="L23" s="1" t="s">
        <v>133</v>
      </c>
      <c r="M23" s="4" t="str">
        <f t="shared" si="0"/>
        <v>Outstanding</v>
      </c>
      <c r="N23" s="13" t="s">
        <v>21</v>
      </c>
    </row>
    <row r="24" spans="1:14" ht="60" customHeight="1" x14ac:dyDescent="0.35">
      <c r="A24" s="11" t="s">
        <v>134</v>
      </c>
      <c r="B24" s="1" t="s">
        <v>135</v>
      </c>
      <c r="C24" s="2" t="s">
        <v>16</v>
      </c>
      <c r="D24" s="3" t="s">
        <v>105</v>
      </c>
      <c r="E24" s="4" t="s">
        <v>18</v>
      </c>
      <c r="F24" s="4" t="s">
        <v>19</v>
      </c>
      <c r="G24" s="4" t="s">
        <v>20</v>
      </c>
      <c r="H24" s="4" t="s">
        <v>21</v>
      </c>
      <c r="I24" s="5" t="s">
        <v>21</v>
      </c>
      <c r="J24" s="1" t="s">
        <v>136</v>
      </c>
      <c r="K24" s="1" t="s">
        <v>137</v>
      </c>
      <c r="L24" s="1" t="s">
        <v>138</v>
      </c>
      <c r="M24" s="4" t="str">
        <f t="shared" si="0"/>
        <v>Outstanding</v>
      </c>
      <c r="N24" s="13" t="s">
        <v>21</v>
      </c>
    </row>
    <row r="25" spans="1:14" ht="60" customHeight="1" x14ac:dyDescent="0.35">
      <c r="A25" s="11" t="s">
        <v>139</v>
      </c>
      <c r="B25" s="1" t="s">
        <v>140</v>
      </c>
      <c r="C25" s="2" t="s">
        <v>33</v>
      </c>
      <c r="D25" s="3" t="s">
        <v>17</v>
      </c>
      <c r="E25" s="4" t="s">
        <v>18</v>
      </c>
      <c r="F25" s="4" t="s">
        <v>19</v>
      </c>
      <c r="G25" s="4" t="s">
        <v>20</v>
      </c>
      <c r="H25" s="4" t="s">
        <v>21</v>
      </c>
      <c r="I25" s="5" t="s">
        <v>21</v>
      </c>
      <c r="J25" s="1" t="s">
        <v>141</v>
      </c>
      <c r="K25" s="1" t="s">
        <v>142</v>
      </c>
      <c r="L25" s="1" t="s">
        <v>143</v>
      </c>
      <c r="M25" s="4" t="str">
        <f t="shared" si="0"/>
        <v>Outstanding</v>
      </c>
      <c r="N25" s="13" t="s">
        <v>21</v>
      </c>
    </row>
    <row r="26" spans="1:14" ht="60" customHeight="1" x14ac:dyDescent="0.35">
      <c r="A26" s="11" t="s">
        <v>144</v>
      </c>
      <c r="B26" s="1" t="s">
        <v>145</v>
      </c>
      <c r="C26" s="2" t="s">
        <v>27</v>
      </c>
      <c r="D26" s="3" t="s">
        <v>17</v>
      </c>
      <c r="E26" s="4" t="s">
        <v>18</v>
      </c>
      <c r="F26" s="4" t="s">
        <v>19</v>
      </c>
      <c r="G26" s="4" t="s">
        <v>20</v>
      </c>
      <c r="H26" s="4" t="s">
        <v>21</v>
      </c>
      <c r="I26" s="5" t="s">
        <v>21</v>
      </c>
      <c r="J26" s="1" t="s">
        <v>146</v>
      </c>
      <c r="K26" s="1" t="s">
        <v>147</v>
      </c>
      <c r="L26" s="1" t="s">
        <v>148</v>
      </c>
      <c r="M26" s="4" t="str">
        <f t="shared" si="0"/>
        <v>Outstanding</v>
      </c>
      <c r="N26" s="13" t="s">
        <v>21</v>
      </c>
    </row>
    <row r="27" spans="1:14" ht="60" customHeight="1" x14ac:dyDescent="0.35">
      <c r="A27" s="11" t="s">
        <v>149</v>
      </c>
      <c r="B27" s="1" t="s">
        <v>150</v>
      </c>
      <c r="C27" s="2" t="s">
        <v>33</v>
      </c>
      <c r="D27" s="3" t="s">
        <v>17</v>
      </c>
      <c r="E27" s="4" t="s">
        <v>18</v>
      </c>
      <c r="F27" s="4" t="s">
        <v>19</v>
      </c>
      <c r="G27" s="4" t="s">
        <v>20</v>
      </c>
      <c r="H27" s="4" t="s">
        <v>21</v>
      </c>
      <c r="I27" s="5" t="s">
        <v>21</v>
      </c>
      <c r="J27" s="1" t="s">
        <v>151</v>
      </c>
      <c r="K27" s="1" t="s">
        <v>152</v>
      </c>
      <c r="L27" s="1" t="s">
        <v>153</v>
      </c>
      <c r="M27" s="4" t="str">
        <f t="shared" si="0"/>
        <v>Outstanding</v>
      </c>
      <c r="N27" s="13" t="s">
        <v>21</v>
      </c>
    </row>
    <row r="28" spans="1:14" ht="60" customHeight="1" x14ac:dyDescent="0.35">
      <c r="A28" s="11" t="s">
        <v>154</v>
      </c>
      <c r="B28" s="1" t="s">
        <v>155</v>
      </c>
      <c r="C28" s="2" t="s">
        <v>33</v>
      </c>
      <c r="D28" s="3" t="s">
        <v>17</v>
      </c>
      <c r="E28" s="4" t="s">
        <v>18</v>
      </c>
      <c r="F28" s="4" t="s">
        <v>19</v>
      </c>
      <c r="G28" s="4" t="s">
        <v>20</v>
      </c>
      <c r="H28" s="4" t="s">
        <v>21</v>
      </c>
      <c r="I28" s="5" t="s">
        <v>21</v>
      </c>
      <c r="J28" s="1" t="s">
        <v>156</v>
      </c>
      <c r="K28" s="1" t="s">
        <v>157</v>
      </c>
      <c r="L28" s="1" t="s">
        <v>158</v>
      </c>
      <c r="M28" s="4" t="str">
        <f t="shared" si="0"/>
        <v>Outstanding</v>
      </c>
      <c r="N28" s="13" t="s">
        <v>21</v>
      </c>
    </row>
    <row r="29" spans="1:14" ht="60" customHeight="1" x14ac:dyDescent="0.35">
      <c r="A29" s="11" t="s">
        <v>159</v>
      </c>
      <c r="B29" s="1" t="s">
        <v>160</v>
      </c>
      <c r="C29" s="2" t="s">
        <v>33</v>
      </c>
      <c r="D29" s="3" t="s">
        <v>17</v>
      </c>
      <c r="E29" s="4" t="s">
        <v>18</v>
      </c>
      <c r="F29" s="4" t="s">
        <v>19</v>
      </c>
      <c r="G29" s="4" t="s">
        <v>20</v>
      </c>
      <c r="H29" s="4" t="s">
        <v>21</v>
      </c>
      <c r="I29" s="5" t="s">
        <v>21</v>
      </c>
      <c r="J29" s="1" t="s">
        <v>161</v>
      </c>
      <c r="K29" s="1" t="s">
        <v>162</v>
      </c>
      <c r="L29" s="1" t="s">
        <v>163</v>
      </c>
      <c r="M29" s="4" t="str">
        <f t="shared" si="0"/>
        <v>Outstanding</v>
      </c>
      <c r="N29" s="13" t="s">
        <v>21</v>
      </c>
    </row>
    <row r="30" spans="1:14" ht="60" customHeight="1" x14ac:dyDescent="0.35">
      <c r="A30" s="11" t="s">
        <v>164</v>
      </c>
      <c r="B30" s="1" t="s">
        <v>165</v>
      </c>
      <c r="C30" s="2" t="s">
        <v>27</v>
      </c>
      <c r="D30" s="3" t="s">
        <v>17</v>
      </c>
      <c r="E30" s="4" t="s">
        <v>18</v>
      </c>
      <c r="F30" s="4" t="s">
        <v>19</v>
      </c>
      <c r="G30" s="4" t="s">
        <v>20</v>
      </c>
      <c r="H30" s="4" t="s">
        <v>21</v>
      </c>
      <c r="I30" s="5" t="s">
        <v>21</v>
      </c>
      <c r="J30" s="1" t="s">
        <v>166</v>
      </c>
      <c r="K30" s="1" t="s">
        <v>167</v>
      </c>
      <c r="L30" s="1" t="s">
        <v>168</v>
      </c>
      <c r="M30" s="4" t="str">
        <f t="shared" si="0"/>
        <v>Outstanding</v>
      </c>
      <c r="N30" s="13" t="s">
        <v>21</v>
      </c>
    </row>
    <row r="31" spans="1:14" ht="60" customHeight="1" x14ac:dyDescent="0.35">
      <c r="A31" s="11" t="s">
        <v>169</v>
      </c>
      <c r="B31" s="1" t="s">
        <v>170</v>
      </c>
      <c r="C31" s="2" t="s">
        <v>27</v>
      </c>
      <c r="D31" s="3" t="s">
        <v>17</v>
      </c>
      <c r="E31" s="4" t="s">
        <v>18</v>
      </c>
      <c r="F31" s="4" t="s">
        <v>19</v>
      </c>
      <c r="G31" s="4" t="s">
        <v>20</v>
      </c>
      <c r="H31" s="4" t="s">
        <v>21</v>
      </c>
      <c r="I31" s="5" t="s">
        <v>21</v>
      </c>
      <c r="J31" s="1" t="s">
        <v>171</v>
      </c>
      <c r="K31" s="1" t="s">
        <v>172</v>
      </c>
      <c r="L31" s="1" t="s">
        <v>173</v>
      </c>
      <c r="M31" s="4" t="str">
        <f t="shared" si="0"/>
        <v>Outstanding</v>
      </c>
      <c r="N31" s="13" t="s">
        <v>21</v>
      </c>
    </row>
    <row r="32" spans="1:14" ht="60" customHeight="1" x14ac:dyDescent="0.35">
      <c r="A32" s="11" t="s">
        <v>174</v>
      </c>
      <c r="B32" s="1" t="s">
        <v>175</v>
      </c>
      <c r="C32" s="2" t="s">
        <v>27</v>
      </c>
      <c r="D32" s="3" t="s">
        <v>17</v>
      </c>
      <c r="E32" s="4" t="s">
        <v>18</v>
      </c>
      <c r="F32" s="4" t="s">
        <v>19</v>
      </c>
      <c r="G32" s="4" t="s">
        <v>20</v>
      </c>
      <c r="H32" s="4" t="s">
        <v>21</v>
      </c>
      <c r="I32" s="5" t="s">
        <v>21</v>
      </c>
      <c r="J32" s="1" t="s">
        <v>176</v>
      </c>
      <c r="K32" s="1" t="s">
        <v>177</v>
      </c>
      <c r="L32" s="1" t="s">
        <v>178</v>
      </c>
      <c r="M32" s="4" t="str">
        <f t="shared" si="0"/>
        <v>Outstanding</v>
      </c>
      <c r="N32" s="13" t="s">
        <v>21</v>
      </c>
    </row>
    <row r="33" spans="1:14" ht="60" customHeight="1" x14ac:dyDescent="0.35">
      <c r="A33" s="11" t="s">
        <v>179</v>
      </c>
      <c r="B33" s="1" t="s">
        <v>180</v>
      </c>
      <c r="C33" s="2" t="s">
        <v>27</v>
      </c>
      <c r="D33" s="3" t="s">
        <v>181</v>
      </c>
      <c r="E33" s="4" t="s">
        <v>18</v>
      </c>
      <c r="F33" s="4" t="s">
        <v>19</v>
      </c>
      <c r="G33" s="4" t="s">
        <v>20</v>
      </c>
      <c r="H33" s="4" t="s">
        <v>21</v>
      </c>
      <c r="I33" s="5" t="s">
        <v>21</v>
      </c>
      <c r="J33" s="1" t="s">
        <v>182</v>
      </c>
      <c r="K33" s="1" t="s">
        <v>183</v>
      </c>
      <c r="L33" s="1" t="s">
        <v>184</v>
      </c>
      <c r="M33" s="4" t="str">
        <f t="shared" si="0"/>
        <v>Outstanding</v>
      </c>
      <c r="N33" s="13" t="s">
        <v>21</v>
      </c>
    </row>
    <row r="34" spans="1:14" ht="60" customHeight="1" x14ac:dyDescent="0.35">
      <c r="A34" s="11" t="s">
        <v>185</v>
      </c>
      <c r="B34" s="1" t="s">
        <v>186</v>
      </c>
      <c r="C34" s="2" t="s">
        <v>16</v>
      </c>
      <c r="D34" s="3" t="s">
        <v>181</v>
      </c>
      <c r="E34" s="4" t="s">
        <v>18</v>
      </c>
      <c r="F34" s="4" t="s">
        <v>19</v>
      </c>
      <c r="G34" s="4" t="s">
        <v>20</v>
      </c>
      <c r="H34" s="4" t="s">
        <v>21</v>
      </c>
      <c r="I34" s="5" t="s">
        <v>21</v>
      </c>
      <c r="J34" s="1" t="s">
        <v>187</v>
      </c>
      <c r="K34" s="1" t="s">
        <v>188</v>
      </c>
      <c r="L34" s="1" t="s">
        <v>189</v>
      </c>
      <c r="M34" s="4" t="str">
        <f t="shared" si="0"/>
        <v>Outstanding</v>
      </c>
      <c r="N34" s="13" t="s">
        <v>21</v>
      </c>
    </row>
    <row r="35" spans="1:14" ht="60" customHeight="1" x14ac:dyDescent="0.35">
      <c r="A35" s="11" t="s">
        <v>190</v>
      </c>
      <c r="B35" s="1" t="s">
        <v>191</v>
      </c>
      <c r="C35" s="2" t="s">
        <v>16</v>
      </c>
      <c r="D35" s="3" t="s">
        <v>181</v>
      </c>
      <c r="E35" s="4" t="s">
        <v>18</v>
      </c>
      <c r="F35" s="4" t="s">
        <v>19</v>
      </c>
      <c r="G35" s="4" t="s">
        <v>20</v>
      </c>
      <c r="H35" s="4" t="s">
        <v>21</v>
      </c>
      <c r="I35" s="5" t="s">
        <v>21</v>
      </c>
      <c r="J35" s="1" t="s">
        <v>192</v>
      </c>
      <c r="K35" s="1" t="s">
        <v>193</v>
      </c>
      <c r="L35" s="1" t="s">
        <v>194</v>
      </c>
      <c r="M35" s="4" t="str">
        <f t="shared" si="0"/>
        <v>Outstanding</v>
      </c>
      <c r="N35" s="13" t="s">
        <v>21</v>
      </c>
    </row>
    <row r="36" spans="1:14" ht="60" customHeight="1" x14ac:dyDescent="0.35">
      <c r="A36" s="11" t="s">
        <v>195</v>
      </c>
      <c r="B36" s="1" t="s">
        <v>196</v>
      </c>
      <c r="C36" s="2" t="s">
        <v>27</v>
      </c>
      <c r="D36" s="3" t="s">
        <v>181</v>
      </c>
      <c r="E36" s="4" t="s">
        <v>18</v>
      </c>
      <c r="F36" s="4" t="s">
        <v>19</v>
      </c>
      <c r="G36" s="4" t="s">
        <v>20</v>
      </c>
      <c r="H36" s="4" t="s">
        <v>21</v>
      </c>
      <c r="I36" s="5" t="s">
        <v>21</v>
      </c>
      <c r="J36" s="1" t="s">
        <v>197</v>
      </c>
      <c r="K36" s="1" t="s">
        <v>198</v>
      </c>
      <c r="L36" s="1" t="s">
        <v>199</v>
      </c>
      <c r="M36" s="4" t="str">
        <f t="shared" si="0"/>
        <v>Outstanding</v>
      </c>
      <c r="N36" s="13" t="s">
        <v>21</v>
      </c>
    </row>
    <row r="37" spans="1:14" ht="60" customHeight="1" x14ac:dyDescent="0.35">
      <c r="A37" s="11" t="s">
        <v>200</v>
      </c>
      <c r="B37" s="1" t="s">
        <v>201</v>
      </c>
      <c r="C37" s="2" t="s">
        <v>33</v>
      </c>
      <c r="D37" s="3" t="s">
        <v>17</v>
      </c>
      <c r="E37" s="4" t="s">
        <v>18</v>
      </c>
      <c r="F37" s="4" t="s">
        <v>19</v>
      </c>
      <c r="G37" s="4" t="s">
        <v>20</v>
      </c>
      <c r="H37" s="4" t="s">
        <v>21</v>
      </c>
      <c r="I37" s="5" t="s">
        <v>21</v>
      </c>
      <c r="J37" s="1" t="s">
        <v>202</v>
      </c>
      <c r="K37" s="1" t="s">
        <v>203</v>
      </c>
      <c r="L37" s="1" t="s">
        <v>204</v>
      </c>
      <c r="M37" s="4" t="str">
        <f t="shared" si="0"/>
        <v>Outstanding</v>
      </c>
      <c r="N37" s="13" t="s">
        <v>21</v>
      </c>
    </row>
    <row r="38" spans="1:14" ht="60" customHeight="1" x14ac:dyDescent="0.35">
      <c r="A38" s="11" t="s">
        <v>205</v>
      </c>
      <c r="B38" s="1" t="s">
        <v>206</v>
      </c>
      <c r="C38" s="2" t="s">
        <v>16</v>
      </c>
      <c r="D38" s="3" t="s">
        <v>207</v>
      </c>
      <c r="E38" s="4" t="s">
        <v>18</v>
      </c>
      <c r="F38" s="4" t="s">
        <v>19</v>
      </c>
      <c r="G38" s="4" t="s">
        <v>20</v>
      </c>
      <c r="H38" s="4" t="s">
        <v>21</v>
      </c>
      <c r="I38" s="5" t="s">
        <v>21</v>
      </c>
      <c r="J38" s="1" t="s">
        <v>208</v>
      </c>
      <c r="K38" s="1" t="s">
        <v>209</v>
      </c>
      <c r="L38" s="1" t="s">
        <v>210</v>
      </c>
      <c r="M38" s="4" t="str">
        <f t="shared" si="0"/>
        <v>Outstanding</v>
      </c>
      <c r="N38" s="13" t="s">
        <v>21</v>
      </c>
    </row>
    <row r="39" spans="1:14" ht="60" customHeight="1" x14ac:dyDescent="0.35">
      <c r="A39" s="11" t="s">
        <v>211</v>
      </c>
      <c r="B39" s="1" t="s">
        <v>212</v>
      </c>
      <c r="C39" s="2" t="s">
        <v>16</v>
      </c>
      <c r="D39" s="3" t="s">
        <v>17</v>
      </c>
      <c r="E39" s="4" t="s">
        <v>18</v>
      </c>
      <c r="F39" s="4" t="s">
        <v>19</v>
      </c>
      <c r="G39" s="4" t="s">
        <v>20</v>
      </c>
      <c r="H39" s="4" t="s">
        <v>21</v>
      </c>
      <c r="I39" s="5" t="s">
        <v>21</v>
      </c>
      <c r="J39" s="1" t="s">
        <v>213</v>
      </c>
      <c r="K39" s="1" t="s">
        <v>214</v>
      </c>
      <c r="L39" s="1" t="s">
        <v>215</v>
      </c>
      <c r="M39" s="4" t="str">
        <f t="shared" si="0"/>
        <v>Outstanding</v>
      </c>
      <c r="N39" s="13" t="s">
        <v>21</v>
      </c>
    </row>
    <row r="40" spans="1:14" ht="60" customHeight="1" x14ac:dyDescent="0.35">
      <c r="A40" s="11" t="s">
        <v>216</v>
      </c>
      <c r="B40" s="1" t="s">
        <v>217</v>
      </c>
      <c r="C40" s="2" t="s">
        <v>27</v>
      </c>
      <c r="D40" s="3" t="s">
        <v>17</v>
      </c>
      <c r="E40" s="4" t="s">
        <v>18</v>
      </c>
      <c r="F40" s="4" t="s">
        <v>19</v>
      </c>
      <c r="G40" s="4" t="s">
        <v>20</v>
      </c>
      <c r="H40" s="4" t="s">
        <v>21</v>
      </c>
      <c r="I40" s="5" t="s">
        <v>21</v>
      </c>
      <c r="J40" s="1" t="s">
        <v>218</v>
      </c>
      <c r="K40" s="1" t="s">
        <v>219</v>
      </c>
      <c r="L40" s="1" t="s">
        <v>220</v>
      </c>
      <c r="M40" s="4" t="str">
        <f t="shared" si="0"/>
        <v>Outstanding</v>
      </c>
      <c r="N40" s="13" t="s">
        <v>21</v>
      </c>
    </row>
    <row r="41" spans="1:14" ht="60" customHeight="1" x14ac:dyDescent="0.35">
      <c r="A41" s="11" t="s">
        <v>221</v>
      </c>
      <c r="B41" s="1" t="s">
        <v>222</v>
      </c>
      <c r="C41" s="2" t="s">
        <v>27</v>
      </c>
      <c r="D41" s="3" t="s">
        <v>17</v>
      </c>
      <c r="E41" s="4" t="s">
        <v>18</v>
      </c>
      <c r="F41" s="4" t="s">
        <v>19</v>
      </c>
      <c r="G41" s="4" t="s">
        <v>20</v>
      </c>
      <c r="H41" s="4" t="s">
        <v>21</v>
      </c>
      <c r="I41" s="5" t="s">
        <v>21</v>
      </c>
      <c r="J41" s="1" t="s">
        <v>223</v>
      </c>
      <c r="K41" s="1" t="s">
        <v>224</v>
      </c>
      <c r="L41" s="1" t="s">
        <v>225</v>
      </c>
      <c r="M41" s="4" t="str">
        <f t="shared" si="0"/>
        <v>Outstanding</v>
      </c>
      <c r="N41" s="13" t="s">
        <v>21</v>
      </c>
    </row>
    <row r="42" spans="1:14" ht="60" customHeight="1" x14ac:dyDescent="0.35">
      <c r="A42" s="11" t="s">
        <v>226</v>
      </c>
      <c r="B42" s="1" t="s">
        <v>227</v>
      </c>
      <c r="C42" s="2" t="s">
        <v>27</v>
      </c>
      <c r="D42" s="3" t="s">
        <v>17</v>
      </c>
      <c r="E42" s="4" t="s">
        <v>18</v>
      </c>
      <c r="F42" s="4" t="s">
        <v>19</v>
      </c>
      <c r="G42" s="4" t="s">
        <v>20</v>
      </c>
      <c r="H42" s="4" t="s">
        <v>21</v>
      </c>
      <c r="I42" s="5" t="s">
        <v>21</v>
      </c>
      <c r="J42" s="1" t="s">
        <v>228</v>
      </c>
      <c r="K42" s="1" t="s">
        <v>229</v>
      </c>
      <c r="L42" s="1" t="s">
        <v>230</v>
      </c>
      <c r="M42" s="4" t="str">
        <f t="shared" si="0"/>
        <v>Outstanding</v>
      </c>
      <c r="N42" s="13" t="s">
        <v>21</v>
      </c>
    </row>
    <row r="43" spans="1:14" ht="60" customHeight="1" x14ac:dyDescent="0.35">
      <c r="A43" s="11" t="s">
        <v>231</v>
      </c>
      <c r="B43" s="1" t="s">
        <v>232</v>
      </c>
      <c r="C43" s="2" t="s">
        <v>16</v>
      </c>
      <c r="D43" s="3" t="s">
        <v>105</v>
      </c>
      <c r="E43" s="4" t="s">
        <v>18</v>
      </c>
      <c r="F43" s="4" t="s">
        <v>19</v>
      </c>
      <c r="G43" s="4" t="s">
        <v>20</v>
      </c>
      <c r="H43" s="4" t="s">
        <v>21</v>
      </c>
      <c r="I43" s="5" t="s">
        <v>21</v>
      </c>
      <c r="J43" s="1" t="s">
        <v>233</v>
      </c>
      <c r="K43" s="1" t="s">
        <v>234</v>
      </c>
      <c r="L43" s="1" t="s">
        <v>235</v>
      </c>
      <c r="M43" s="4" t="str">
        <f t="shared" si="0"/>
        <v>Outstanding</v>
      </c>
      <c r="N43" s="13" t="s">
        <v>21</v>
      </c>
    </row>
    <row r="44" spans="1:14" ht="60" customHeight="1" x14ac:dyDescent="0.35">
      <c r="A44" s="11" t="s">
        <v>236</v>
      </c>
      <c r="B44" s="1" t="s">
        <v>237</v>
      </c>
      <c r="C44" s="2" t="s">
        <v>16</v>
      </c>
      <c r="D44" s="3" t="s">
        <v>105</v>
      </c>
      <c r="E44" s="4" t="s">
        <v>18</v>
      </c>
      <c r="F44" s="4" t="s">
        <v>19</v>
      </c>
      <c r="G44" s="4" t="s">
        <v>20</v>
      </c>
      <c r="H44" s="4" t="s">
        <v>21</v>
      </c>
      <c r="I44" s="5" t="s">
        <v>21</v>
      </c>
      <c r="J44" s="1" t="s">
        <v>238</v>
      </c>
      <c r="K44" s="1" t="s">
        <v>239</v>
      </c>
      <c r="L44" s="1" t="s">
        <v>240</v>
      </c>
      <c r="M44" s="4" t="str">
        <f t="shared" si="0"/>
        <v>Outstanding</v>
      </c>
      <c r="N44" s="13" t="s">
        <v>21</v>
      </c>
    </row>
    <row r="45" spans="1:14" ht="60" customHeight="1" x14ac:dyDescent="0.35">
      <c r="A45" s="11" t="s">
        <v>241</v>
      </c>
      <c r="B45" s="1" t="s">
        <v>242</v>
      </c>
      <c r="C45" s="2" t="s">
        <v>16</v>
      </c>
      <c r="D45" s="3" t="s">
        <v>105</v>
      </c>
      <c r="E45" s="4" t="s">
        <v>18</v>
      </c>
      <c r="F45" s="4" t="s">
        <v>19</v>
      </c>
      <c r="G45" s="4" t="s">
        <v>20</v>
      </c>
      <c r="H45" s="4" t="s">
        <v>21</v>
      </c>
      <c r="I45" s="5" t="s">
        <v>21</v>
      </c>
      <c r="J45" s="1" t="s">
        <v>243</v>
      </c>
      <c r="K45" s="1" t="s">
        <v>244</v>
      </c>
      <c r="L45" s="1" t="s">
        <v>245</v>
      </c>
      <c r="M45" s="4" t="str">
        <f t="shared" si="0"/>
        <v>Outstanding</v>
      </c>
      <c r="N45" s="13" t="s">
        <v>21</v>
      </c>
    </row>
    <row r="46" spans="1:14" ht="60" customHeight="1" x14ac:dyDescent="0.35">
      <c r="A46" s="11" t="s">
        <v>246</v>
      </c>
      <c r="B46" s="1" t="s">
        <v>247</v>
      </c>
      <c r="C46" s="2" t="s">
        <v>27</v>
      </c>
      <c r="D46" s="3" t="s">
        <v>105</v>
      </c>
      <c r="E46" s="4" t="s">
        <v>18</v>
      </c>
      <c r="F46" s="4" t="s">
        <v>19</v>
      </c>
      <c r="G46" s="4" t="s">
        <v>20</v>
      </c>
      <c r="H46" s="4" t="s">
        <v>21</v>
      </c>
      <c r="I46" s="5" t="s">
        <v>21</v>
      </c>
      <c r="J46" s="1" t="s">
        <v>248</v>
      </c>
      <c r="K46" s="1" t="s">
        <v>249</v>
      </c>
      <c r="L46" s="1" t="s">
        <v>250</v>
      </c>
      <c r="M46" s="4" t="str">
        <f t="shared" si="0"/>
        <v>Outstanding</v>
      </c>
      <c r="N46" s="13" t="s">
        <v>21</v>
      </c>
    </row>
    <row r="47" spans="1:14" ht="60" customHeight="1" x14ac:dyDescent="0.35">
      <c r="A47" s="11" t="s">
        <v>251</v>
      </c>
      <c r="B47" s="1" t="s">
        <v>252</v>
      </c>
      <c r="C47" s="2" t="s">
        <v>27</v>
      </c>
      <c r="D47" s="3" t="s">
        <v>181</v>
      </c>
      <c r="E47" s="4" t="s">
        <v>18</v>
      </c>
      <c r="F47" s="4" t="s">
        <v>19</v>
      </c>
      <c r="G47" s="4" t="s">
        <v>20</v>
      </c>
      <c r="H47" s="4" t="s">
        <v>21</v>
      </c>
      <c r="I47" s="5" t="s">
        <v>21</v>
      </c>
      <c r="J47" s="1" t="s">
        <v>253</v>
      </c>
      <c r="K47" s="1" t="s">
        <v>254</v>
      </c>
      <c r="L47" s="1" t="s">
        <v>255</v>
      </c>
      <c r="M47" s="4" t="str">
        <f t="shared" si="0"/>
        <v>Outstanding</v>
      </c>
      <c r="N47" s="13" t="s">
        <v>21</v>
      </c>
    </row>
    <row r="48" spans="1:14" ht="60" customHeight="1" x14ac:dyDescent="0.35">
      <c r="A48" s="11" t="s">
        <v>256</v>
      </c>
      <c r="B48" s="1" t="s">
        <v>257</v>
      </c>
      <c r="C48" s="2" t="s">
        <v>27</v>
      </c>
      <c r="D48" s="3" t="s">
        <v>181</v>
      </c>
      <c r="E48" s="4" t="s">
        <v>18</v>
      </c>
      <c r="F48" s="4" t="s">
        <v>19</v>
      </c>
      <c r="G48" s="4" t="s">
        <v>20</v>
      </c>
      <c r="H48" s="4" t="s">
        <v>21</v>
      </c>
      <c r="I48" s="5" t="s">
        <v>21</v>
      </c>
      <c r="J48" s="1" t="s">
        <v>258</v>
      </c>
      <c r="K48" s="1" t="s">
        <v>259</v>
      </c>
      <c r="L48" s="1" t="s">
        <v>260</v>
      </c>
      <c r="M48" s="4" t="str">
        <f t="shared" si="0"/>
        <v>Outstanding</v>
      </c>
      <c r="N48" s="13" t="s">
        <v>21</v>
      </c>
    </row>
    <row r="49" spans="1:14" ht="60" customHeight="1" x14ac:dyDescent="0.35">
      <c r="A49" s="11" t="s">
        <v>261</v>
      </c>
      <c r="B49" s="1" t="s">
        <v>262</v>
      </c>
      <c r="C49" s="2" t="s">
        <v>33</v>
      </c>
      <c r="D49" s="3" t="s">
        <v>181</v>
      </c>
      <c r="E49" s="4" t="s">
        <v>18</v>
      </c>
      <c r="F49" s="4" t="s">
        <v>19</v>
      </c>
      <c r="G49" s="4" t="s">
        <v>20</v>
      </c>
      <c r="H49" s="4" t="s">
        <v>21</v>
      </c>
      <c r="I49" s="5" t="s">
        <v>21</v>
      </c>
      <c r="J49" s="1" t="s">
        <v>263</v>
      </c>
      <c r="K49" s="1" t="s">
        <v>264</v>
      </c>
      <c r="L49" s="1" t="s">
        <v>265</v>
      </c>
      <c r="M49" s="4" t="str">
        <f t="shared" si="0"/>
        <v>Outstanding</v>
      </c>
      <c r="N49" s="13" t="s">
        <v>21</v>
      </c>
    </row>
    <row r="50" spans="1:14" ht="60" customHeight="1" x14ac:dyDescent="0.35">
      <c r="A50" s="11" t="s">
        <v>266</v>
      </c>
      <c r="B50" s="1" t="s">
        <v>267</v>
      </c>
      <c r="C50" s="2" t="s">
        <v>27</v>
      </c>
      <c r="D50" s="3" t="s">
        <v>181</v>
      </c>
      <c r="E50" s="4" t="s">
        <v>18</v>
      </c>
      <c r="F50" s="4" t="s">
        <v>19</v>
      </c>
      <c r="G50" s="4" t="s">
        <v>20</v>
      </c>
      <c r="H50" s="4" t="s">
        <v>21</v>
      </c>
      <c r="I50" s="5" t="s">
        <v>21</v>
      </c>
      <c r="J50" s="1" t="s">
        <v>268</v>
      </c>
      <c r="K50" s="1" t="s">
        <v>269</v>
      </c>
      <c r="L50" s="1" t="s">
        <v>270</v>
      </c>
      <c r="M50" s="4" t="str">
        <f t="shared" si="0"/>
        <v>Outstanding</v>
      </c>
      <c r="N50" s="13" t="s">
        <v>21</v>
      </c>
    </row>
    <row r="51" spans="1:14" ht="60" customHeight="1" x14ac:dyDescent="0.35">
      <c r="A51" s="11" t="s">
        <v>271</v>
      </c>
      <c r="B51" s="1" t="s">
        <v>272</v>
      </c>
      <c r="C51" s="2" t="s">
        <v>27</v>
      </c>
      <c r="D51" s="3" t="s">
        <v>105</v>
      </c>
      <c r="E51" s="4" t="s">
        <v>18</v>
      </c>
      <c r="F51" s="4" t="s">
        <v>19</v>
      </c>
      <c r="G51" s="4" t="s">
        <v>20</v>
      </c>
      <c r="H51" s="4" t="s">
        <v>21</v>
      </c>
      <c r="I51" s="5" t="s">
        <v>21</v>
      </c>
      <c r="J51" s="1" t="s">
        <v>273</v>
      </c>
      <c r="K51" s="1" t="s">
        <v>274</v>
      </c>
      <c r="L51" s="1" t="s">
        <v>275</v>
      </c>
      <c r="M51" s="4" t="str">
        <f t="shared" si="0"/>
        <v>Outstanding</v>
      </c>
      <c r="N51" s="13" t="s">
        <v>21</v>
      </c>
    </row>
    <row r="52" spans="1:14" ht="60" customHeight="1" x14ac:dyDescent="0.35">
      <c r="A52" s="11" t="s">
        <v>276</v>
      </c>
      <c r="B52" s="1" t="s">
        <v>277</v>
      </c>
      <c r="C52" s="2" t="s">
        <v>27</v>
      </c>
      <c r="D52" s="3" t="s">
        <v>17</v>
      </c>
      <c r="E52" s="4" t="s">
        <v>18</v>
      </c>
      <c r="F52" s="4" t="s">
        <v>19</v>
      </c>
      <c r="G52" s="4" t="s">
        <v>20</v>
      </c>
      <c r="H52" s="4" t="s">
        <v>21</v>
      </c>
      <c r="I52" s="5" t="s">
        <v>21</v>
      </c>
      <c r="J52" s="1" t="s">
        <v>278</v>
      </c>
      <c r="K52" s="1" t="s">
        <v>279</v>
      </c>
      <c r="L52" s="1" t="s">
        <v>280</v>
      </c>
      <c r="M52" s="4" t="str">
        <f t="shared" si="0"/>
        <v>Outstanding</v>
      </c>
      <c r="N52" s="13" t="s">
        <v>21</v>
      </c>
    </row>
    <row r="53" spans="1:14" ht="60" customHeight="1" x14ac:dyDescent="0.35">
      <c r="A53" s="11" t="s">
        <v>281</v>
      </c>
      <c r="B53" s="1" t="s">
        <v>282</v>
      </c>
      <c r="C53" s="2" t="s">
        <v>33</v>
      </c>
      <c r="D53" s="3" t="s">
        <v>105</v>
      </c>
      <c r="E53" s="4" t="s">
        <v>18</v>
      </c>
      <c r="F53" s="4" t="s">
        <v>19</v>
      </c>
      <c r="G53" s="4" t="s">
        <v>20</v>
      </c>
      <c r="H53" s="4" t="s">
        <v>21</v>
      </c>
      <c r="I53" s="5" t="s">
        <v>21</v>
      </c>
      <c r="J53" s="1" t="s">
        <v>283</v>
      </c>
      <c r="K53" s="1" t="s">
        <v>284</v>
      </c>
      <c r="L53" s="1" t="s">
        <v>285</v>
      </c>
      <c r="M53" s="4" t="str">
        <f t="shared" si="0"/>
        <v>Outstanding</v>
      </c>
      <c r="N53" s="13" t="s">
        <v>21</v>
      </c>
    </row>
    <row r="54" spans="1:14" ht="60" customHeight="1" x14ac:dyDescent="0.35">
      <c r="A54" s="11" t="s">
        <v>286</v>
      </c>
      <c r="B54" s="1" t="s">
        <v>287</v>
      </c>
      <c r="C54" s="2" t="s">
        <v>16</v>
      </c>
      <c r="D54" s="3" t="s">
        <v>17</v>
      </c>
      <c r="E54" s="4" t="s">
        <v>18</v>
      </c>
      <c r="F54" s="4" t="s">
        <v>19</v>
      </c>
      <c r="G54" s="4" t="s">
        <v>20</v>
      </c>
      <c r="H54" s="4" t="s">
        <v>21</v>
      </c>
      <c r="I54" s="5" t="s">
        <v>21</v>
      </c>
      <c r="J54" s="1" t="s">
        <v>288</v>
      </c>
      <c r="K54" s="1" t="s">
        <v>289</v>
      </c>
      <c r="L54" s="1" t="s">
        <v>290</v>
      </c>
      <c r="M54" s="4" t="str">
        <f t="shared" si="0"/>
        <v>Outstanding</v>
      </c>
      <c r="N54" s="13" t="s">
        <v>21</v>
      </c>
    </row>
    <row r="55" spans="1:14" ht="60" customHeight="1" x14ac:dyDescent="0.35">
      <c r="A55" s="11" t="s">
        <v>291</v>
      </c>
      <c r="B55" s="1" t="s">
        <v>292</v>
      </c>
      <c r="C55" s="2" t="s">
        <v>16</v>
      </c>
      <c r="D55" s="3" t="s">
        <v>17</v>
      </c>
      <c r="E55" s="4" t="s">
        <v>18</v>
      </c>
      <c r="F55" s="4" t="s">
        <v>19</v>
      </c>
      <c r="G55" s="4" t="s">
        <v>20</v>
      </c>
      <c r="H55" s="4" t="s">
        <v>21</v>
      </c>
      <c r="I55" s="5" t="s">
        <v>21</v>
      </c>
      <c r="J55" s="1" t="s">
        <v>293</v>
      </c>
      <c r="K55" s="1" t="s">
        <v>294</v>
      </c>
      <c r="L55" s="1" t="s">
        <v>295</v>
      </c>
      <c r="M55" s="4" t="str">
        <f t="shared" si="0"/>
        <v>Outstanding</v>
      </c>
      <c r="N55" s="13" t="s">
        <v>21</v>
      </c>
    </row>
    <row r="56" spans="1:14" ht="60" customHeight="1" x14ac:dyDescent="0.35">
      <c r="A56" s="11" t="s">
        <v>296</v>
      </c>
      <c r="B56" s="1" t="s">
        <v>297</v>
      </c>
      <c r="C56" s="2" t="s">
        <v>27</v>
      </c>
      <c r="D56" s="3" t="s">
        <v>298</v>
      </c>
      <c r="E56" s="4" t="s">
        <v>18</v>
      </c>
      <c r="F56" s="4" t="s">
        <v>19</v>
      </c>
      <c r="G56" s="4" t="s">
        <v>20</v>
      </c>
      <c r="H56" s="4" t="s">
        <v>21</v>
      </c>
      <c r="I56" s="5" t="s">
        <v>21</v>
      </c>
      <c r="J56" s="1" t="s">
        <v>299</v>
      </c>
      <c r="K56" s="1" t="s">
        <v>300</v>
      </c>
      <c r="L56" s="1" t="s">
        <v>301</v>
      </c>
      <c r="M56" s="4" t="str">
        <f t="shared" si="0"/>
        <v>Outstanding</v>
      </c>
      <c r="N56" s="13" t="s">
        <v>21</v>
      </c>
    </row>
    <row r="57" spans="1:14" ht="60" customHeight="1" x14ac:dyDescent="0.35">
      <c r="A57" s="11" t="s">
        <v>302</v>
      </c>
      <c r="B57" s="1" t="s">
        <v>303</v>
      </c>
      <c r="C57" s="2" t="s">
        <v>27</v>
      </c>
      <c r="D57" s="3" t="s">
        <v>17</v>
      </c>
      <c r="E57" s="4" t="s">
        <v>18</v>
      </c>
      <c r="F57" s="4" t="s">
        <v>19</v>
      </c>
      <c r="G57" s="4" t="s">
        <v>20</v>
      </c>
      <c r="H57" s="4" t="s">
        <v>21</v>
      </c>
      <c r="I57" s="5" t="s">
        <v>21</v>
      </c>
      <c r="J57" s="1" t="s">
        <v>304</v>
      </c>
      <c r="K57" s="1" t="s">
        <v>305</v>
      </c>
      <c r="L57" s="1" t="s">
        <v>306</v>
      </c>
      <c r="M57" s="4" t="str">
        <f t="shared" si="0"/>
        <v>Outstanding</v>
      </c>
      <c r="N57" s="13" t="s">
        <v>21</v>
      </c>
    </row>
    <row r="58" spans="1:14" ht="60" customHeight="1" x14ac:dyDescent="0.35">
      <c r="A58" s="11" t="s">
        <v>307</v>
      </c>
      <c r="B58" s="1" t="s">
        <v>308</v>
      </c>
      <c r="C58" s="2" t="s">
        <v>27</v>
      </c>
      <c r="D58" s="3" t="s">
        <v>207</v>
      </c>
      <c r="E58" s="4" t="s">
        <v>18</v>
      </c>
      <c r="F58" s="4" t="s">
        <v>19</v>
      </c>
      <c r="G58" s="4" t="s">
        <v>20</v>
      </c>
      <c r="H58" s="4" t="s">
        <v>21</v>
      </c>
      <c r="I58" s="5" t="s">
        <v>21</v>
      </c>
      <c r="J58" s="1" t="s">
        <v>309</v>
      </c>
      <c r="K58" s="1" t="s">
        <v>310</v>
      </c>
      <c r="L58" s="1" t="s">
        <v>311</v>
      </c>
      <c r="M58" s="4" t="str">
        <f t="shared" si="0"/>
        <v>Outstanding</v>
      </c>
      <c r="N58" s="13" t="s">
        <v>21</v>
      </c>
    </row>
    <row r="59" spans="1:14" ht="60" customHeight="1" x14ac:dyDescent="0.35">
      <c r="A59" s="11" t="s">
        <v>312</v>
      </c>
      <c r="B59" s="1" t="s">
        <v>313</v>
      </c>
      <c r="C59" s="2" t="s">
        <v>27</v>
      </c>
      <c r="D59" s="3" t="s">
        <v>17</v>
      </c>
      <c r="E59" s="4" t="s">
        <v>18</v>
      </c>
      <c r="F59" s="4" t="s">
        <v>19</v>
      </c>
      <c r="G59" s="4" t="s">
        <v>20</v>
      </c>
      <c r="H59" s="4" t="s">
        <v>21</v>
      </c>
      <c r="I59" s="5" t="s">
        <v>21</v>
      </c>
      <c r="J59" s="1" t="s">
        <v>314</v>
      </c>
      <c r="K59" s="1" t="s">
        <v>315</v>
      </c>
      <c r="L59" s="1" t="s">
        <v>316</v>
      </c>
      <c r="M59" s="4" t="str">
        <f t="shared" si="0"/>
        <v>Outstanding</v>
      </c>
      <c r="N59" s="13" t="s">
        <v>21</v>
      </c>
    </row>
    <row r="60" spans="1:14" ht="60" customHeight="1" x14ac:dyDescent="0.35">
      <c r="A60" s="11" t="s">
        <v>317</v>
      </c>
      <c r="B60" s="1" t="s">
        <v>318</v>
      </c>
      <c r="C60" s="2" t="s">
        <v>16</v>
      </c>
      <c r="D60" s="3" t="s">
        <v>17</v>
      </c>
      <c r="E60" s="4" t="s">
        <v>18</v>
      </c>
      <c r="F60" s="4" t="s">
        <v>19</v>
      </c>
      <c r="G60" s="4" t="s">
        <v>20</v>
      </c>
      <c r="H60" s="4" t="s">
        <v>21</v>
      </c>
      <c r="I60" s="5" t="s">
        <v>21</v>
      </c>
      <c r="J60" s="1" t="s">
        <v>319</v>
      </c>
      <c r="K60" s="1" t="s">
        <v>320</v>
      </c>
      <c r="L60" s="1" t="s">
        <v>321</v>
      </c>
      <c r="M60" s="4" t="str">
        <f t="shared" si="0"/>
        <v>Outstanding</v>
      </c>
      <c r="N60" s="13" t="s">
        <v>21</v>
      </c>
    </row>
    <row r="61" spans="1:14" ht="60" customHeight="1" x14ac:dyDescent="0.35">
      <c r="A61" s="11" t="s">
        <v>322</v>
      </c>
      <c r="B61" s="1" t="s">
        <v>323</v>
      </c>
      <c r="C61" s="2" t="s">
        <v>16</v>
      </c>
      <c r="D61" s="3" t="s">
        <v>17</v>
      </c>
      <c r="E61" s="4" t="s">
        <v>18</v>
      </c>
      <c r="F61" s="4" t="s">
        <v>19</v>
      </c>
      <c r="G61" s="4" t="s">
        <v>20</v>
      </c>
      <c r="H61" s="4" t="s">
        <v>21</v>
      </c>
      <c r="I61" s="5" t="s">
        <v>21</v>
      </c>
      <c r="J61" s="1" t="s">
        <v>324</v>
      </c>
      <c r="K61" s="1" t="s">
        <v>325</v>
      </c>
      <c r="L61" s="1" t="s">
        <v>326</v>
      </c>
      <c r="M61" s="4" t="str">
        <f t="shared" si="0"/>
        <v>Outstanding</v>
      </c>
      <c r="N61" s="13" t="s">
        <v>21</v>
      </c>
    </row>
    <row r="62" spans="1:14" ht="60" customHeight="1" x14ac:dyDescent="0.35">
      <c r="A62" s="11" t="s">
        <v>327</v>
      </c>
      <c r="B62" s="1" t="s">
        <v>328</v>
      </c>
      <c r="C62" s="2" t="s">
        <v>16</v>
      </c>
      <c r="D62" s="3" t="s">
        <v>17</v>
      </c>
      <c r="E62" s="4" t="s">
        <v>18</v>
      </c>
      <c r="F62" s="4" t="s">
        <v>19</v>
      </c>
      <c r="G62" s="4" t="s">
        <v>20</v>
      </c>
      <c r="H62" s="4" t="s">
        <v>21</v>
      </c>
      <c r="I62" s="5" t="s">
        <v>21</v>
      </c>
      <c r="J62" s="1" t="s">
        <v>329</v>
      </c>
      <c r="K62" s="1" t="s">
        <v>330</v>
      </c>
      <c r="L62" s="1" t="s">
        <v>331</v>
      </c>
      <c r="M62" s="4" t="str">
        <f t="shared" si="0"/>
        <v>Outstanding</v>
      </c>
      <c r="N62" s="13" t="s">
        <v>21</v>
      </c>
    </row>
    <row r="63" spans="1:14" ht="60" customHeight="1" x14ac:dyDescent="0.35">
      <c r="A63" s="11" t="s">
        <v>332</v>
      </c>
      <c r="B63" s="1" t="s">
        <v>333</v>
      </c>
      <c r="C63" s="2" t="s">
        <v>16</v>
      </c>
      <c r="D63" s="3" t="s">
        <v>17</v>
      </c>
      <c r="E63" s="4" t="s">
        <v>18</v>
      </c>
      <c r="F63" s="4" t="s">
        <v>19</v>
      </c>
      <c r="G63" s="4" t="s">
        <v>20</v>
      </c>
      <c r="H63" s="4" t="s">
        <v>21</v>
      </c>
      <c r="I63" s="5" t="s">
        <v>21</v>
      </c>
      <c r="J63" s="1" t="s">
        <v>334</v>
      </c>
      <c r="K63" s="1" t="s">
        <v>335</v>
      </c>
      <c r="L63" s="1" t="s">
        <v>336</v>
      </c>
      <c r="M63" s="4" t="str">
        <f t="shared" si="0"/>
        <v>Outstanding</v>
      </c>
      <c r="N63" s="13" t="s">
        <v>21</v>
      </c>
    </row>
    <row r="64" spans="1:14" ht="60" customHeight="1" x14ac:dyDescent="0.35">
      <c r="A64" s="11" t="s">
        <v>337</v>
      </c>
      <c r="B64" s="1" t="s">
        <v>338</v>
      </c>
      <c r="C64" s="2" t="s">
        <v>16</v>
      </c>
      <c r="D64" s="3" t="s">
        <v>17</v>
      </c>
      <c r="E64" s="4" t="s">
        <v>18</v>
      </c>
      <c r="F64" s="4" t="s">
        <v>19</v>
      </c>
      <c r="G64" s="4" t="s">
        <v>20</v>
      </c>
      <c r="H64" s="4" t="s">
        <v>21</v>
      </c>
      <c r="I64" s="5" t="s">
        <v>21</v>
      </c>
      <c r="J64" s="1" t="s">
        <v>339</v>
      </c>
      <c r="K64" s="1" t="s">
        <v>340</v>
      </c>
      <c r="L64" s="1" t="s">
        <v>341</v>
      </c>
      <c r="M64" s="4" t="str">
        <f t="shared" si="0"/>
        <v>Outstanding</v>
      </c>
      <c r="N64" s="13" t="s">
        <v>21</v>
      </c>
    </row>
    <row r="65" spans="1:14" ht="60" customHeight="1" x14ac:dyDescent="0.35">
      <c r="A65" s="11" t="s">
        <v>342</v>
      </c>
      <c r="B65" s="1" t="s">
        <v>343</v>
      </c>
      <c r="C65" s="2" t="s">
        <v>16</v>
      </c>
      <c r="D65" s="3" t="s">
        <v>17</v>
      </c>
      <c r="E65" s="4" t="s">
        <v>18</v>
      </c>
      <c r="F65" s="4" t="s">
        <v>19</v>
      </c>
      <c r="G65" s="4" t="s">
        <v>20</v>
      </c>
      <c r="H65" s="4" t="s">
        <v>21</v>
      </c>
      <c r="I65" s="5" t="s">
        <v>21</v>
      </c>
      <c r="J65" s="1" t="s">
        <v>344</v>
      </c>
      <c r="K65" s="1" t="s">
        <v>345</v>
      </c>
      <c r="L65" s="1" t="s">
        <v>346</v>
      </c>
      <c r="M65" s="4" t="str">
        <f t="shared" si="0"/>
        <v>Outstanding</v>
      </c>
      <c r="N65" s="13" t="s">
        <v>21</v>
      </c>
    </row>
    <row r="66" spans="1:14" ht="60" customHeight="1" x14ac:dyDescent="0.35">
      <c r="A66" s="11" t="s">
        <v>347</v>
      </c>
      <c r="B66" s="1" t="s">
        <v>348</v>
      </c>
      <c r="C66" s="2" t="s">
        <v>16</v>
      </c>
      <c r="D66" s="3" t="s">
        <v>17</v>
      </c>
      <c r="E66" s="4" t="s">
        <v>18</v>
      </c>
      <c r="F66" s="4" t="s">
        <v>19</v>
      </c>
      <c r="G66" s="4" t="s">
        <v>20</v>
      </c>
      <c r="H66" s="4" t="s">
        <v>21</v>
      </c>
      <c r="I66" s="5" t="s">
        <v>21</v>
      </c>
      <c r="J66" s="1" t="s">
        <v>349</v>
      </c>
      <c r="K66" s="1" t="s">
        <v>350</v>
      </c>
      <c r="L66" s="1" t="s">
        <v>351</v>
      </c>
      <c r="M66" s="4" t="str">
        <f t="shared" si="0"/>
        <v>Outstanding</v>
      </c>
      <c r="N66" s="13" t="s">
        <v>21</v>
      </c>
    </row>
    <row r="67" spans="1:14" ht="60" customHeight="1" x14ac:dyDescent="0.35">
      <c r="A67" s="11" t="s">
        <v>352</v>
      </c>
      <c r="B67" s="1" t="s">
        <v>353</v>
      </c>
      <c r="C67" s="2" t="s">
        <v>27</v>
      </c>
      <c r="D67" s="3" t="s">
        <v>17</v>
      </c>
      <c r="E67" s="4" t="s">
        <v>18</v>
      </c>
      <c r="F67" s="4" t="s">
        <v>19</v>
      </c>
      <c r="G67" s="4" t="s">
        <v>20</v>
      </c>
      <c r="H67" s="4" t="s">
        <v>21</v>
      </c>
      <c r="I67" s="5" t="s">
        <v>21</v>
      </c>
      <c r="J67" s="1" t="s">
        <v>354</v>
      </c>
      <c r="K67" s="1" t="s">
        <v>355</v>
      </c>
      <c r="L67" s="1" t="s">
        <v>356</v>
      </c>
      <c r="M67" s="4" t="str">
        <f t="shared" si="0"/>
        <v>Outstanding</v>
      </c>
      <c r="N67" s="13" t="s">
        <v>21</v>
      </c>
    </row>
    <row r="68" spans="1:14" ht="60" customHeight="1" x14ac:dyDescent="0.35">
      <c r="A68" s="11" t="s">
        <v>357</v>
      </c>
      <c r="B68" s="1" t="s">
        <v>358</v>
      </c>
      <c r="C68" s="2" t="s">
        <v>27</v>
      </c>
      <c r="D68" s="3" t="s">
        <v>105</v>
      </c>
      <c r="E68" s="4" t="s">
        <v>18</v>
      </c>
      <c r="F68" s="4" t="s">
        <v>19</v>
      </c>
      <c r="G68" s="4" t="s">
        <v>20</v>
      </c>
      <c r="H68" s="4" t="s">
        <v>21</v>
      </c>
      <c r="I68" s="5" t="s">
        <v>21</v>
      </c>
      <c r="J68" s="1" t="s">
        <v>359</v>
      </c>
      <c r="K68" s="1" t="s">
        <v>360</v>
      </c>
      <c r="L68" s="1" t="s">
        <v>361</v>
      </c>
      <c r="M68" s="4" t="str">
        <f t="shared" si="0"/>
        <v>Outstanding</v>
      </c>
      <c r="N68" s="13" t="s">
        <v>21</v>
      </c>
    </row>
    <row r="69" spans="1:14" ht="60" customHeight="1" x14ac:dyDescent="0.35">
      <c r="A69" s="11" t="s">
        <v>362</v>
      </c>
      <c r="B69" s="1" t="s">
        <v>363</v>
      </c>
      <c r="C69" s="2" t="s">
        <v>27</v>
      </c>
      <c r="D69" s="3" t="s">
        <v>17</v>
      </c>
      <c r="E69" s="4" t="s">
        <v>18</v>
      </c>
      <c r="F69" s="4" t="s">
        <v>19</v>
      </c>
      <c r="G69" s="4" t="s">
        <v>20</v>
      </c>
      <c r="H69" s="4" t="s">
        <v>21</v>
      </c>
      <c r="I69" s="5" t="s">
        <v>21</v>
      </c>
      <c r="J69" s="1" t="s">
        <v>364</v>
      </c>
      <c r="K69" s="1" t="s">
        <v>365</v>
      </c>
      <c r="L69" s="1" t="s">
        <v>366</v>
      </c>
      <c r="M69" s="4" t="str">
        <f t="shared" si="0"/>
        <v>Outstanding</v>
      </c>
      <c r="N69" s="13" t="s">
        <v>21</v>
      </c>
    </row>
    <row r="70" spans="1:14" ht="60" customHeight="1" x14ac:dyDescent="0.35">
      <c r="A70" s="11" t="s">
        <v>367</v>
      </c>
      <c r="B70" s="1" t="s">
        <v>368</v>
      </c>
      <c r="C70" s="2" t="s">
        <v>27</v>
      </c>
      <c r="D70" s="3" t="s">
        <v>17</v>
      </c>
      <c r="E70" s="4" t="s">
        <v>18</v>
      </c>
      <c r="F70" s="4" t="s">
        <v>19</v>
      </c>
      <c r="G70" s="4" t="s">
        <v>20</v>
      </c>
      <c r="H70" s="4" t="s">
        <v>21</v>
      </c>
      <c r="I70" s="5" t="s">
        <v>21</v>
      </c>
      <c r="J70" s="1" t="s">
        <v>369</v>
      </c>
      <c r="K70" s="1" t="s">
        <v>370</v>
      </c>
      <c r="L70" s="1" t="s">
        <v>371</v>
      </c>
      <c r="M70" s="4" t="str">
        <f t="shared" si="0"/>
        <v>Outstanding</v>
      </c>
      <c r="N70" s="13" t="s">
        <v>21</v>
      </c>
    </row>
    <row r="71" spans="1:14" ht="60" customHeight="1" x14ac:dyDescent="0.35">
      <c r="A71" s="11" t="s">
        <v>372</v>
      </c>
      <c r="B71" s="1" t="s">
        <v>373</v>
      </c>
      <c r="C71" s="2" t="s">
        <v>27</v>
      </c>
      <c r="D71" s="3" t="s">
        <v>17</v>
      </c>
      <c r="E71" s="4" t="s">
        <v>18</v>
      </c>
      <c r="F71" s="4" t="s">
        <v>19</v>
      </c>
      <c r="G71" s="4" t="s">
        <v>20</v>
      </c>
      <c r="H71" s="4" t="s">
        <v>21</v>
      </c>
      <c r="I71" s="5" t="s">
        <v>21</v>
      </c>
      <c r="J71" s="1" t="s">
        <v>374</v>
      </c>
      <c r="K71" s="1" t="s">
        <v>375</v>
      </c>
      <c r="L71" s="1" t="s">
        <v>376</v>
      </c>
      <c r="M71" s="4" t="str">
        <f t="shared" si="0"/>
        <v>Outstanding</v>
      </c>
      <c r="N71" s="13" t="s">
        <v>21</v>
      </c>
    </row>
    <row r="72" spans="1:14" ht="60" customHeight="1" x14ac:dyDescent="0.35">
      <c r="A72" s="11" t="s">
        <v>377</v>
      </c>
      <c r="B72" s="1" t="s">
        <v>378</v>
      </c>
      <c r="C72" s="2" t="s">
        <v>27</v>
      </c>
      <c r="D72" s="3" t="s">
        <v>17</v>
      </c>
      <c r="E72" s="4" t="s">
        <v>18</v>
      </c>
      <c r="F72" s="4" t="s">
        <v>19</v>
      </c>
      <c r="G72" s="4" t="s">
        <v>20</v>
      </c>
      <c r="H72" s="4" t="s">
        <v>21</v>
      </c>
      <c r="I72" s="5" t="s">
        <v>21</v>
      </c>
      <c r="J72" s="1" t="s">
        <v>379</v>
      </c>
      <c r="K72" s="1" t="s">
        <v>380</v>
      </c>
      <c r="L72" s="1" t="s">
        <v>381</v>
      </c>
      <c r="M72" s="4" t="str">
        <f t="shared" si="0"/>
        <v>Outstanding</v>
      </c>
      <c r="N72" s="13" t="s">
        <v>21</v>
      </c>
    </row>
    <row r="73" spans="1:14" ht="60" customHeight="1" x14ac:dyDescent="0.35">
      <c r="A73" s="11" t="s">
        <v>382</v>
      </c>
      <c r="B73" s="1" t="s">
        <v>383</v>
      </c>
      <c r="C73" s="2" t="s">
        <v>33</v>
      </c>
      <c r="D73" s="3" t="s">
        <v>17</v>
      </c>
      <c r="E73" s="4" t="s">
        <v>18</v>
      </c>
      <c r="F73" s="4" t="s">
        <v>19</v>
      </c>
      <c r="G73" s="4" t="s">
        <v>20</v>
      </c>
      <c r="H73" s="4" t="s">
        <v>21</v>
      </c>
      <c r="I73" s="5" t="s">
        <v>21</v>
      </c>
      <c r="J73" s="1" t="s">
        <v>384</v>
      </c>
      <c r="K73" s="1" t="s">
        <v>385</v>
      </c>
      <c r="L73" s="1" t="s">
        <v>386</v>
      </c>
      <c r="M73" s="4" t="str">
        <f t="shared" si="0"/>
        <v>Outstanding</v>
      </c>
      <c r="N73" s="13" t="s">
        <v>21</v>
      </c>
    </row>
    <row r="74" spans="1:14" ht="60" customHeight="1" x14ac:dyDescent="0.35">
      <c r="A74" s="11" t="s">
        <v>387</v>
      </c>
      <c r="B74" s="1" t="s">
        <v>388</v>
      </c>
      <c r="C74" s="2" t="s">
        <v>27</v>
      </c>
      <c r="D74" s="3" t="s">
        <v>17</v>
      </c>
      <c r="E74" s="4" t="s">
        <v>18</v>
      </c>
      <c r="F74" s="4" t="s">
        <v>19</v>
      </c>
      <c r="G74" s="4" t="s">
        <v>20</v>
      </c>
      <c r="H74" s="4" t="s">
        <v>21</v>
      </c>
      <c r="I74" s="5" t="s">
        <v>21</v>
      </c>
      <c r="J74" s="1" t="s">
        <v>389</v>
      </c>
      <c r="K74" s="1" t="s">
        <v>390</v>
      </c>
      <c r="L74" s="1" t="s">
        <v>391</v>
      </c>
      <c r="M74" s="4" t="str">
        <f t="shared" si="0"/>
        <v>Outstanding</v>
      </c>
      <c r="N74" s="13" t="s">
        <v>21</v>
      </c>
    </row>
    <row r="75" spans="1:14" ht="60" customHeight="1" x14ac:dyDescent="0.35">
      <c r="A75" s="11" t="s">
        <v>392</v>
      </c>
      <c r="B75" s="1" t="s">
        <v>393</v>
      </c>
      <c r="C75" s="2" t="s">
        <v>27</v>
      </c>
      <c r="D75" s="3" t="s">
        <v>17</v>
      </c>
      <c r="E75" s="4" t="s">
        <v>18</v>
      </c>
      <c r="F75" s="4" t="s">
        <v>19</v>
      </c>
      <c r="G75" s="4" t="s">
        <v>20</v>
      </c>
      <c r="H75" s="4" t="s">
        <v>21</v>
      </c>
      <c r="I75" s="5" t="s">
        <v>21</v>
      </c>
      <c r="J75" s="1" t="s">
        <v>394</v>
      </c>
      <c r="K75" s="1" t="s">
        <v>395</v>
      </c>
      <c r="L75" s="1" t="s">
        <v>396</v>
      </c>
      <c r="M75" s="4" t="str">
        <f t="shared" si="0"/>
        <v>Outstanding</v>
      </c>
      <c r="N75" s="13" t="s">
        <v>21</v>
      </c>
    </row>
    <row r="76" spans="1:14" ht="60" customHeight="1" x14ac:dyDescent="0.35">
      <c r="A76" s="11" t="s">
        <v>397</v>
      </c>
      <c r="B76" s="1" t="s">
        <v>398</v>
      </c>
      <c r="C76" s="2" t="s">
        <v>27</v>
      </c>
      <c r="D76" s="3" t="s">
        <v>17</v>
      </c>
      <c r="E76" s="4" t="s">
        <v>18</v>
      </c>
      <c r="F76" s="4" t="s">
        <v>19</v>
      </c>
      <c r="G76" s="4" t="s">
        <v>20</v>
      </c>
      <c r="H76" s="4" t="s">
        <v>21</v>
      </c>
      <c r="I76" s="5" t="s">
        <v>21</v>
      </c>
      <c r="J76" s="1" t="s">
        <v>399</v>
      </c>
      <c r="K76" s="1" t="s">
        <v>400</v>
      </c>
      <c r="L76" s="1" t="s">
        <v>401</v>
      </c>
      <c r="M76" s="4" t="str">
        <f t="shared" si="0"/>
        <v>Outstanding</v>
      </c>
      <c r="N76" s="13" t="s">
        <v>21</v>
      </c>
    </row>
    <row r="77" spans="1:14" ht="60" customHeight="1" x14ac:dyDescent="0.35">
      <c r="A77" s="11" t="s">
        <v>402</v>
      </c>
      <c r="B77" s="1" t="s">
        <v>403</v>
      </c>
      <c r="C77" s="2" t="s">
        <v>27</v>
      </c>
      <c r="D77" s="3" t="s">
        <v>17</v>
      </c>
      <c r="E77" s="4" t="s">
        <v>18</v>
      </c>
      <c r="F77" s="4" t="s">
        <v>19</v>
      </c>
      <c r="G77" s="4" t="s">
        <v>20</v>
      </c>
      <c r="H77" s="4" t="s">
        <v>21</v>
      </c>
      <c r="I77" s="5" t="s">
        <v>21</v>
      </c>
      <c r="J77" s="1" t="s">
        <v>404</v>
      </c>
      <c r="K77" s="1" t="s">
        <v>405</v>
      </c>
      <c r="L77" s="1" t="s">
        <v>406</v>
      </c>
      <c r="M77" s="4" t="str">
        <f t="shared" si="0"/>
        <v>Outstanding</v>
      </c>
      <c r="N77" s="13" t="s">
        <v>21</v>
      </c>
    </row>
    <row r="78" spans="1:14" ht="60" customHeight="1" x14ac:dyDescent="0.35">
      <c r="A78" s="11" t="s">
        <v>407</v>
      </c>
      <c r="B78" s="1" t="s">
        <v>408</v>
      </c>
      <c r="C78" s="2" t="s">
        <v>27</v>
      </c>
      <c r="D78" s="3" t="s">
        <v>17</v>
      </c>
      <c r="E78" s="4" t="s">
        <v>18</v>
      </c>
      <c r="F78" s="4" t="s">
        <v>19</v>
      </c>
      <c r="G78" s="4" t="s">
        <v>20</v>
      </c>
      <c r="H78" s="4" t="s">
        <v>21</v>
      </c>
      <c r="I78" s="5" t="s">
        <v>21</v>
      </c>
      <c r="J78" s="1" t="s">
        <v>409</v>
      </c>
      <c r="K78" s="1" t="s">
        <v>410</v>
      </c>
      <c r="L78" s="1" t="s">
        <v>411</v>
      </c>
      <c r="M78" s="4" t="str">
        <f t="shared" si="0"/>
        <v>Outstanding</v>
      </c>
      <c r="N78" s="13" t="s">
        <v>21</v>
      </c>
    </row>
    <row r="79" spans="1:14" ht="60" customHeight="1" x14ac:dyDescent="0.35">
      <c r="A79" s="11" t="s">
        <v>412</v>
      </c>
      <c r="B79" s="1" t="s">
        <v>413</v>
      </c>
      <c r="C79" s="2" t="s">
        <v>27</v>
      </c>
      <c r="D79" s="3" t="s">
        <v>17</v>
      </c>
      <c r="E79" s="4" t="s">
        <v>18</v>
      </c>
      <c r="F79" s="4" t="s">
        <v>19</v>
      </c>
      <c r="G79" s="4" t="s">
        <v>20</v>
      </c>
      <c r="H79" s="4" t="s">
        <v>21</v>
      </c>
      <c r="I79" s="5" t="s">
        <v>21</v>
      </c>
      <c r="J79" s="1" t="s">
        <v>414</v>
      </c>
      <c r="K79" s="1" t="s">
        <v>415</v>
      </c>
      <c r="L79" s="1" t="s">
        <v>416</v>
      </c>
      <c r="M79" s="4" t="str">
        <f t="shared" si="0"/>
        <v>Outstanding</v>
      </c>
      <c r="N79" s="13" t="s">
        <v>21</v>
      </c>
    </row>
    <row r="80" spans="1:14" ht="60" customHeight="1" x14ac:dyDescent="0.35">
      <c r="A80" s="11" t="s">
        <v>417</v>
      </c>
      <c r="B80" s="1" t="s">
        <v>418</v>
      </c>
      <c r="C80" s="2" t="s">
        <v>27</v>
      </c>
      <c r="D80" s="3" t="s">
        <v>17</v>
      </c>
      <c r="E80" s="4" t="s">
        <v>18</v>
      </c>
      <c r="F80" s="4" t="s">
        <v>19</v>
      </c>
      <c r="G80" s="4" t="s">
        <v>20</v>
      </c>
      <c r="H80" s="4" t="s">
        <v>21</v>
      </c>
      <c r="I80" s="5" t="s">
        <v>21</v>
      </c>
      <c r="J80" s="1" t="s">
        <v>419</v>
      </c>
      <c r="K80" s="1" t="s">
        <v>420</v>
      </c>
      <c r="L80" s="1" t="s">
        <v>421</v>
      </c>
      <c r="M80" s="4" t="str">
        <f t="shared" si="0"/>
        <v>Outstanding</v>
      </c>
      <c r="N80" s="13" t="s">
        <v>21</v>
      </c>
    </row>
    <row r="81" spans="1:14" ht="60" customHeight="1" x14ac:dyDescent="0.35">
      <c r="A81" s="11" t="s">
        <v>422</v>
      </c>
      <c r="B81" s="1" t="s">
        <v>423</v>
      </c>
      <c r="C81" s="2" t="s">
        <v>27</v>
      </c>
      <c r="D81" s="3" t="s">
        <v>17</v>
      </c>
      <c r="E81" s="4" t="s">
        <v>18</v>
      </c>
      <c r="F81" s="4" t="s">
        <v>19</v>
      </c>
      <c r="G81" s="4" t="s">
        <v>20</v>
      </c>
      <c r="H81" s="4" t="s">
        <v>21</v>
      </c>
      <c r="I81" s="5" t="s">
        <v>21</v>
      </c>
      <c r="J81" s="1" t="s">
        <v>424</v>
      </c>
      <c r="K81" s="1" t="s">
        <v>425</v>
      </c>
      <c r="L81" s="1" t="s">
        <v>426</v>
      </c>
      <c r="M81" s="4" t="str">
        <f t="shared" si="0"/>
        <v>Outstanding</v>
      </c>
      <c r="N81" s="13" t="s">
        <v>21</v>
      </c>
    </row>
    <row r="82" spans="1:14" ht="60" customHeight="1" x14ac:dyDescent="0.35">
      <c r="A82" s="11" t="s">
        <v>427</v>
      </c>
      <c r="B82" s="1" t="s">
        <v>428</v>
      </c>
      <c r="C82" s="2" t="s">
        <v>27</v>
      </c>
      <c r="D82" s="3" t="s">
        <v>17</v>
      </c>
      <c r="E82" s="4" t="s">
        <v>18</v>
      </c>
      <c r="F82" s="4" t="s">
        <v>19</v>
      </c>
      <c r="G82" s="4" t="s">
        <v>20</v>
      </c>
      <c r="H82" s="4" t="s">
        <v>21</v>
      </c>
      <c r="I82" s="5" t="s">
        <v>21</v>
      </c>
      <c r="J82" s="1" t="s">
        <v>429</v>
      </c>
      <c r="K82" s="1" t="s">
        <v>430</v>
      </c>
      <c r="L82" s="1" t="s">
        <v>431</v>
      </c>
      <c r="M82" s="4" t="str">
        <f t="shared" si="0"/>
        <v>Outstanding</v>
      </c>
      <c r="N82" s="13" t="s">
        <v>21</v>
      </c>
    </row>
    <row r="83" spans="1:14" ht="60" customHeight="1" x14ac:dyDescent="0.35">
      <c r="A83" s="11" t="s">
        <v>432</v>
      </c>
      <c r="B83" s="1" t="s">
        <v>433</v>
      </c>
      <c r="C83" s="2" t="s">
        <v>16</v>
      </c>
      <c r="D83" s="3" t="s">
        <v>17</v>
      </c>
      <c r="E83" s="4" t="s">
        <v>18</v>
      </c>
      <c r="F83" s="4" t="s">
        <v>19</v>
      </c>
      <c r="G83" s="4" t="s">
        <v>20</v>
      </c>
      <c r="H83" s="4" t="s">
        <v>21</v>
      </c>
      <c r="I83" s="5" t="s">
        <v>21</v>
      </c>
      <c r="J83" s="1" t="s">
        <v>434</v>
      </c>
      <c r="K83" s="1" t="s">
        <v>435</v>
      </c>
      <c r="L83" s="1" t="s">
        <v>436</v>
      </c>
      <c r="M83" s="4" t="str">
        <f t="shared" si="0"/>
        <v>Outstanding</v>
      </c>
      <c r="N83" s="13" t="s">
        <v>21</v>
      </c>
    </row>
    <row r="84" spans="1:14" ht="60" customHeight="1" x14ac:dyDescent="0.35">
      <c r="A84" s="11" t="s">
        <v>437</v>
      </c>
      <c r="B84" s="1" t="s">
        <v>438</v>
      </c>
      <c r="C84" s="2" t="s">
        <v>27</v>
      </c>
      <c r="D84" s="3" t="s">
        <v>181</v>
      </c>
      <c r="E84" s="4" t="s">
        <v>18</v>
      </c>
      <c r="F84" s="4" t="s">
        <v>19</v>
      </c>
      <c r="G84" s="4" t="s">
        <v>20</v>
      </c>
      <c r="H84" s="4" t="s">
        <v>21</v>
      </c>
      <c r="I84" s="5" t="s">
        <v>21</v>
      </c>
      <c r="J84" s="1" t="s">
        <v>439</v>
      </c>
      <c r="K84" s="1" t="s">
        <v>440</v>
      </c>
      <c r="L84" s="1" t="s">
        <v>441</v>
      </c>
      <c r="M84" s="4" t="str">
        <f t="shared" si="0"/>
        <v>Outstanding</v>
      </c>
      <c r="N84" s="13" t="s">
        <v>21</v>
      </c>
    </row>
    <row r="85" spans="1:14" ht="60" customHeight="1" x14ac:dyDescent="0.35">
      <c r="A85" s="11" t="s">
        <v>442</v>
      </c>
      <c r="B85" s="1" t="s">
        <v>443</v>
      </c>
      <c r="C85" s="2" t="s">
        <v>16</v>
      </c>
      <c r="D85" s="3" t="s">
        <v>181</v>
      </c>
      <c r="E85" s="4" t="s">
        <v>18</v>
      </c>
      <c r="F85" s="4" t="s">
        <v>19</v>
      </c>
      <c r="G85" s="4" t="s">
        <v>20</v>
      </c>
      <c r="H85" s="4" t="s">
        <v>21</v>
      </c>
      <c r="I85" s="5" t="s">
        <v>21</v>
      </c>
      <c r="J85" s="1" t="s">
        <v>444</v>
      </c>
      <c r="K85" s="1" t="s">
        <v>445</v>
      </c>
      <c r="L85" s="1" t="s">
        <v>446</v>
      </c>
      <c r="M85" s="4" t="str">
        <f t="shared" si="0"/>
        <v>Outstanding</v>
      </c>
      <c r="N85" s="13" t="s">
        <v>21</v>
      </c>
    </row>
    <row r="86" spans="1:14" ht="60" customHeight="1" x14ac:dyDescent="0.35">
      <c r="A86" s="11" t="s">
        <v>447</v>
      </c>
      <c r="B86" s="1" t="s">
        <v>448</v>
      </c>
      <c r="C86" s="2" t="s">
        <v>27</v>
      </c>
      <c r="D86" s="3" t="s">
        <v>181</v>
      </c>
      <c r="E86" s="4" t="s">
        <v>18</v>
      </c>
      <c r="F86" s="4" t="s">
        <v>19</v>
      </c>
      <c r="G86" s="4" t="s">
        <v>20</v>
      </c>
      <c r="H86" s="4" t="s">
        <v>21</v>
      </c>
      <c r="I86" s="5" t="s">
        <v>21</v>
      </c>
      <c r="J86" s="1" t="s">
        <v>449</v>
      </c>
      <c r="K86" s="1" t="s">
        <v>445</v>
      </c>
      <c r="L86" s="1" t="s">
        <v>450</v>
      </c>
      <c r="M86" s="4" t="str">
        <f t="shared" si="0"/>
        <v>Outstanding</v>
      </c>
      <c r="N86" s="13" t="s">
        <v>21</v>
      </c>
    </row>
    <row r="87" spans="1:14" ht="60" customHeight="1" x14ac:dyDescent="0.35">
      <c r="A87" s="11" t="s">
        <v>451</v>
      </c>
      <c r="B87" s="1" t="s">
        <v>452</v>
      </c>
      <c r="C87" s="2" t="s">
        <v>16</v>
      </c>
      <c r="D87" s="3" t="s">
        <v>181</v>
      </c>
      <c r="E87" s="4" t="s">
        <v>18</v>
      </c>
      <c r="F87" s="4" t="s">
        <v>19</v>
      </c>
      <c r="G87" s="4" t="s">
        <v>20</v>
      </c>
      <c r="H87" s="4" t="s">
        <v>21</v>
      </c>
      <c r="I87" s="5" t="s">
        <v>21</v>
      </c>
      <c r="J87" s="1" t="s">
        <v>453</v>
      </c>
      <c r="K87" s="1" t="s">
        <v>454</v>
      </c>
      <c r="L87" s="1" t="s">
        <v>455</v>
      </c>
      <c r="M87" s="4" t="str">
        <f t="shared" si="0"/>
        <v>Outstanding</v>
      </c>
      <c r="N87" s="13" t="s">
        <v>21</v>
      </c>
    </row>
    <row r="88" spans="1:14" ht="60" customHeight="1" x14ac:dyDescent="0.35">
      <c r="A88" s="11" t="s">
        <v>456</v>
      </c>
      <c r="B88" s="1" t="s">
        <v>457</v>
      </c>
      <c r="C88" s="2" t="s">
        <v>27</v>
      </c>
      <c r="D88" s="3" t="s">
        <v>181</v>
      </c>
      <c r="E88" s="4" t="s">
        <v>18</v>
      </c>
      <c r="F88" s="4" t="s">
        <v>19</v>
      </c>
      <c r="G88" s="4" t="s">
        <v>20</v>
      </c>
      <c r="H88" s="4" t="s">
        <v>21</v>
      </c>
      <c r="I88" s="5" t="s">
        <v>21</v>
      </c>
      <c r="J88" s="1" t="s">
        <v>458</v>
      </c>
      <c r="K88" s="1" t="s">
        <v>459</v>
      </c>
      <c r="L88" s="1" t="s">
        <v>460</v>
      </c>
      <c r="M88" s="4" t="str">
        <f t="shared" si="0"/>
        <v>Outstanding</v>
      </c>
      <c r="N88" s="13" t="s">
        <v>21</v>
      </c>
    </row>
    <row r="89" spans="1:14" ht="60" customHeight="1" x14ac:dyDescent="0.35">
      <c r="A89" s="11" t="s">
        <v>461</v>
      </c>
      <c r="B89" s="1" t="s">
        <v>462</v>
      </c>
      <c r="C89" s="2" t="s">
        <v>27</v>
      </c>
      <c r="D89" s="3" t="s">
        <v>181</v>
      </c>
      <c r="E89" s="4" t="s">
        <v>18</v>
      </c>
      <c r="F89" s="4" t="s">
        <v>19</v>
      </c>
      <c r="G89" s="4" t="s">
        <v>20</v>
      </c>
      <c r="H89" s="4" t="s">
        <v>21</v>
      </c>
      <c r="I89" s="5" t="s">
        <v>21</v>
      </c>
      <c r="J89" s="1" t="s">
        <v>463</v>
      </c>
      <c r="K89" s="1" t="s">
        <v>464</v>
      </c>
      <c r="L89" s="1" t="s">
        <v>465</v>
      </c>
      <c r="M89" s="4" t="str">
        <f t="shared" si="0"/>
        <v>Outstanding</v>
      </c>
      <c r="N89" s="13" t="s">
        <v>21</v>
      </c>
    </row>
    <row r="90" spans="1:14" ht="60" customHeight="1" x14ac:dyDescent="0.35">
      <c r="A90" s="11" t="s">
        <v>466</v>
      </c>
      <c r="B90" s="1" t="s">
        <v>467</v>
      </c>
      <c r="C90" s="2" t="s">
        <v>27</v>
      </c>
      <c r="D90" s="3" t="s">
        <v>17</v>
      </c>
      <c r="E90" s="4" t="s">
        <v>18</v>
      </c>
      <c r="F90" s="4" t="s">
        <v>19</v>
      </c>
      <c r="G90" s="4" t="s">
        <v>20</v>
      </c>
      <c r="H90" s="4" t="s">
        <v>21</v>
      </c>
      <c r="I90" s="5" t="s">
        <v>21</v>
      </c>
      <c r="J90" s="1" t="s">
        <v>468</v>
      </c>
      <c r="K90" s="1" t="s">
        <v>469</v>
      </c>
      <c r="L90" s="1" t="s">
        <v>470</v>
      </c>
      <c r="M90" s="4" t="str">
        <f t="shared" si="0"/>
        <v>Outstanding</v>
      </c>
      <c r="N90" s="13" t="s">
        <v>21</v>
      </c>
    </row>
    <row r="91" spans="1:14" ht="60" customHeight="1" x14ac:dyDescent="0.35">
      <c r="A91" s="11" t="s">
        <v>471</v>
      </c>
      <c r="B91" s="1" t="s">
        <v>472</v>
      </c>
      <c r="C91" s="2" t="s">
        <v>27</v>
      </c>
      <c r="D91" s="3" t="s">
        <v>17</v>
      </c>
      <c r="E91" s="4" t="s">
        <v>18</v>
      </c>
      <c r="F91" s="4" t="s">
        <v>19</v>
      </c>
      <c r="G91" s="4" t="s">
        <v>20</v>
      </c>
      <c r="H91" s="4" t="s">
        <v>21</v>
      </c>
      <c r="I91" s="5" t="s">
        <v>21</v>
      </c>
      <c r="J91" s="1" t="s">
        <v>473</v>
      </c>
      <c r="K91" s="1" t="s">
        <v>474</v>
      </c>
      <c r="L91" s="1" t="s">
        <v>475</v>
      </c>
      <c r="M91" s="4" t="str">
        <f t="shared" si="0"/>
        <v>Outstanding</v>
      </c>
      <c r="N91" s="13" t="s">
        <v>21</v>
      </c>
    </row>
    <row r="92" spans="1:14" ht="60" customHeight="1" x14ac:dyDescent="0.35">
      <c r="A92" s="11" t="s">
        <v>476</v>
      </c>
      <c r="B92" s="1" t="s">
        <v>477</v>
      </c>
      <c r="C92" s="2" t="s">
        <v>16</v>
      </c>
      <c r="D92" s="3" t="s">
        <v>17</v>
      </c>
      <c r="E92" s="4" t="s">
        <v>18</v>
      </c>
      <c r="F92" s="4" t="s">
        <v>19</v>
      </c>
      <c r="G92" s="4" t="s">
        <v>20</v>
      </c>
      <c r="H92" s="4" t="s">
        <v>21</v>
      </c>
      <c r="I92" s="5" t="s">
        <v>21</v>
      </c>
      <c r="J92" s="1" t="s">
        <v>478</v>
      </c>
      <c r="K92" s="1" t="s">
        <v>479</v>
      </c>
      <c r="L92" s="1" t="s">
        <v>480</v>
      </c>
      <c r="M92" s="4" t="str">
        <f t="shared" si="0"/>
        <v>Outstanding</v>
      </c>
      <c r="N92" s="13" t="s">
        <v>21</v>
      </c>
    </row>
    <row r="93" spans="1:14" ht="60" customHeight="1" x14ac:dyDescent="0.35">
      <c r="A93" s="11" t="s">
        <v>481</v>
      </c>
      <c r="B93" s="1" t="s">
        <v>482</v>
      </c>
      <c r="C93" s="2" t="s">
        <v>16</v>
      </c>
      <c r="D93" s="3" t="s">
        <v>17</v>
      </c>
      <c r="E93" s="4" t="s">
        <v>18</v>
      </c>
      <c r="F93" s="4" t="s">
        <v>19</v>
      </c>
      <c r="G93" s="4" t="s">
        <v>20</v>
      </c>
      <c r="H93" s="4" t="s">
        <v>21</v>
      </c>
      <c r="I93" s="5" t="s">
        <v>21</v>
      </c>
      <c r="J93" s="1" t="s">
        <v>483</v>
      </c>
      <c r="K93" s="1" t="s">
        <v>479</v>
      </c>
      <c r="L93" s="1" t="s">
        <v>484</v>
      </c>
      <c r="M93" s="4" t="str">
        <f t="shared" si="0"/>
        <v>Outstanding</v>
      </c>
      <c r="N93" s="13" t="s">
        <v>21</v>
      </c>
    </row>
    <row r="94" spans="1:14" ht="60" customHeight="1" x14ac:dyDescent="0.35">
      <c r="A94" s="11" t="s">
        <v>485</v>
      </c>
      <c r="B94" s="1" t="s">
        <v>486</v>
      </c>
      <c r="C94" s="2" t="s">
        <v>27</v>
      </c>
      <c r="D94" s="3" t="s">
        <v>17</v>
      </c>
      <c r="E94" s="4" t="s">
        <v>18</v>
      </c>
      <c r="F94" s="4" t="s">
        <v>19</v>
      </c>
      <c r="G94" s="4" t="s">
        <v>20</v>
      </c>
      <c r="H94" s="4" t="s">
        <v>21</v>
      </c>
      <c r="I94" s="5" t="s">
        <v>21</v>
      </c>
      <c r="J94" s="1" t="s">
        <v>487</v>
      </c>
      <c r="K94" s="1" t="s">
        <v>488</v>
      </c>
      <c r="L94" s="1" t="s">
        <v>489</v>
      </c>
      <c r="M94" s="4" t="str">
        <f t="shared" si="0"/>
        <v>Outstanding</v>
      </c>
      <c r="N94" s="13" t="s">
        <v>21</v>
      </c>
    </row>
    <row r="95" spans="1:14" ht="60" customHeight="1" x14ac:dyDescent="0.35">
      <c r="A95" s="11" t="s">
        <v>490</v>
      </c>
      <c r="B95" s="1" t="s">
        <v>491</v>
      </c>
      <c r="C95" s="2" t="s">
        <v>27</v>
      </c>
      <c r="D95" s="3" t="s">
        <v>181</v>
      </c>
      <c r="E95" s="4" t="s">
        <v>18</v>
      </c>
      <c r="F95" s="4" t="s">
        <v>19</v>
      </c>
      <c r="G95" s="4" t="s">
        <v>20</v>
      </c>
      <c r="H95" s="4" t="s">
        <v>21</v>
      </c>
      <c r="I95" s="5" t="s">
        <v>21</v>
      </c>
      <c r="J95" s="1" t="s">
        <v>492</v>
      </c>
      <c r="K95" s="1" t="s">
        <v>493</v>
      </c>
      <c r="L95" s="1" t="s">
        <v>494</v>
      </c>
      <c r="M95" s="4" t="str">
        <f t="shared" si="0"/>
        <v>Outstanding</v>
      </c>
      <c r="N95" s="13" t="s">
        <v>21</v>
      </c>
    </row>
    <row r="96" spans="1:14" ht="60" customHeight="1" x14ac:dyDescent="0.35">
      <c r="A96" s="11" t="s">
        <v>495</v>
      </c>
      <c r="B96" s="1" t="s">
        <v>496</v>
      </c>
      <c r="C96" s="2" t="s">
        <v>16</v>
      </c>
      <c r="D96" s="3" t="s">
        <v>181</v>
      </c>
      <c r="E96" s="4" t="s">
        <v>18</v>
      </c>
      <c r="F96" s="4" t="s">
        <v>19</v>
      </c>
      <c r="G96" s="4" t="s">
        <v>20</v>
      </c>
      <c r="H96" s="4" t="s">
        <v>21</v>
      </c>
      <c r="I96" s="5" t="s">
        <v>21</v>
      </c>
      <c r="J96" s="1" t="s">
        <v>497</v>
      </c>
      <c r="K96" s="1" t="s">
        <v>498</v>
      </c>
      <c r="L96" s="1" t="s">
        <v>499</v>
      </c>
      <c r="M96" s="4" t="str">
        <f t="shared" si="0"/>
        <v>Outstanding</v>
      </c>
      <c r="N96" s="13" t="s">
        <v>21</v>
      </c>
    </row>
    <row r="97" spans="1:14" ht="60" customHeight="1" x14ac:dyDescent="0.35">
      <c r="A97" s="11" t="s">
        <v>500</v>
      </c>
      <c r="B97" s="1" t="s">
        <v>501</v>
      </c>
      <c r="C97" s="2" t="s">
        <v>27</v>
      </c>
      <c r="D97" s="3" t="s">
        <v>181</v>
      </c>
      <c r="E97" s="4" t="s">
        <v>18</v>
      </c>
      <c r="F97" s="4" t="s">
        <v>19</v>
      </c>
      <c r="G97" s="4" t="s">
        <v>20</v>
      </c>
      <c r="H97" s="4" t="s">
        <v>21</v>
      </c>
      <c r="I97" s="5" t="s">
        <v>21</v>
      </c>
      <c r="J97" s="1" t="s">
        <v>502</v>
      </c>
      <c r="K97" s="1" t="s">
        <v>503</v>
      </c>
      <c r="L97" s="1" t="s">
        <v>504</v>
      </c>
      <c r="M97" s="4" t="str">
        <f t="shared" si="0"/>
        <v>Outstanding</v>
      </c>
      <c r="N97" s="13" t="s">
        <v>21</v>
      </c>
    </row>
    <row r="98" spans="1:14" ht="60" customHeight="1" x14ac:dyDescent="0.35">
      <c r="A98" s="11" t="s">
        <v>505</v>
      </c>
      <c r="B98" s="1" t="s">
        <v>506</v>
      </c>
      <c r="C98" s="2" t="s">
        <v>16</v>
      </c>
      <c r="D98" s="3" t="s">
        <v>181</v>
      </c>
      <c r="E98" s="4" t="s">
        <v>18</v>
      </c>
      <c r="F98" s="4" t="s">
        <v>19</v>
      </c>
      <c r="G98" s="4" t="s">
        <v>20</v>
      </c>
      <c r="H98" s="4" t="s">
        <v>21</v>
      </c>
      <c r="I98" s="5" t="s">
        <v>21</v>
      </c>
      <c r="J98" s="1" t="s">
        <v>507</v>
      </c>
      <c r="K98" s="1" t="s">
        <v>508</v>
      </c>
      <c r="L98" s="1" t="s">
        <v>509</v>
      </c>
      <c r="M98" s="4" t="str">
        <f t="shared" si="0"/>
        <v>Outstanding</v>
      </c>
      <c r="N98" s="13" t="s">
        <v>21</v>
      </c>
    </row>
    <row r="99" spans="1:14" ht="60" customHeight="1" x14ac:dyDescent="0.35">
      <c r="A99" s="11" t="s">
        <v>510</v>
      </c>
      <c r="B99" s="1" t="s">
        <v>511</v>
      </c>
      <c r="C99" s="2" t="s">
        <v>27</v>
      </c>
      <c r="D99" s="3" t="s">
        <v>181</v>
      </c>
      <c r="E99" s="4" t="s">
        <v>18</v>
      </c>
      <c r="F99" s="4" t="s">
        <v>19</v>
      </c>
      <c r="G99" s="4" t="s">
        <v>20</v>
      </c>
      <c r="H99" s="4" t="s">
        <v>21</v>
      </c>
      <c r="I99" s="5" t="s">
        <v>21</v>
      </c>
      <c r="J99" s="1" t="s">
        <v>512</v>
      </c>
      <c r="K99" s="1" t="s">
        <v>513</v>
      </c>
      <c r="L99" s="1" t="s">
        <v>514</v>
      </c>
      <c r="M99" s="4" t="str">
        <f t="shared" si="0"/>
        <v>Outstanding</v>
      </c>
      <c r="N99" s="13" t="s">
        <v>21</v>
      </c>
    </row>
    <row r="100" spans="1:14" ht="60" customHeight="1" x14ac:dyDescent="0.35">
      <c r="A100" s="11" t="s">
        <v>515</v>
      </c>
      <c r="B100" s="1" t="s">
        <v>516</v>
      </c>
      <c r="C100" s="2" t="s">
        <v>27</v>
      </c>
      <c r="D100" s="3" t="s">
        <v>17</v>
      </c>
      <c r="E100" s="4" t="s">
        <v>18</v>
      </c>
      <c r="F100" s="4" t="s">
        <v>19</v>
      </c>
      <c r="G100" s="4" t="s">
        <v>20</v>
      </c>
      <c r="H100" s="4" t="s">
        <v>21</v>
      </c>
      <c r="I100" s="5" t="s">
        <v>21</v>
      </c>
      <c r="J100" s="1" t="s">
        <v>517</v>
      </c>
      <c r="K100" s="1" t="s">
        <v>518</v>
      </c>
      <c r="L100" s="1" t="s">
        <v>519</v>
      </c>
      <c r="M100" s="4" t="str">
        <f t="shared" si="0"/>
        <v>Outstanding</v>
      </c>
      <c r="N100" s="13" t="s">
        <v>21</v>
      </c>
    </row>
    <row r="101" spans="1:14" ht="60" customHeight="1" x14ac:dyDescent="0.35">
      <c r="A101" s="11" t="s">
        <v>520</v>
      </c>
      <c r="B101" s="1" t="s">
        <v>521</v>
      </c>
      <c r="C101" s="2" t="s">
        <v>27</v>
      </c>
      <c r="D101" s="3" t="s">
        <v>17</v>
      </c>
      <c r="E101" s="4" t="s">
        <v>18</v>
      </c>
      <c r="F101" s="4" t="s">
        <v>19</v>
      </c>
      <c r="G101" s="4" t="s">
        <v>20</v>
      </c>
      <c r="H101" s="4" t="s">
        <v>21</v>
      </c>
      <c r="I101" s="5" t="s">
        <v>21</v>
      </c>
      <c r="J101" s="1" t="s">
        <v>522</v>
      </c>
      <c r="K101" s="1" t="s">
        <v>523</v>
      </c>
      <c r="L101" s="1" t="s">
        <v>524</v>
      </c>
      <c r="M101" s="4" t="str">
        <f t="shared" si="0"/>
        <v>Outstanding</v>
      </c>
      <c r="N101" s="13" t="s">
        <v>21</v>
      </c>
    </row>
    <row r="102" spans="1:14" ht="60" customHeight="1" x14ac:dyDescent="0.35">
      <c r="A102" s="11" t="s">
        <v>525</v>
      </c>
      <c r="B102" s="1" t="s">
        <v>526</v>
      </c>
      <c r="C102" s="2" t="s">
        <v>16</v>
      </c>
      <c r="D102" s="3" t="s">
        <v>17</v>
      </c>
      <c r="E102" s="4" t="s">
        <v>18</v>
      </c>
      <c r="F102" s="4" t="s">
        <v>19</v>
      </c>
      <c r="G102" s="4" t="s">
        <v>20</v>
      </c>
      <c r="H102" s="4" t="s">
        <v>21</v>
      </c>
      <c r="I102" s="5" t="s">
        <v>21</v>
      </c>
      <c r="J102" s="1" t="s">
        <v>527</v>
      </c>
      <c r="K102" s="1" t="s">
        <v>528</v>
      </c>
      <c r="L102" s="1" t="s">
        <v>529</v>
      </c>
      <c r="M102" s="4" t="str">
        <f t="shared" si="0"/>
        <v>Outstanding</v>
      </c>
      <c r="N102" s="13" t="s">
        <v>21</v>
      </c>
    </row>
    <row r="103" spans="1:14" ht="60" customHeight="1" x14ac:dyDescent="0.35">
      <c r="A103" s="11" t="s">
        <v>530</v>
      </c>
      <c r="B103" s="1" t="s">
        <v>531</v>
      </c>
      <c r="C103" s="2" t="s">
        <v>16</v>
      </c>
      <c r="D103" s="3" t="s">
        <v>17</v>
      </c>
      <c r="E103" s="4" t="s">
        <v>18</v>
      </c>
      <c r="F103" s="4" t="s">
        <v>19</v>
      </c>
      <c r="G103" s="4" t="s">
        <v>20</v>
      </c>
      <c r="H103" s="4" t="s">
        <v>21</v>
      </c>
      <c r="I103" s="5" t="s">
        <v>21</v>
      </c>
      <c r="J103" s="1" t="s">
        <v>532</v>
      </c>
      <c r="K103" s="1" t="s">
        <v>533</v>
      </c>
      <c r="L103" s="1" t="s">
        <v>534</v>
      </c>
      <c r="M103" s="4" t="str">
        <f t="shared" si="0"/>
        <v>Outstanding</v>
      </c>
      <c r="N103" s="13" t="s">
        <v>21</v>
      </c>
    </row>
    <row r="104" spans="1:14" ht="60" customHeight="1" x14ac:dyDescent="0.35">
      <c r="A104" s="11" t="s">
        <v>535</v>
      </c>
      <c r="B104" s="1" t="s">
        <v>536</v>
      </c>
      <c r="C104" s="2" t="s">
        <v>27</v>
      </c>
      <c r="D104" s="3" t="s">
        <v>17</v>
      </c>
      <c r="E104" s="4" t="s">
        <v>18</v>
      </c>
      <c r="F104" s="4" t="s">
        <v>19</v>
      </c>
      <c r="G104" s="4" t="s">
        <v>20</v>
      </c>
      <c r="H104" s="4" t="s">
        <v>21</v>
      </c>
      <c r="I104" s="5" t="s">
        <v>21</v>
      </c>
      <c r="J104" s="1" t="s">
        <v>537</v>
      </c>
      <c r="K104" s="1" t="s">
        <v>538</v>
      </c>
      <c r="L104" s="1" t="s">
        <v>539</v>
      </c>
      <c r="M104" s="4" t="str">
        <f t="shared" si="0"/>
        <v>Outstanding</v>
      </c>
      <c r="N104" s="13" t="s">
        <v>21</v>
      </c>
    </row>
    <row r="105" spans="1:14" ht="60" customHeight="1" x14ac:dyDescent="0.35">
      <c r="A105" s="11" t="s">
        <v>540</v>
      </c>
      <c r="B105" s="1" t="s">
        <v>541</v>
      </c>
      <c r="C105" s="2" t="s">
        <v>27</v>
      </c>
      <c r="D105" s="3" t="s">
        <v>17</v>
      </c>
      <c r="E105" s="4" t="s">
        <v>18</v>
      </c>
      <c r="F105" s="4" t="s">
        <v>19</v>
      </c>
      <c r="G105" s="4" t="s">
        <v>20</v>
      </c>
      <c r="H105" s="4" t="s">
        <v>21</v>
      </c>
      <c r="I105" s="5" t="s">
        <v>21</v>
      </c>
      <c r="J105" s="1" t="s">
        <v>542</v>
      </c>
      <c r="K105" s="1" t="s">
        <v>543</v>
      </c>
      <c r="L105" s="1" t="s">
        <v>544</v>
      </c>
      <c r="M105" s="4" t="str">
        <f t="shared" si="0"/>
        <v>Outstanding</v>
      </c>
      <c r="N105" s="13" t="s">
        <v>21</v>
      </c>
    </row>
    <row r="106" spans="1:14" ht="60" customHeight="1" x14ac:dyDescent="0.35">
      <c r="A106" s="11" t="s">
        <v>545</v>
      </c>
      <c r="B106" s="1" t="s">
        <v>546</v>
      </c>
      <c r="C106" s="2" t="s">
        <v>27</v>
      </c>
      <c r="D106" s="3" t="s">
        <v>17</v>
      </c>
      <c r="E106" s="4" t="s">
        <v>18</v>
      </c>
      <c r="F106" s="4" t="s">
        <v>19</v>
      </c>
      <c r="G106" s="4" t="s">
        <v>20</v>
      </c>
      <c r="H106" s="4" t="s">
        <v>21</v>
      </c>
      <c r="I106" s="5" t="s">
        <v>21</v>
      </c>
      <c r="J106" s="1" t="s">
        <v>547</v>
      </c>
      <c r="K106" s="1" t="s">
        <v>548</v>
      </c>
      <c r="L106" s="1" t="s">
        <v>549</v>
      </c>
      <c r="M106" s="4" t="str">
        <f t="shared" si="0"/>
        <v>Outstanding</v>
      </c>
      <c r="N106" s="13" t="s">
        <v>21</v>
      </c>
    </row>
    <row r="107" spans="1:14" ht="60" customHeight="1" x14ac:dyDescent="0.35">
      <c r="A107" s="11" t="s">
        <v>550</v>
      </c>
      <c r="B107" s="1" t="s">
        <v>551</v>
      </c>
      <c r="C107" s="2" t="s">
        <v>16</v>
      </c>
      <c r="D107" s="3" t="s">
        <v>17</v>
      </c>
      <c r="E107" s="4" t="s">
        <v>18</v>
      </c>
      <c r="F107" s="4" t="s">
        <v>19</v>
      </c>
      <c r="G107" s="4" t="s">
        <v>20</v>
      </c>
      <c r="H107" s="4" t="s">
        <v>21</v>
      </c>
      <c r="I107" s="5" t="s">
        <v>21</v>
      </c>
      <c r="J107" s="1" t="s">
        <v>552</v>
      </c>
      <c r="K107" s="1" t="s">
        <v>553</v>
      </c>
      <c r="L107" s="1" t="s">
        <v>554</v>
      </c>
      <c r="M107" s="4" t="str">
        <f t="shared" si="0"/>
        <v>Outstanding</v>
      </c>
      <c r="N107" s="13" t="s">
        <v>21</v>
      </c>
    </row>
    <row r="108" spans="1:14" ht="60" customHeight="1" x14ac:dyDescent="0.35">
      <c r="A108" s="11" t="s">
        <v>555</v>
      </c>
      <c r="B108" s="1" t="s">
        <v>556</v>
      </c>
      <c r="C108" s="2" t="s">
        <v>27</v>
      </c>
      <c r="D108" s="3" t="s">
        <v>17</v>
      </c>
      <c r="E108" s="4" t="s">
        <v>18</v>
      </c>
      <c r="F108" s="4" t="s">
        <v>19</v>
      </c>
      <c r="G108" s="4" t="s">
        <v>20</v>
      </c>
      <c r="H108" s="4" t="s">
        <v>21</v>
      </c>
      <c r="I108" s="5" t="s">
        <v>21</v>
      </c>
      <c r="J108" s="1" t="s">
        <v>557</v>
      </c>
      <c r="K108" s="1" t="s">
        <v>558</v>
      </c>
      <c r="L108" s="1" t="s">
        <v>559</v>
      </c>
      <c r="M108" s="4" t="str">
        <f t="shared" si="0"/>
        <v>Outstanding</v>
      </c>
      <c r="N108" s="13" t="s">
        <v>21</v>
      </c>
    </row>
    <row r="109" spans="1:14" ht="60" customHeight="1" x14ac:dyDescent="0.35">
      <c r="A109" s="11" t="s">
        <v>560</v>
      </c>
      <c r="B109" s="1" t="s">
        <v>561</v>
      </c>
      <c r="C109" s="2" t="s">
        <v>16</v>
      </c>
      <c r="D109" s="3" t="s">
        <v>17</v>
      </c>
      <c r="E109" s="4" t="s">
        <v>18</v>
      </c>
      <c r="F109" s="4" t="s">
        <v>19</v>
      </c>
      <c r="G109" s="4" t="s">
        <v>20</v>
      </c>
      <c r="H109" s="4" t="s">
        <v>21</v>
      </c>
      <c r="I109" s="5" t="s">
        <v>21</v>
      </c>
      <c r="J109" s="1" t="s">
        <v>562</v>
      </c>
      <c r="K109" s="1" t="s">
        <v>563</v>
      </c>
      <c r="L109" s="1" t="s">
        <v>564</v>
      </c>
      <c r="M109" s="4" t="str">
        <f t="shared" si="0"/>
        <v>Outstanding</v>
      </c>
      <c r="N109" s="13" t="s">
        <v>21</v>
      </c>
    </row>
    <row r="110" spans="1:14" ht="60" customHeight="1" x14ac:dyDescent="0.35">
      <c r="A110" s="11" t="s">
        <v>565</v>
      </c>
      <c r="B110" s="1" t="s">
        <v>566</v>
      </c>
      <c r="C110" s="2" t="s">
        <v>27</v>
      </c>
      <c r="D110" s="3" t="s">
        <v>17</v>
      </c>
      <c r="E110" s="4" t="s">
        <v>18</v>
      </c>
      <c r="F110" s="4" t="s">
        <v>19</v>
      </c>
      <c r="G110" s="4" t="s">
        <v>20</v>
      </c>
      <c r="H110" s="4" t="s">
        <v>21</v>
      </c>
      <c r="I110" s="5" t="s">
        <v>21</v>
      </c>
      <c r="J110" s="1" t="s">
        <v>567</v>
      </c>
      <c r="K110" s="1" t="s">
        <v>568</v>
      </c>
      <c r="L110" s="1" t="s">
        <v>569</v>
      </c>
      <c r="M110" s="4" t="str">
        <f t="shared" si="0"/>
        <v>Outstanding</v>
      </c>
      <c r="N110" s="13" t="s">
        <v>21</v>
      </c>
    </row>
    <row r="111" spans="1:14" ht="60" customHeight="1" x14ac:dyDescent="0.35">
      <c r="A111" s="12" t="s">
        <v>570</v>
      </c>
      <c r="B111" s="6" t="s">
        <v>571</v>
      </c>
      <c r="C111" s="7" t="s">
        <v>27</v>
      </c>
      <c r="D111" s="8" t="s">
        <v>17</v>
      </c>
      <c r="E111" s="9" t="s">
        <v>18</v>
      </c>
      <c r="F111" s="9" t="s">
        <v>19</v>
      </c>
      <c r="G111" s="9" t="s">
        <v>20</v>
      </c>
      <c r="H111" s="9" t="s">
        <v>21</v>
      </c>
      <c r="I111" s="10" t="s">
        <v>21</v>
      </c>
      <c r="J111" s="6" t="s">
        <v>572</v>
      </c>
      <c r="K111" s="6" t="s">
        <v>573</v>
      </c>
      <c r="L111" s="6" t="s">
        <v>574</v>
      </c>
      <c r="M111" s="9" t="str">
        <f t="shared" si="0"/>
        <v>Outstanding</v>
      </c>
      <c r="N111" s="14" t="s">
        <v>21</v>
      </c>
    </row>
    <row r="115" spans="1:4" ht="32" customHeight="1" x14ac:dyDescent="0.35">
      <c r="A115" s="291" t="s">
        <v>575</v>
      </c>
      <c r="B115" s="291"/>
      <c r="C115" s="291"/>
      <c r="D115" s="291"/>
    </row>
  </sheetData>
  <mergeCells count="1">
    <mergeCell ref="A115:D115"/>
  </mergeCells>
  <conditionalFormatting sqref="C2:C111">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1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1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1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11" xr:uid="{00000000-0002-0000-0200-000000000000}">
      <formula1>"Must,Should,Could,Won't,Unassigned"</formula1>
    </dataValidation>
    <dataValidation type="list" showErrorMessage="1" errorTitle="Invalid Value" error="Please select a value from the list: Low, Medium, High, Unassessed." sqref="F2:F111" xr:uid="{00000000-0002-0000-0200-000001000000}">
      <formula1>"Low,Medium,High,Unassessed"</formula1>
    </dataValidation>
    <dataValidation type="list" showErrorMessage="1" errorTitle="Invalid Value" error="Please select a value from the list: Phase1, Phase2, Phase3, Phase4, Phase5, Pending." sqref="G2:G11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11" xr:uid="{00000000-0002-0000-0200-000003000000}">
      <formula1>"Implemented,Testing,Failed,Compensated,Risk Accepted,N/A"</formula1>
    </dataValidation>
  </dataValidations>
  <hyperlinks>
    <hyperlink ref="A11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735</v>
      </c>
      <c r="C2" s="308" t="s">
        <v>735</v>
      </c>
      <c r="D2" s="308" t="s">
        <v>735</v>
      </c>
      <c r="E2" s="308" t="s">
        <v>735</v>
      </c>
      <c r="F2" s="308" t="s">
        <v>735</v>
      </c>
      <c r="G2" s="308" t="s">
        <v>735</v>
      </c>
      <c r="H2" s="312" t="s">
        <v>736</v>
      </c>
      <c r="I2" s="312" t="s">
        <v>736</v>
      </c>
      <c r="J2" s="312" t="s">
        <v>736</v>
      </c>
      <c r="K2" s="312" t="s">
        <v>736</v>
      </c>
      <c r="L2" s="312" t="s">
        <v>736</v>
      </c>
      <c r="M2" s="311" t="s">
        <v>737</v>
      </c>
      <c r="N2" s="311" t="s">
        <v>737</v>
      </c>
      <c r="O2" s="313" t="s">
        <v>738</v>
      </c>
      <c r="P2" s="313" t="s">
        <v>738</v>
      </c>
      <c r="Q2" s="309" t="s">
        <v>12</v>
      </c>
      <c r="R2" s="309" t="s">
        <v>12</v>
      </c>
      <c r="S2" s="309" t="s">
        <v>12</v>
      </c>
      <c r="T2" s="310" t="s">
        <v>739</v>
      </c>
    </row>
    <row r="3" spans="2:20" ht="35" customHeight="1" x14ac:dyDescent="0.35">
      <c r="B3" s="73" t="s">
        <v>740</v>
      </c>
      <c r="C3" s="73" t="s">
        <v>741</v>
      </c>
      <c r="D3" s="73" t="s">
        <v>742</v>
      </c>
      <c r="E3" s="73" t="s">
        <v>743</v>
      </c>
      <c r="F3" s="73" t="s">
        <v>744</v>
      </c>
      <c r="G3" s="73" t="s">
        <v>10</v>
      </c>
      <c r="H3" s="74" t="s">
        <v>745</v>
      </c>
      <c r="I3" s="74" t="s">
        <v>746</v>
      </c>
      <c r="J3" s="74" t="s">
        <v>747</v>
      </c>
      <c r="K3" s="74" t="s">
        <v>748</v>
      </c>
      <c r="L3" s="74" t="s">
        <v>679</v>
      </c>
      <c r="M3" s="75" t="s">
        <v>749</v>
      </c>
      <c r="N3" s="75" t="s">
        <v>750</v>
      </c>
      <c r="O3" s="76" t="s">
        <v>751</v>
      </c>
      <c r="P3" s="76" t="s">
        <v>752</v>
      </c>
      <c r="Q3" s="77" t="s">
        <v>12</v>
      </c>
      <c r="R3" s="77" t="s">
        <v>753</v>
      </c>
      <c r="S3" s="77" t="s">
        <v>754</v>
      </c>
      <c r="T3" s="78" t="s">
        <v>755</v>
      </c>
    </row>
    <row r="4" spans="2:20" ht="60" customHeight="1" x14ac:dyDescent="0.35">
      <c r="B4" s="79" t="s">
        <v>756</v>
      </c>
      <c r="C4" s="79" t="s">
        <v>757</v>
      </c>
      <c r="D4" s="79" t="s">
        <v>758</v>
      </c>
      <c r="E4" s="79" t="s">
        <v>759</v>
      </c>
      <c r="F4" s="79" t="s">
        <v>760</v>
      </c>
      <c r="G4" s="79" t="s">
        <v>761</v>
      </c>
      <c r="H4" s="79" t="s">
        <v>762</v>
      </c>
      <c r="I4" s="79" t="s">
        <v>763</v>
      </c>
      <c r="J4" s="79" t="s">
        <v>764</v>
      </c>
      <c r="K4" s="79" t="s">
        <v>765</v>
      </c>
      <c r="L4" s="79" t="s">
        <v>766</v>
      </c>
      <c r="M4" s="79" t="s">
        <v>767</v>
      </c>
      <c r="N4" s="79" t="s">
        <v>768</v>
      </c>
      <c r="O4" s="79" t="s">
        <v>769</v>
      </c>
      <c r="P4" s="79" t="s">
        <v>770</v>
      </c>
      <c r="Q4" s="79" t="s">
        <v>771</v>
      </c>
      <c r="R4" s="79" t="s">
        <v>772</v>
      </c>
      <c r="S4" s="79" t="s">
        <v>773</v>
      </c>
      <c r="T4" s="79" t="s">
        <v>774</v>
      </c>
    </row>
    <row r="5" spans="2:20" ht="60" customHeight="1" x14ac:dyDescent="0.35">
      <c r="B5" s="41" t="s">
        <v>775</v>
      </c>
      <c r="C5" s="80"/>
      <c r="D5" s="81"/>
      <c r="E5" s="81" t="s">
        <v>21</v>
      </c>
      <c r="F5" s="81" t="str">
        <f>IF(E5&lt;&gt;"", IFERROR(VLOOKUP(E5, Dashboard!$B52:$F57, 5, FALSE), ""), "")</f>
        <v/>
      </c>
      <c r="G5" s="82"/>
      <c r="H5" s="69"/>
      <c r="I5" s="69"/>
      <c r="J5" s="82"/>
      <c r="K5" s="82"/>
      <c r="L5" s="43"/>
      <c r="M5" s="43"/>
      <c r="N5" s="82"/>
      <c r="O5" s="82"/>
      <c r="P5" s="43"/>
      <c r="Q5" s="43" t="s">
        <v>21</v>
      </c>
      <c r="R5" s="82"/>
      <c r="S5" s="69"/>
      <c r="T5" s="82"/>
    </row>
    <row r="6" spans="2:20" ht="60" customHeight="1" x14ac:dyDescent="0.35">
      <c r="B6" s="41" t="s">
        <v>776</v>
      </c>
      <c r="C6" s="80"/>
      <c r="D6" s="81"/>
      <c r="E6" s="81" t="s">
        <v>21</v>
      </c>
      <c r="F6" s="81" t="str">
        <f>IF(E6&lt;&gt;"", IFERROR(VLOOKUP(E6, Dashboard!$B52:$F57, 5, FALSE), ""), "")</f>
        <v/>
      </c>
      <c r="G6" s="82"/>
      <c r="H6" s="69"/>
      <c r="I6" s="69"/>
      <c r="J6" s="82"/>
      <c r="K6" s="82"/>
      <c r="L6" s="43"/>
      <c r="M6" s="43"/>
      <c r="N6" s="82"/>
      <c r="O6" s="82"/>
      <c r="P6" s="43"/>
      <c r="Q6" s="43" t="s">
        <v>21</v>
      </c>
      <c r="R6" s="82"/>
      <c r="S6" s="69"/>
      <c r="T6" s="82"/>
    </row>
    <row r="7" spans="2:20" ht="60" customHeight="1" x14ac:dyDescent="0.35">
      <c r="B7" s="41" t="s">
        <v>777</v>
      </c>
      <c r="C7" s="80"/>
      <c r="D7" s="81"/>
      <c r="E7" s="81" t="s">
        <v>21</v>
      </c>
      <c r="F7" s="81" t="str">
        <f>IF(E7&lt;&gt;"", IFERROR(VLOOKUP(E7, Dashboard!$B52:$F57, 5, FALSE), ""), "")</f>
        <v/>
      </c>
      <c r="G7" s="82"/>
      <c r="H7" s="69"/>
      <c r="I7" s="69"/>
      <c r="J7" s="82"/>
      <c r="K7" s="82"/>
      <c r="L7" s="43"/>
      <c r="M7" s="43"/>
      <c r="N7" s="82"/>
      <c r="O7" s="82"/>
      <c r="P7" s="43"/>
      <c r="Q7" s="43" t="s">
        <v>21</v>
      </c>
      <c r="R7" s="82"/>
      <c r="S7" s="69"/>
      <c r="T7" s="82"/>
    </row>
    <row r="8" spans="2:20" ht="60" customHeight="1" x14ac:dyDescent="0.35">
      <c r="B8" s="41" t="s">
        <v>778</v>
      </c>
      <c r="C8" s="80"/>
      <c r="D8" s="81"/>
      <c r="E8" s="81" t="s">
        <v>21</v>
      </c>
      <c r="F8" s="81" t="str">
        <f>IF(E8&lt;&gt;"", IFERROR(VLOOKUP(E8, Dashboard!$B52:$F57, 5, FALSE), ""), "")</f>
        <v/>
      </c>
      <c r="G8" s="82"/>
      <c r="H8" s="69"/>
      <c r="I8" s="69"/>
      <c r="J8" s="82"/>
      <c r="K8" s="82"/>
      <c r="L8" s="43"/>
      <c r="M8" s="43"/>
      <c r="N8" s="82"/>
      <c r="O8" s="82"/>
      <c r="P8" s="43"/>
      <c r="Q8" s="43" t="s">
        <v>21</v>
      </c>
      <c r="R8" s="82"/>
      <c r="S8" s="69"/>
      <c r="T8" s="82"/>
    </row>
    <row r="9" spans="2:20" ht="60" customHeight="1" x14ac:dyDescent="0.35">
      <c r="B9" s="41" t="s">
        <v>779</v>
      </c>
      <c r="C9" s="80"/>
      <c r="D9" s="81"/>
      <c r="E9" s="81" t="s">
        <v>21</v>
      </c>
      <c r="F9" s="81" t="str">
        <f>IF(E9&lt;&gt;"", IFERROR(VLOOKUP(E9, Dashboard!$B52:$F57, 5, FALSE), ""), "")</f>
        <v/>
      </c>
      <c r="G9" s="82"/>
      <c r="H9" s="69"/>
      <c r="I9" s="69"/>
      <c r="J9" s="82"/>
      <c r="K9" s="82"/>
      <c r="L9" s="43"/>
      <c r="M9" s="43"/>
      <c r="N9" s="82"/>
      <c r="O9" s="82"/>
      <c r="P9" s="43"/>
      <c r="Q9" s="43" t="s">
        <v>21</v>
      </c>
      <c r="R9" s="82"/>
      <c r="S9" s="69"/>
      <c r="T9" s="82"/>
    </row>
    <row r="10" spans="2:20" ht="60" customHeight="1" x14ac:dyDescent="0.35">
      <c r="B10" s="41" t="s">
        <v>780</v>
      </c>
      <c r="C10" s="80"/>
      <c r="D10" s="81"/>
      <c r="E10" s="81" t="s">
        <v>21</v>
      </c>
      <c r="F10" s="81" t="str">
        <f>IF(E10&lt;&gt;"", IFERROR(VLOOKUP(E10, Dashboard!$B52:$F57, 5, FALSE), ""), "")</f>
        <v/>
      </c>
      <c r="G10" s="82"/>
      <c r="H10" s="69"/>
      <c r="I10" s="69"/>
      <c r="J10" s="82"/>
      <c r="K10" s="82"/>
      <c r="L10" s="43"/>
      <c r="M10" s="43"/>
      <c r="N10" s="82"/>
      <c r="O10" s="82"/>
      <c r="P10" s="43"/>
      <c r="Q10" s="43" t="s">
        <v>21</v>
      </c>
      <c r="R10" s="82"/>
      <c r="S10" s="69"/>
      <c r="T10" s="82"/>
    </row>
    <row r="11" spans="2:20" ht="60" customHeight="1" x14ac:dyDescent="0.35">
      <c r="B11" s="41" t="s">
        <v>781</v>
      </c>
      <c r="C11" s="80"/>
      <c r="D11" s="81"/>
      <c r="E11" s="81" t="s">
        <v>21</v>
      </c>
      <c r="F11" s="81" t="str">
        <f>IF(E11&lt;&gt;"", IFERROR(VLOOKUP(E11, Dashboard!$B52:$F57, 5, FALSE), ""), "")</f>
        <v/>
      </c>
      <c r="G11" s="82"/>
      <c r="H11" s="69"/>
      <c r="I11" s="69"/>
      <c r="J11" s="82"/>
      <c r="K11" s="82"/>
      <c r="L11" s="43"/>
      <c r="M11" s="43"/>
      <c r="N11" s="82"/>
      <c r="O11" s="82"/>
      <c r="P11" s="43"/>
      <c r="Q11" s="43" t="s">
        <v>21</v>
      </c>
      <c r="R11" s="82"/>
      <c r="S11" s="69"/>
      <c r="T11" s="82"/>
    </row>
    <row r="12" spans="2:20" ht="60" customHeight="1" x14ac:dyDescent="0.35">
      <c r="B12" s="41" t="s">
        <v>782</v>
      </c>
      <c r="C12" s="80"/>
      <c r="D12" s="81"/>
      <c r="E12" s="81" t="s">
        <v>21</v>
      </c>
      <c r="F12" s="81" t="str">
        <f>IF(E12&lt;&gt;"", IFERROR(VLOOKUP(E12, Dashboard!$B52:$F57, 5, FALSE), ""), "")</f>
        <v/>
      </c>
      <c r="G12" s="82"/>
      <c r="H12" s="69"/>
      <c r="I12" s="69"/>
      <c r="J12" s="82"/>
      <c r="K12" s="82"/>
      <c r="L12" s="43"/>
      <c r="M12" s="43"/>
      <c r="N12" s="82"/>
      <c r="O12" s="82"/>
      <c r="P12" s="43"/>
      <c r="Q12" s="43" t="s">
        <v>21</v>
      </c>
      <c r="R12" s="82"/>
      <c r="S12" s="69"/>
      <c r="T12" s="82"/>
    </row>
    <row r="13" spans="2:20" ht="60" customHeight="1" x14ac:dyDescent="0.35">
      <c r="B13" s="41" t="s">
        <v>783</v>
      </c>
      <c r="C13" s="80"/>
      <c r="D13" s="81"/>
      <c r="E13" s="81" t="s">
        <v>21</v>
      </c>
      <c r="F13" s="81" t="str">
        <f>IF(E13&lt;&gt;"", IFERROR(VLOOKUP(E13, Dashboard!$B52:$F57, 5, FALSE), ""), "")</f>
        <v/>
      </c>
      <c r="G13" s="82"/>
      <c r="H13" s="69"/>
      <c r="I13" s="69"/>
      <c r="J13" s="82"/>
      <c r="K13" s="82"/>
      <c r="L13" s="43"/>
      <c r="M13" s="43"/>
      <c r="N13" s="82"/>
      <c r="O13" s="82"/>
      <c r="P13" s="43"/>
      <c r="Q13" s="43" t="s">
        <v>21</v>
      </c>
      <c r="R13" s="82"/>
      <c r="S13" s="69"/>
      <c r="T13" s="82"/>
    </row>
    <row r="14" spans="2:20" ht="60" customHeight="1" x14ac:dyDescent="0.35">
      <c r="B14" s="41" t="s">
        <v>784</v>
      </c>
      <c r="C14" s="80"/>
      <c r="D14" s="81"/>
      <c r="E14" s="81" t="s">
        <v>21</v>
      </c>
      <c r="F14" s="81" t="str">
        <f>IF(E14&lt;&gt;"", IFERROR(VLOOKUP(E14, Dashboard!$B52:$F57, 5, FALSE), ""), "")</f>
        <v/>
      </c>
      <c r="G14" s="82"/>
      <c r="H14" s="69"/>
      <c r="I14" s="69"/>
      <c r="J14" s="82"/>
      <c r="K14" s="82"/>
      <c r="L14" s="43"/>
      <c r="M14" s="43"/>
      <c r="N14" s="82"/>
      <c r="O14" s="82"/>
      <c r="P14" s="43"/>
      <c r="Q14" s="43" t="s">
        <v>21</v>
      </c>
      <c r="R14" s="82"/>
      <c r="S14" s="69"/>
      <c r="T14" s="82"/>
    </row>
    <row r="15" spans="2:20" ht="60" customHeight="1" x14ac:dyDescent="0.35">
      <c r="B15" s="41" t="s">
        <v>785</v>
      </c>
      <c r="C15" s="80"/>
      <c r="D15" s="81"/>
      <c r="E15" s="81" t="s">
        <v>21</v>
      </c>
      <c r="F15" s="81" t="str">
        <f>IF(E15&lt;&gt;"", IFERROR(VLOOKUP(E15, Dashboard!$B52:$F57, 5, FALSE), ""), "")</f>
        <v/>
      </c>
      <c r="G15" s="82"/>
      <c r="H15" s="69"/>
      <c r="I15" s="69"/>
      <c r="J15" s="82"/>
      <c r="K15" s="82"/>
      <c r="L15" s="43"/>
      <c r="M15" s="43"/>
      <c r="N15" s="82"/>
      <c r="O15" s="82"/>
      <c r="P15" s="43"/>
      <c r="Q15" s="43" t="s">
        <v>21</v>
      </c>
      <c r="R15" s="82"/>
      <c r="S15" s="69"/>
      <c r="T15" s="82"/>
    </row>
    <row r="16" spans="2:20" ht="60" customHeight="1" x14ac:dyDescent="0.35">
      <c r="B16" s="41" t="s">
        <v>786</v>
      </c>
      <c r="C16" s="80"/>
      <c r="D16" s="81"/>
      <c r="E16" s="81" t="s">
        <v>21</v>
      </c>
      <c r="F16" s="81" t="str">
        <f>IF(E16&lt;&gt;"", IFERROR(VLOOKUP(E16, Dashboard!$B52:$F57, 5, FALSE), ""), "")</f>
        <v/>
      </c>
      <c r="G16" s="82"/>
      <c r="H16" s="69"/>
      <c r="I16" s="69"/>
      <c r="J16" s="82"/>
      <c r="K16" s="82"/>
      <c r="L16" s="43"/>
      <c r="M16" s="43"/>
      <c r="N16" s="82"/>
      <c r="O16" s="82"/>
      <c r="P16" s="43"/>
      <c r="Q16" s="43" t="s">
        <v>21</v>
      </c>
      <c r="R16" s="82"/>
      <c r="S16" s="69"/>
      <c r="T16" s="82"/>
    </row>
    <row r="17" spans="2:20" ht="60" customHeight="1" x14ac:dyDescent="0.35">
      <c r="B17" s="41" t="s">
        <v>787</v>
      </c>
      <c r="C17" s="80"/>
      <c r="D17" s="81"/>
      <c r="E17" s="81" t="s">
        <v>21</v>
      </c>
      <c r="F17" s="81" t="str">
        <f>IF(E17&lt;&gt;"", IFERROR(VLOOKUP(E17, Dashboard!$B52:$F57, 5, FALSE), ""), "")</f>
        <v/>
      </c>
      <c r="G17" s="82"/>
      <c r="H17" s="69"/>
      <c r="I17" s="69"/>
      <c r="J17" s="82"/>
      <c r="K17" s="82"/>
      <c r="L17" s="43"/>
      <c r="M17" s="43"/>
      <c r="N17" s="82"/>
      <c r="O17" s="82"/>
      <c r="P17" s="43"/>
      <c r="Q17" s="43" t="s">
        <v>21</v>
      </c>
      <c r="R17" s="82"/>
      <c r="S17" s="69"/>
      <c r="T17" s="82"/>
    </row>
    <row r="18" spans="2:20" ht="60" customHeight="1" x14ac:dyDescent="0.35">
      <c r="B18" s="41" t="s">
        <v>788</v>
      </c>
      <c r="C18" s="80"/>
      <c r="D18" s="81"/>
      <c r="E18" s="81" t="s">
        <v>21</v>
      </c>
      <c r="F18" s="81" t="str">
        <f>IF(E18&lt;&gt;"", IFERROR(VLOOKUP(E18, Dashboard!$B52:$F57, 5, FALSE), ""), "")</f>
        <v/>
      </c>
      <c r="G18" s="82"/>
      <c r="H18" s="69"/>
      <c r="I18" s="69"/>
      <c r="J18" s="82"/>
      <c r="K18" s="82"/>
      <c r="L18" s="43"/>
      <c r="M18" s="43"/>
      <c r="N18" s="82"/>
      <c r="O18" s="82"/>
      <c r="P18" s="43"/>
      <c r="Q18" s="43" t="s">
        <v>21</v>
      </c>
      <c r="R18" s="82"/>
      <c r="S18" s="69"/>
      <c r="T18" s="82"/>
    </row>
    <row r="19" spans="2:20" ht="60" customHeight="1" x14ac:dyDescent="0.35">
      <c r="B19" s="41" t="s">
        <v>789</v>
      </c>
      <c r="C19" s="80"/>
      <c r="D19" s="81"/>
      <c r="E19" s="81" t="s">
        <v>21</v>
      </c>
      <c r="F19" s="81" t="str">
        <f>IF(E19&lt;&gt;"", IFERROR(VLOOKUP(E19, Dashboard!$B52:$F57, 5, FALSE), ""), "")</f>
        <v/>
      </c>
      <c r="G19" s="82"/>
      <c r="H19" s="69"/>
      <c r="I19" s="69"/>
      <c r="J19" s="82"/>
      <c r="K19" s="82"/>
      <c r="L19" s="43"/>
      <c r="M19" s="43"/>
      <c r="N19" s="82"/>
      <c r="O19" s="82"/>
      <c r="P19" s="43"/>
      <c r="Q19" s="43" t="s">
        <v>21</v>
      </c>
      <c r="R19" s="82"/>
      <c r="S19" s="69"/>
      <c r="T19" s="82"/>
    </row>
    <row r="20" spans="2:20" ht="60" customHeight="1" x14ac:dyDescent="0.35">
      <c r="B20" s="41" t="s">
        <v>790</v>
      </c>
      <c r="C20" s="80"/>
      <c r="D20" s="81"/>
      <c r="E20" s="81" t="s">
        <v>21</v>
      </c>
      <c r="F20" s="81" t="str">
        <f>IF(E20&lt;&gt;"", IFERROR(VLOOKUP(E20, Dashboard!$B52:$F57, 5, FALSE), ""), "")</f>
        <v/>
      </c>
      <c r="G20" s="82"/>
      <c r="H20" s="69"/>
      <c r="I20" s="69"/>
      <c r="J20" s="82"/>
      <c r="K20" s="82"/>
      <c r="L20" s="43"/>
      <c r="M20" s="43"/>
      <c r="N20" s="82"/>
      <c r="O20" s="82"/>
      <c r="P20" s="43"/>
      <c r="Q20" s="43" t="s">
        <v>21</v>
      </c>
      <c r="R20" s="82"/>
      <c r="S20" s="69"/>
      <c r="T20" s="82"/>
    </row>
    <row r="21" spans="2:20" ht="60" customHeight="1" x14ac:dyDescent="0.35">
      <c r="B21" s="41" t="s">
        <v>791</v>
      </c>
      <c r="C21" s="80"/>
      <c r="D21" s="81"/>
      <c r="E21" s="81" t="s">
        <v>21</v>
      </c>
      <c r="F21" s="81" t="str">
        <f>IF(E21&lt;&gt;"", IFERROR(VLOOKUP(E21, Dashboard!$B52:$F57, 5, FALSE), ""), "")</f>
        <v/>
      </c>
      <c r="G21" s="82"/>
      <c r="H21" s="69"/>
      <c r="I21" s="69"/>
      <c r="J21" s="82"/>
      <c r="K21" s="82"/>
      <c r="L21" s="43"/>
      <c r="M21" s="43"/>
      <c r="N21" s="82"/>
      <c r="O21" s="82"/>
      <c r="P21" s="43"/>
      <c r="Q21" s="43" t="s">
        <v>21</v>
      </c>
      <c r="R21" s="82"/>
      <c r="S21" s="69"/>
      <c r="T21" s="82"/>
    </row>
    <row r="22" spans="2:20" ht="60" customHeight="1" x14ac:dyDescent="0.35">
      <c r="B22" s="41" t="s">
        <v>792</v>
      </c>
      <c r="C22" s="80"/>
      <c r="D22" s="81"/>
      <c r="E22" s="81" t="s">
        <v>21</v>
      </c>
      <c r="F22" s="81" t="str">
        <f>IF(E22&lt;&gt;"", IFERROR(VLOOKUP(E22, Dashboard!$B52:$F57, 5, FALSE), ""), "")</f>
        <v/>
      </c>
      <c r="G22" s="82"/>
      <c r="H22" s="69"/>
      <c r="I22" s="69"/>
      <c r="J22" s="82"/>
      <c r="K22" s="82"/>
      <c r="L22" s="43"/>
      <c r="M22" s="43"/>
      <c r="N22" s="82"/>
      <c r="O22" s="82"/>
      <c r="P22" s="43"/>
      <c r="Q22" s="43" t="s">
        <v>21</v>
      </c>
      <c r="R22" s="82"/>
      <c r="S22" s="69"/>
      <c r="T22" s="82"/>
    </row>
    <row r="23" spans="2:20" ht="60" customHeight="1" x14ac:dyDescent="0.35">
      <c r="B23" s="41" t="s">
        <v>793</v>
      </c>
      <c r="C23" s="80"/>
      <c r="D23" s="81"/>
      <c r="E23" s="81" t="s">
        <v>21</v>
      </c>
      <c r="F23" s="81" t="str">
        <f>IF(E23&lt;&gt;"", IFERROR(VLOOKUP(E23, Dashboard!$B52:$F57, 5, FALSE), ""), "")</f>
        <v/>
      </c>
      <c r="G23" s="82"/>
      <c r="H23" s="69"/>
      <c r="I23" s="69"/>
      <c r="J23" s="82"/>
      <c r="K23" s="82"/>
      <c r="L23" s="43"/>
      <c r="M23" s="43"/>
      <c r="N23" s="82"/>
      <c r="O23" s="82"/>
      <c r="P23" s="43"/>
      <c r="Q23" s="43" t="s">
        <v>21</v>
      </c>
      <c r="R23" s="82"/>
      <c r="S23" s="69"/>
      <c r="T23" s="82"/>
    </row>
    <row r="24" spans="2:20" ht="60" customHeight="1" x14ac:dyDescent="0.35">
      <c r="B24" s="41" t="s">
        <v>794</v>
      </c>
      <c r="C24" s="80"/>
      <c r="D24" s="81"/>
      <c r="E24" s="81" t="s">
        <v>21</v>
      </c>
      <c r="F24" s="81" t="str">
        <f>IF(E24&lt;&gt;"", IFERROR(VLOOKUP(E24, Dashboard!$B52:$F57, 5, FALSE), ""), "")</f>
        <v/>
      </c>
      <c r="G24" s="82"/>
      <c r="H24" s="69"/>
      <c r="I24" s="69"/>
      <c r="J24" s="82"/>
      <c r="K24" s="82"/>
      <c r="L24" s="43"/>
      <c r="M24" s="43"/>
      <c r="N24" s="82"/>
      <c r="O24" s="82"/>
      <c r="P24" s="43"/>
      <c r="Q24" s="43" t="s">
        <v>21</v>
      </c>
      <c r="R24" s="82"/>
      <c r="S24" s="69"/>
      <c r="T24" s="82"/>
    </row>
    <row r="25" spans="2:20" ht="60" customHeight="1" x14ac:dyDescent="0.35">
      <c r="B25" s="41" t="s">
        <v>795</v>
      </c>
      <c r="C25" s="80"/>
      <c r="D25" s="81"/>
      <c r="E25" s="81" t="s">
        <v>21</v>
      </c>
      <c r="F25" s="81" t="str">
        <f>IF(E25&lt;&gt;"", IFERROR(VLOOKUP(E25, Dashboard!$B52:$F57, 5, FALSE), ""), "")</f>
        <v/>
      </c>
      <c r="G25" s="82"/>
      <c r="H25" s="69"/>
      <c r="I25" s="69"/>
      <c r="J25" s="82"/>
      <c r="K25" s="82"/>
      <c r="L25" s="43"/>
      <c r="M25" s="43"/>
      <c r="N25" s="82"/>
      <c r="O25" s="82"/>
      <c r="P25" s="43"/>
      <c r="Q25" s="43" t="s">
        <v>21</v>
      </c>
      <c r="R25" s="82"/>
      <c r="S25" s="69"/>
      <c r="T25" s="82"/>
    </row>
    <row r="26" spans="2:20" ht="60" customHeight="1" x14ac:dyDescent="0.35">
      <c r="B26" s="41" t="s">
        <v>796</v>
      </c>
      <c r="C26" s="80"/>
      <c r="D26" s="81"/>
      <c r="E26" s="81" t="s">
        <v>21</v>
      </c>
      <c r="F26" s="81" t="str">
        <f>IF(E26&lt;&gt;"", IFERROR(VLOOKUP(E26, Dashboard!$B52:$F57, 5, FALSE), ""), "")</f>
        <v/>
      </c>
      <c r="G26" s="82"/>
      <c r="H26" s="69"/>
      <c r="I26" s="69"/>
      <c r="J26" s="82"/>
      <c r="K26" s="82"/>
      <c r="L26" s="43"/>
      <c r="M26" s="43"/>
      <c r="N26" s="82"/>
      <c r="O26" s="82"/>
      <c r="P26" s="43"/>
      <c r="Q26" s="43" t="s">
        <v>21</v>
      </c>
      <c r="R26" s="82"/>
      <c r="S26" s="69"/>
      <c r="T26" s="82"/>
    </row>
    <row r="27" spans="2:20" ht="60" customHeight="1" x14ac:dyDescent="0.35">
      <c r="B27" s="41" t="s">
        <v>797</v>
      </c>
      <c r="C27" s="80"/>
      <c r="D27" s="81"/>
      <c r="E27" s="81" t="s">
        <v>21</v>
      </c>
      <c r="F27" s="81" t="str">
        <f>IF(E27&lt;&gt;"", IFERROR(VLOOKUP(E27, Dashboard!$B52:$F57, 5, FALSE), ""), "")</f>
        <v/>
      </c>
      <c r="G27" s="82"/>
      <c r="H27" s="69"/>
      <c r="I27" s="69"/>
      <c r="J27" s="82"/>
      <c r="K27" s="82"/>
      <c r="L27" s="43"/>
      <c r="M27" s="43"/>
      <c r="N27" s="82"/>
      <c r="O27" s="82"/>
      <c r="P27" s="43"/>
      <c r="Q27" s="43" t="s">
        <v>21</v>
      </c>
      <c r="R27" s="82"/>
      <c r="S27" s="69"/>
      <c r="T27" s="82"/>
    </row>
    <row r="28" spans="2:20" ht="60" customHeight="1" x14ac:dyDescent="0.35">
      <c r="B28" s="41" t="s">
        <v>798</v>
      </c>
      <c r="C28" s="80"/>
      <c r="D28" s="81"/>
      <c r="E28" s="81" t="s">
        <v>21</v>
      </c>
      <c r="F28" s="81" t="str">
        <f>IF(E28&lt;&gt;"", IFERROR(VLOOKUP(E28, Dashboard!$B52:$F57, 5, FALSE), ""), "")</f>
        <v/>
      </c>
      <c r="G28" s="82"/>
      <c r="H28" s="69"/>
      <c r="I28" s="69"/>
      <c r="J28" s="82"/>
      <c r="K28" s="82"/>
      <c r="L28" s="43"/>
      <c r="M28" s="43"/>
      <c r="N28" s="82"/>
      <c r="O28" s="82"/>
      <c r="P28" s="43"/>
      <c r="Q28" s="43" t="s">
        <v>21</v>
      </c>
      <c r="R28" s="82"/>
      <c r="S28" s="69"/>
      <c r="T28" s="82"/>
    </row>
    <row r="29" spans="2:20" ht="60" customHeight="1" x14ac:dyDescent="0.35">
      <c r="B29" s="41" t="s">
        <v>799</v>
      </c>
      <c r="C29" s="80"/>
      <c r="D29" s="81"/>
      <c r="E29" s="81" t="s">
        <v>21</v>
      </c>
      <c r="F29" s="81" t="str">
        <f>IF(E29&lt;&gt;"", IFERROR(VLOOKUP(E29, Dashboard!$B52:$F57, 5, FALSE), ""), "")</f>
        <v/>
      </c>
      <c r="G29" s="82"/>
      <c r="H29" s="69"/>
      <c r="I29" s="69"/>
      <c r="J29" s="82"/>
      <c r="K29" s="82"/>
      <c r="L29" s="43"/>
      <c r="M29" s="43"/>
      <c r="N29" s="82"/>
      <c r="O29" s="82"/>
      <c r="P29" s="43"/>
      <c r="Q29" s="43" t="s">
        <v>21</v>
      </c>
      <c r="R29" s="82"/>
      <c r="S29" s="69"/>
      <c r="T29" s="82"/>
    </row>
    <row r="30" spans="2:20" ht="60" customHeight="1" x14ac:dyDescent="0.35">
      <c r="B30" s="41" t="s">
        <v>800</v>
      </c>
      <c r="C30" s="80"/>
      <c r="D30" s="81"/>
      <c r="E30" s="81" t="s">
        <v>21</v>
      </c>
      <c r="F30" s="81" t="str">
        <f>IF(E30&lt;&gt;"", IFERROR(VLOOKUP(E30, Dashboard!$B52:$F57, 5, FALSE), ""), "")</f>
        <v/>
      </c>
      <c r="G30" s="82"/>
      <c r="H30" s="69"/>
      <c r="I30" s="69"/>
      <c r="J30" s="82"/>
      <c r="K30" s="82"/>
      <c r="L30" s="43"/>
      <c r="M30" s="43"/>
      <c r="N30" s="82"/>
      <c r="O30" s="82"/>
      <c r="P30" s="43"/>
      <c r="Q30" s="43" t="s">
        <v>21</v>
      </c>
      <c r="R30" s="82"/>
      <c r="S30" s="69"/>
      <c r="T30" s="82"/>
    </row>
    <row r="31" spans="2:20" ht="60" customHeight="1" x14ac:dyDescent="0.35">
      <c r="B31" s="41" t="s">
        <v>801</v>
      </c>
      <c r="C31" s="80"/>
      <c r="D31" s="81"/>
      <c r="E31" s="81" t="s">
        <v>21</v>
      </c>
      <c r="F31" s="81" t="str">
        <f>IF(E31&lt;&gt;"", IFERROR(VLOOKUP(E31, Dashboard!$B52:$F57, 5, FALSE), ""), "")</f>
        <v/>
      </c>
      <c r="G31" s="82"/>
      <c r="H31" s="69"/>
      <c r="I31" s="69"/>
      <c r="J31" s="82"/>
      <c r="K31" s="82"/>
      <c r="L31" s="43"/>
      <c r="M31" s="43"/>
      <c r="N31" s="82"/>
      <c r="O31" s="82"/>
      <c r="P31" s="43"/>
      <c r="Q31" s="43" t="s">
        <v>21</v>
      </c>
      <c r="R31" s="82"/>
      <c r="S31" s="69"/>
      <c r="T31" s="82"/>
    </row>
    <row r="32" spans="2:20" ht="60" customHeight="1" x14ac:dyDescent="0.35">
      <c r="B32" s="41" t="s">
        <v>802</v>
      </c>
      <c r="C32" s="80"/>
      <c r="D32" s="81"/>
      <c r="E32" s="81" t="s">
        <v>21</v>
      </c>
      <c r="F32" s="81" t="str">
        <f>IF(E32&lt;&gt;"", IFERROR(VLOOKUP(E32, Dashboard!$B52:$F57, 5, FALSE), ""), "")</f>
        <v/>
      </c>
      <c r="G32" s="82"/>
      <c r="H32" s="69"/>
      <c r="I32" s="69"/>
      <c r="J32" s="82"/>
      <c r="K32" s="82"/>
      <c r="L32" s="43"/>
      <c r="M32" s="43"/>
      <c r="N32" s="82"/>
      <c r="O32" s="82"/>
      <c r="P32" s="43"/>
      <c r="Q32" s="43" t="s">
        <v>21</v>
      </c>
      <c r="R32" s="82"/>
      <c r="S32" s="69"/>
      <c r="T32" s="82"/>
    </row>
    <row r="33" spans="2:20" ht="60" customHeight="1" x14ac:dyDescent="0.35">
      <c r="B33" s="41" t="s">
        <v>803</v>
      </c>
      <c r="C33" s="80"/>
      <c r="D33" s="81"/>
      <c r="E33" s="81" t="s">
        <v>21</v>
      </c>
      <c r="F33" s="81" t="str">
        <f>IF(E33&lt;&gt;"", IFERROR(VLOOKUP(E33, Dashboard!$B52:$F57, 5, FALSE), ""), "")</f>
        <v/>
      </c>
      <c r="G33" s="82"/>
      <c r="H33" s="69"/>
      <c r="I33" s="69"/>
      <c r="J33" s="82"/>
      <c r="K33" s="82"/>
      <c r="L33" s="43"/>
      <c r="M33" s="43"/>
      <c r="N33" s="82"/>
      <c r="O33" s="82"/>
      <c r="P33" s="43"/>
      <c r="Q33" s="43" t="s">
        <v>21</v>
      </c>
      <c r="R33" s="82"/>
      <c r="S33" s="69"/>
      <c r="T33" s="82"/>
    </row>
    <row r="34" spans="2:20" ht="60" customHeight="1" x14ac:dyDescent="0.35">
      <c r="B34" s="41" t="s">
        <v>804</v>
      </c>
      <c r="C34" s="80"/>
      <c r="D34" s="81"/>
      <c r="E34" s="81" t="s">
        <v>21</v>
      </c>
      <c r="F34" s="81" t="str">
        <f>IF(E34&lt;&gt;"", IFERROR(VLOOKUP(E34, Dashboard!$B52:$F57, 5, FALSE), ""), "")</f>
        <v/>
      </c>
      <c r="G34" s="82"/>
      <c r="H34" s="69"/>
      <c r="I34" s="69"/>
      <c r="J34" s="82"/>
      <c r="K34" s="82"/>
      <c r="L34" s="43"/>
      <c r="M34" s="43"/>
      <c r="N34" s="82"/>
      <c r="O34" s="82"/>
      <c r="P34" s="43"/>
      <c r="Q34" s="43" t="s">
        <v>21</v>
      </c>
      <c r="R34" s="82"/>
      <c r="S34" s="69"/>
      <c r="T34" s="82"/>
    </row>
    <row r="35" spans="2:20" ht="60" customHeight="1" x14ac:dyDescent="0.35">
      <c r="B35" s="41" t="s">
        <v>805</v>
      </c>
      <c r="C35" s="80"/>
      <c r="D35" s="81"/>
      <c r="E35" s="81" t="s">
        <v>21</v>
      </c>
      <c r="F35" s="81" t="str">
        <f>IF(E35&lt;&gt;"", IFERROR(VLOOKUP(E35, Dashboard!$B52:$F57, 5, FALSE), ""), "")</f>
        <v/>
      </c>
      <c r="G35" s="82"/>
      <c r="H35" s="69"/>
      <c r="I35" s="69"/>
      <c r="J35" s="82"/>
      <c r="K35" s="82"/>
      <c r="L35" s="43"/>
      <c r="M35" s="43"/>
      <c r="N35" s="82"/>
      <c r="O35" s="82"/>
      <c r="P35" s="43"/>
      <c r="Q35" s="43" t="s">
        <v>21</v>
      </c>
      <c r="R35" s="82"/>
      <c r="S35" s="69"/>
      <c r="T35" s="82"/>
    </row>
    <row r="36" spans="2:20" ht="60" customHeight="1" x14ac:dyDescent="0.35">
      <c r="B36" s="41" t="s">
        <v>806</v>
      </c>
      <c r="C36" s="80"/>
      <c r="D36" s="81"/>
      <c r="E36" s="81" t="s">
        <v>21</v>
      </c>
      <c r="F36" s="81" t="str">
        <f>IF(E36&lt;&gt;"", IFERROR(VLOOKUP(E36, Dashboard!$B52:$F57, 5, FALSE), ""), "")</f>
        <v/>
      </c>
      <c r="G36" s="82"/>
      <c r="H36" s="69"/>
      <c r="I36" s="69"/>
      <c r="J36" s="82"/>
      <c r="K36" s="82"/>
      <c r="L36" s="43"/>
      <c r="M36" s="43"/>
      <c r="N36" s="82"/>
      <c r="O36" s="82"/>
      <c r="P36" s="43"/>
      <c r="Q36" s="43" t="s">
        <v>21</v>
      </c>
      <c r="R36" s="82"/>
      <c r="S36" s="69"/>
      <c r="T36" s="82"/>
    </row>
    <row r="37" spans="2:20" ht="60" customHeight="1" x14ac:dyDescent="0.35">
      <c r="B37" s="41" t="s">
        <v>807</v>
      </c>
      <c r="C37" s="80"/>
      <c r="D37" s="81"/>
      <c r="E37" s="81" t="s">
        <v>21</v>
      </c>
      <c r="F37" s="81" t="str">
        <f>IF(E37&lt;&gt;"", IFERROR(VLOOKUP(E37, Dashboard!$B52:$F57, 5, FALSE), ""), "")</f>
        <v/>
      </c>
      <c r="G37" s="82"/>
      <c r="H37" s="69"/>
      <c r="I37" s="69"/>
      <c r="J37" s="82"/>
      <c r="K37" s="82"/>
      <c r="L37" s="43"/>
      <c r="M37" s="43"/>
      <c r="N37" s="82"/>
      <c r="O37" s="82"/>
      <c r="P37" s="43"/>
      <c r="Q37" s="43" t="s">
        <v>21</v>
      </c>
      <c r="R37" s="82"/>
      <c r="S37" s="69"/>
      <c r="T37" s="82"/>
    </row>
    <row r="38" spans="2:20" ht="60" customHeight="1" x14ac:dyDescent="0.35">
      <c r="B38" s="41" t="s">
        <v>808</v>
      </c>
      <c r="C38" s="80"/>
      <c r="D38" s="81"/>
      <c r="E38" s="81" t="s">
        <v>21</v>
      </c>
      <c r="F38" s="81" t="str">
        <f>IF(E38&lt;&gt;"", IFERROR(VLOOKUP(E38, Dashboard!$B52:$F57, 5, FALSE), ""), "")</f>
        <v/>
      </c>
      <c r="G38" s="82"/>
      <c r="H38" s="69"/>
      <c r="I38" s="69"/>
      <c r="J38" s="82"/>
      <c r="K38" s="82"/>
      <c r="L38" s="43"/>
      <c r="M38" s="43"/>
      <c r="N38" s="82"/>
      <c r="O38" s="82"/>
      <c r="P38" s="43"/>
      <c r="Q38" s="43" t="s">
        <v>21</v>
      </c>
      <c r="R38" s="82"/>
      <c r="S38" s="69"/>
      <c r="T38" s="82"/>
    </row>
    <row r="39" spans="2:20" ht="60" customHeight="1" x14ac:dyDescent="0.35">
      <c r="B39" s="41" t="s">
        <v>809</v>
      </c>
      <c r="C39" s="80"/>
      <c r="D39" s="81"/>
      <c r="E39" s="81" t="s">
        <v>21</v>
      </c>
      <c r="F39" s="81" t="str">
        <f>IF(E39&lt;&gt;"", IFERROR(VLOOKUP(E39, Dashboard!$B52:$F57, 5, FALSE), ""), "")</f>
        <v/>
      </c>
      <c r="G39" s="82"/>
      <c r="H39" s="69"/>
      <c r="I39" s="69"/>
      <c r="J39" s="82"/>
      <c r="K39" s="82"/>
      <c r="L39" s="43"/>
      <c r="M39" s="43"/>
      <c r="N39" s="82"/>
      <c r="O39" s="82"/>
      <c r="P39" s="43"/>
      <c r="Q39" s="43" t="s">
        <v>21</v>
      </c>
      <c r="R39" s="82"/>
      <c r="S39" s="69"/>
      <c r="T39" s="82"/>
    </row>
    <row r="40" spans="2:20" ht="60" customHeight="1" x14ac:dyDescent="0.35">
      <c r="B40" s="41" t="s">
        <v>810</v>
      </c>
      <c r="C40" s="80"/>
      <c r="D40" s="81"/>
      <c r="E40" s="81" t="s">
        <v>21</v>
      </c>
      <c r="F40" s="81" t="str">
        <f>IF(E40&lt;&gt;"", IFERROR(VLOOKUP(E40, Dashboard!$B52:$F57, 5, FALSE), ""), "")</f>
        <v/>
      </c>
      <c r="G40" s="82"/>
      <c r="H40" s="69"/>
      <c r="I40" s="69"/>
      <c r="J40" s="82"/>
      <c r="K40" s="82"/>
      <c r="L40" s="43"/>
      <c r="M40" s="43"/>
      <c r="N40" s="82"/>
      <c r="O40" s="82"/>
      <c r="P40" s="43"/>
      <c r="Q40" s="43" t="s">
        <v>21</v>
      </c>
      <c r="R40" s="82"/>
      <c r="S40" s="69"/>
      <c r="T40" s="82"/>
    </row>
    <row r="41" spans="2:20" ht="60" customHeight="1" x14ac:dyDescent="0.35">
      <c r="B41" s="41" t="s">
        <v>811</v>
      </c>
      <c r="C41" s="80"/>
      <c r="D41" s="81"/>
      <c r="E41" s="81" t="s">
        <v>21</v>
      </c>
      <c r="F41" s="81" t="str">
        <f>IF(E41&lt;&gt;"", IFERROR(VLOOKUP(E41, Dashboard!$B52:$F57, 5, FALSE), ""), "")</f>
        <v/>
      </c>
      <c r="G41" s="82"/>
      <c r="H41" s="69"/>
      <c r="I41" s="69"/>
      <c r="J41" s="82"/>
      <c r="K41" s="82"/>
      <c r="L41" s="43"/>
      <c r="M41" s="43"/>
      <c r="N41" s="82"/>
      <c r="O41" s="82"/>
      <c r="P41" s="43"/>
      <c r="Q41" s="43" t="s">
        <v>21</v>
      </c>
      <c r="R41" s="82"/>
      <c r="S41" s="69"/>
      <c r="T41" s="82"/>
    </row>
    <row r="42" spans="2:20" ht="60" customHeight="1" x14ac:dyDescent="0.35">
      <c r="B42" s="41" t="s">
        <v>812</v>
      </c>
      <c r="C42" s="80"/>
      <c r="D42" s="81"/>
      <c r="E42" s="81" t="s">
        <v>21</v>
      </c>
      <c r="F42" s="81" t="str">
        <f>IF(E42&lt;&gt;"", IFERROR(VLOOKUP(E42, Dashboard!$B52:$F57, 5, FALSE), ""), "")</f>
        <v/>
      </c>
      <c r="G42" s="82"/>
      <c r="H42" s="69"/>
      <c r="I42" s="69"/>
      <c r="J42" s="82"/>
      <c r="K42" s="82"/>
      <c r="L42" s="43"/>
      <c r="M42" s="43"/>
      <c r="N42" s="82"/>
      <c r="O42" s="82"/>
      <c r="P42" s="43"/>
      <c r="Q42" s="43" t="s">
        <v>21</v>
      </c>
      <c r="R42" s="82"/>
      <c r="S42" s="69"/>
      <c r="T42" s="82"/>
    </row>
    <row r="43" spans="2:20" ht="60" customHeight="1" x14ac:dyDescent="0.35">
      <c r="B43" s="41" t="s">
        <v>813</v>
      </c>
      <c r="C43" s="80"/>
      <c r="D43" s="81"/>
      <c r="E43" s="81" t="s">
        <v>21</v>
      </c>
      <c r="F43" s="81" t="str">
        <f>IF(E43&lt;&gt;"", IFERROR(VLOOKUP(E43, Dashboard!$B52:$F57, 5, FALSE), ""), "")</f>
        <v/>
      </c>
      <c r="G43" s="82"/>
      <c r="H43" s="69"/>
      <c r="I43" s="69"/>
      <c r="J43" s="82"/>
      <c r="K43" s="82"/>
      <c r="L43" s="43"/>
      <c r="M43" s="43"/>
      <c r="N43" s="82"/>
      <c r="O43" s="82"/>
      <c r="P43" s="43"/>
      <c r="Q43" s="43" t="s">
        <v>21</v>
      </c>
      <c r="R43" s="82"/>
      <c r="S43" s="69"/>
      <c r="T43" s="82"/>
    </row>
    <row r="44" spans="2:20" ht="60" customHeight="1" x14ac:dyDescent="0.35">
      <c r="B44" s="41" t="s">
        <v>814</v>
      </c>
      <c r="C44" s="80"/>
      <c r="D44" s="81"/>
      <c r="E44" s="81" t="s">
        <v>21</v>
      </c>
      <c r="F44" s="81" t="str">
        <f>IF(E44&lt;&gt;"", IFERROR(VLOOKUP(E44, Dashboard!$B52:$F57, 5, FALSE), ""), "")</f>
        <v/>
      </c>
      <c r="G44" s="82"/>
      <c r="H44" s="69"/>
      <c r="I44" s="69"/>
      <c r="J44" s="82"/>
      <c r="K44" s="82"/>
      <c r="L44" s="43"/>
      <c r="M44" s="43"/>
      <c r="N44" s="82"/>
      <c r="O44" s="82"/>
      <c r="P44" s="43"/>
      <c r="Q44" s="43" t="s">
        <v>21</v>
      </c>
      <c r="R44" s="82"/>
      <c r="S44" s="69"/>
      <c r="T44" s="82"/>
    </row>
    <row r="45" spans="2:20" ht="60" customHeight="1" x14ac:dyDescent="0.35">
      <c r="B45" s="41" t="s">
        <v>815</v>
      </c>
      <c r="C45" s="80"/>
      <c r="D45" s="81"/>
      <c r="E45" s="81" t="s">
        <v>21</v>
      </c>
      <c r="F45" s="81" t="str">
        <f>IF(E45&lt;&gt;"", IFERROR(VLOOKUP(E45, Dashboard!$B52:$F57, 5, FALSE), ""), "")</f>
        <v/>
      </c>
      <c r="G45" s="82"/>
      <c r="H45" s="69"/>
      <c r="I45" s="69"/>
      <c r="J45" s="82"/>
      <c r="K45" s="82"/>
      <c r="L45" s="43"/>
      <c r="M45" s="43"/>
      <c r="N45" s="82"/>
      <c r="O45" s="82"/>
      <c r="P45" s="43"/>
      <c r="Q45" s="43" t="s">
        <v>21</v>
      </c>
      <c r="R45" s="82"/>
      <c r="S45" s="69"/>
      <c r="T45" s="82"/>
    </row>
    <row r="46" spans="2:20" ht="60" customHeight="1" x14ac:dyDescent="0.35">
      <c r="B46" s="41" t="s">
        <v>816</v>
      </c>
      <c r="C46" s="80"/>
      <c r="D46" s="81"/>
      <c r="E46" s="81" t="s">
        <v>21</v>
      </c>
      <c r="F46" s="81" t="str">
        <f>IF(E46&lt;&gt;"", IFERROR(VLOOKUP(E46, Dashboard!$B52:$F57, 5, FALSE), ""), "")</f>
        <v/>
      </c>
      <c r="G46" s="82"/>
      <c r="H46" s="69"/>
      <c r="I46" s="69"/>
      <c r="J46" s="82"/>
      <c r="K46" s="82"/>
      <c r="L46" s="43"/>
      <c r="M46" s="43"/>
      <c r="N46" s="82"/>
      <c r="O46" s="82"/>
      <c r="P46" s="43"/>
      <c r="Q46" s="43" t="s">
        <v>21</v>
      </c>
      <c r="R46" s="82"/>
      <c r="S46" s="69"/>
      <c r="T46" s="82"/>
    </row>
    <row r="47" spans="2:20" ht="60" customHeight="1" x14ac:dyDescent="0.35">
      <c r="B47" s="41" t="s">
        <v>817</v>
      </c>
      <c r="C47" s="80"/>
      <c r="D47" s="81"/>
      <c r="E47" s="81" t="s">
        <v>21</v>
      </c>
      <c r="F47" s="81" t="str">
        <f>IF(E47&lt;&gt;"", IFERROR(VLOOKUP(E47, Dashboard!$B52:$F57, 5, FALSE), ""), "")</f>
        <v/>
      </c>
      <c r="G47" s="82"/>
      <c r="H47" s="69"/>
      <c r="I47" s="69"/>
      <c r="J47" s="82"/>
      <c r="K47" s="82"/>
      <c r="L47" s="43"/>
      <c r="M47" s="43"/>
      <c r="N47" s="82"/>
      <c r="O47" s="82"/>
      <c r="P47" s="43"/>
      <c r="Q47" s="43" t="s">
        <v>21</v>
      </c>
      <c r="R47" s="82"/>
      <c r="S47" s="69"/>
      <c r="T47" s="82"/>
    </row>
    <row r="48" spans="2:20" ht="60" customHeight="1" x14ac:dyDescent="0.35">
      <c r="B48" s="41" t="s">
        <v>818</v>
      </c>
      <c r="C48" s="80"/>
      <c r="D48" s="81"/>
      <c r="E48" s="81" t="s">
        <v>21</v>
      </c>
      <c r="F48" s="81" t="str">
        <f>IF(E48&lt;&gt;"", IFERROR(VLOOKUP(E48, Dashboard!$B52:$F57, 5, FALSE), ""), "")</f>
        <v/>
      </c>
      <c r="G48" s="82"/>
      <c r="H48" s="69"/>
      <c r="I48" s="69"/>
      <c r="J48" s="82"/>
      <c r="K48" s="82"/>
      <c r="L48" s="43"/>
      <c r="M48" s="43"/>
      <c r="N48" s="82"/>
      <c r="O48" s="82"/>
      <c r="P48" s="43"/>
      <c r="Q48" s="43" t="s">
        <v>21</v>
      </c>
      <c r="R48" s="82"/>
      <c r="S48" s="69"/>
      <c r="T48" s="82"/>
    </row>
    <row r="49" spans="2:20" ht="60" customHeight="1" x14ac:dyDescent="0.35">
      <c r="B49" s="41" t="s">
        <v>819</v>
      </c>
      <c r="C49" s="80"/>
      <c r="D49" s="81"/>
      <c r="E49" s="81" t="s">
        <v>21</v>
      </c>
      <c r="F49" s="81" t="str">
        <f>IF(E49&lt;&gt;"", IFERROR(VLOOKUP(E49, Dashboard!$B52:$F57, 5, FALSE), ""), "")</f>
        <v/>
      </c>
      <c r="G49" s="82"/>
      <c r="H49" s="69"/>
      <c r="I49" s="69"/>
      <c r="J49" s="82"/>
      <c r="K49" s="82"/>
      <c r="L49" s="43"/>
      <c r="M49" s="43"/>
      <c r="N49" s="82"/>
      <c r="O49" s="82"/>
      <c r="P49" s="43"/>
      <c r="Q49" s="43" t="s">
        <v>21</v>
      </c>
      <c r="R49" s="82"/>
      <c r="S49" s="69"/>
      <c r="T49" s="82"/>
    </row>
    <row r="50" spans="2:20" ht="60" customHeight="1" x14ac:dyDescent="0.35">
      <c r="B50" s="41" t="s">
        <v>820</v>
      </c>
      <c r="C50" s="80"/>
      <c r="D50" s="81"/>
      <c r="E50" s="81" t="s">
        <v>21</v>
      </c>
      <c r="F50" s="81" t="str">
        <f>IF(E50&lt;&gt;"", IFERROR(VLOOKUP(E50, Dashboard!$B52:$F57, 5, FALSE), ""), "")</f>
        <v/>
      </c>
      <c r="G50" s="82"/>
      <c r="H50" s="69"/>
      <c r="I50" s="69"/>
      <c r="J50" s="82"/>
      <c r="K50" s="82"/>
      <c r="L50" s="43"/>
      <c r="M50" s="43"/>
      <c r="N50" s="82"/>
      <c r="O50" s="82"/>
      <c r="P50" s="43"/>
      <c r="Q50" s="43" t="s">
        <v>21</v>
      </c>
      <c r="R50" s="82"/>
      <c r="S50" s="69"/>
      <c r="T50" s="82"/>
    </row>
    <row r="51" spans="2:20" ht="60" customHeight="1" x14ac:dyDescent="0.35">
      <c r="B51" s="41" t="s">
        <v>821</v>
      </c>
      <c r="C51" s="80"/>
      <c r="D51" s="81"/>
      <c r="E51" s="81" t="s">
        <v>21</v>
      </c>
      <c r="F51" s="81" t="str">
        <f>IF(E51&lt;&gt;"", IFERROR(VLOOKUP(E51, Dashboard!$B52:$F57, 5, FALSE), ""), "")</f>
        <v/>
      </c>
      <c r="G51" s="82"/>
      <c r="H51" s="69"/>
      <c r="I51" s="69"/>
      <c r="J51" s="82"/>
      <c r="K51" s="82"/>
      <c r="L51" s="43"/>
      <c r="M51" s="43"/>
      <c r="N51" s="82"/>
      <c r="O51" s="82"/>
      <c r="P51" s="43"/>
      <c r="Q51" s="43" t="s">
        <v>21</v>
      </c>
      <c r="R51" s="82"/>
      <c r="S51" s="69"/>
      <c r="T51" s="82"/>
    </row>
    <row r="52" spans="2:20" ht="60" customHeight="1" x14ac:dyDescent="0.35">
      <c r="B52" s="41" t="s">
        <v>822</v>
      </c>
      <c r="C52" s="80"/>
      <c r="D52" s="81"/>
      <c r="E52" s="81" t="s">
        <v>21</v>
      </c>
      <c r="F52" s="81" t="str">
        <f>IF(E52&lt;&gt;"", IFERROR(VLOOKUP(E52, Dashboard!$B52:$F57, 5, FALSE), ""), "")</f>
        <v/>
      </c>
      <c r="G52" s="82"/>
      <c r="H52" s="69"/>
      <c r="I52" s="69"/>
      <c r="J52" s="82"/>
      <c r="K52" s="82"/>
      <c r="L52" s="43"/>
      <c r="M52" s="43"/>
      <c r="N52" s="82"/>
      <c r="O52" s="82"/>
      <c r="P52" s="43"/>
      <c r="Q52" s="43" t="s">
        <v>21</v>
      </c>
      <c r="R52" s="82"/>
      <c r="S52" s="69"/>
      <c r="T52" s="82"/>
    </row>
    <row r="53" spans="2:20" ht="60" customHeight="1" x14ac:dyDescent="0.35">
      <c r="B53" s="41" t="s">
        <v>823</v>
      </c>
      <c r="C53" s="80"/>
      <c r="D53" s="81"/>
      <c r="E53" s="81" t="s">
        <v>21</v>
      </c>
      <c r="F53" s="81" t="str">
        <f>IF(E53&lt;&gt;"", IFERROR(VLOOKUP(E53, Dashboard!$B52:$F57, 5, FALSE), ""), "")</f>
        <v/>
      </c>
      <c r="G53" s="82"/>
      <c r="H53" s="69"/>
      <c r="I53" s="69"/>
      <c r="J53" s="82"/>
      <c r="K53" s="82"/>
      <c r="L53" s="43"/>
      <c r="M53" s="43"/>
      <c r="N53" s="82"/>
      <c r="O53" s="82"/>
      <c r="P53" s="43"/>
      <c r="Q53" s="43" t="s">
        <v>21</v>
      </c>
      <c r="R53" s="82"/>
      <c r="S53" s="69"/>
      <c r="T53" s="82"/>
    </row>
    <row r="54" spans="2:20" ht="60" customHeight="1" x14ac:dyDescent="0.35">
      <c r="B54" s="41" t="s">
        <v>824</v>
      </c>
      <c r="C54" s="80"/>
      <c r="D54" s="81"/>
      <c r="E54" s="81" t="s">
        <v>21</v>
      </c>
      <c r="F54" s="81" t="str">
        <f>IF(E54&lt;&gt;"", IFERROR(VLOOKUP(E54, Dashboard!$B52:$F57,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575</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825</v>
      </c>
      <c r="B1" s="107" t="s">
        <v>0</v>
      </c>
      <c r="C1" s="107" t="s">
        <v>826</v>
      </c>
      <c r="D1" s="107" t="s">
        <v>10</v>
      </c>
      <c r="E1" s="107" t="s">
        <v>827</v>
      </c>
      <c r="F1" s="107" t="s">
        <v>828</v>
      </c>
      <c r="G1" s="107" t="s">
        <v>829</v>
      </c>
      <c r="H1" s="107" t="s">
        <v>830</v>
      </c>
      <c r="I1" s="107" t="s">
        <v>831</v>
      </c>
      <c r="J1" s="107" t="s">
        <v>832</v>
      </c>
      <c r="K1" s="107" t="s">
        <v>833</v>
      </c>
      <c r="L1" s="107" t="s">
        <v>834</v>
      </c>
      <c r="M1" s="107" t="s">
        <v>835</v>
      </c>
      <c r="N1" s="107" t="s">
        <v>836</v>
      </c>
      <c r="O1" s="107" t="s">
        <v>837</v>
      </c>
      <c r="P1" s="107" t="s">
        <v>838</v>
      </c>
      <c r="Q1" s="107" t="s">
        <v>839</v>
      </c>
      <c r="R1" s="107" t="s">
        <v>840</v>
      </c>
      <c r="S1" s="107" t="s">
        <v>841</v>
      </c>
      <c r="T1" s="107" t="s">
        <v>842</v>
      </c>
      <c r="U1" s="107" t="s">
        <v>843</v>
      </c>
      <c r="V1" s="107" t="s">
        <v>844</v>
      </c>
      <c r="W1" s="107" t="s">
        <v>845</v>
      </c>
      <c r="X1" s="107" t="s">
        <v>846</v>
      </c>
      <c r="Y1" s="107" t="s">
        <v>847</v>
      </c>
      <c r="Z1" s="107" t="s">
        <v>848</v>
      </c>
      <c r="AA1" s="107" t="s">
        <v>849</v>
      </c>
      <c r="AB1" s="107" t="s">
        <v>850</v>
      </c>
      <c r="AC1" s="107" t="s">
        <v>851</v>
      </c>
      <c r="AD1" s="107" t="s">
        <v>852</v>
      </c>
      <c r="AE1" s="107" t="s">
        <v>853</v>
      </c>
      <c r="AF1" s="107" t="s">
        <v>854</v>
      </c>
      <c r="AG1" s="107" t="s">
        <v>855</v>
      </c>
      <c r="AH1" s="107" t="s">
        <v>856</v>
      </c>
      <c r="AI1" s="107" t="s">
        <v>857</v>
      </c>
      <c r="AJ1" s="107" t="s">
        <v>858</v>
      </c>
      <c r="AK1" s="107" t="s">
        <v>859</v>
      </c>
      <c r="AL1" s="107" t="s">
        <v>860</v>
      </c>
      <c r="AM1" s="107" t="s">
        <v>861</v>
      </c>
      <c r="AN1" s="107" t="s">
        <v>862</v>
      </c>
      <c r="AO1" s="107" t="s">
        <v>863</v>
      </c>
      <c r="AP1" s="107" t="s">
        <v>864</v>
      </c>
      <c r="AQ1" s="107" t="s">
        <v>865</v>
      </c>
      <c r="AR1" s="107" t="s">
        <v>866</v>
      </c>
      <c r="AS1" s="107" t="s">
        <v>867</v>
      </c>
      <c r="AT1" s="107" t="s">
        <v>868</v>
      </c>
      <c r="AU1" s="107" t="s">
        <v>869</v>
      </c>
      <c r="AV1" s="107" t="s">
        <v>870</v>
      </c>
      <c r="AW1" s="108" t="s">
        <v>871</v>
      </c>
    </row>
    <row r="2" spans="1:49" ht="60" customHeight="1" outlineLevel="1" x14ac:dyDescent="0.35">
      <c r="A2" s="100" t="s">
        <v>872</v>
      </c>
      <c r="B2" s="83">
        <v>1</v>
      </c>
      <c r="C2" s="85" t="s">
        <v>21</v>
      </c>
      <c r="D2" s="87" t="s">
        <v>873</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872</v>
      </c>
      <c r="B3" s="84" t="s">
        <v>874</v>
      </c>
      <c r="C3" s="86" t="s">
        <v>875</v>
      </c>
      <c r="D3" s="88" t="s">
        <v>876</v>
      </c>
      <c r="E3" s="88" t="s">
        <v>877</v>
      </c>
      <c r="F3" s="89" t="s">
        <v>878</v>
      </c>
      <c r="G3" s="89" t="s">
        <v>879</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872</v>
      </c>
      <c r="B4" s="84" t="s">
        <v>880</v>
      </c>
      <c r="C4" s="86" t="s">
        <v>881</v>
      </c>
      <c r="D4" s="88" t="s">
        <v>882</v>
      </c>
      <c r="E4" s="88" t="s">
        <v>883</v>
      </c>
      <c r="F4" s="89" t="s">
        <v>878</v>
      </c>
      <c r="G4" s="89" t="s">
        <v>884</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872</v>
      </c>
      <c r="B5" s="84" t="s">
        <v>885</v>
      </c>
      <c r="C5" s="86" t="s">
        <v>886</v>
      </c>
      <c r="D5" s="88" t="s">
        <v>887</v>
      </c>
      <c r="E5" s="88" t="s">
        <v>888</v>
      </c>
      <c r="F5" s="89" t="s">
        <v>878</v>
      </c>
      <c r="G5" s="89" t="s">
        <v>889</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872</v>
      </c>
      <c r="B6" s="84" t="s">
        <v>890</v>
      </c>
      <c r="C6" s="86" t="s">
        <v>891</v>
      </c>
      <c r="D6" s="88" t="s">
        <v>892</v>
      </c>
      <c r="E6" s="88" t="s">
        <v>893</v>
      </c>
      <c r="F6" s="89" t="s">
        <v>878</v>
      </c>
      <c r="G6" s="89" t="s">
        <v>879</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872</v>
      </c>
      <c r="B7" s="84" t="s">
        <v>894</v>
      </c>
      <c r="C7" s="86" t="s">
        <v>895</v>
      </c>
      <c r="D7" s="88" t="s">
        <v>896</v>
      </c>
      <c r="E7" s="88" t="s">
        <v>897</v>
      </c>
      <c r="F7" s="89" t="s">
        <v>878</v>
      </c>
      <c r="G7" s="89" t="s">
        <v>889</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898</v>
      </c>
      <c r="B8" s="83">
        <v>2</v>
      </c>
      <c r="C8" s="85" t="s">
        <v>21</v>
      </c>
      <c r="D8" s="87" t="s">
        <v>899</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898</v>
      </c>
      <c r="B9" s="84" t="s">
        <v>900</v>
      </c>
      <c r="C9" s="86" t="s">
        <v>901</v>
      </c>
      <c r="D9" s="88" t="s">
        <v>902</v>
      </c>
      <c r="E9" s="88" t="s">
        <v>903</v>
      </c>
      <c r="F9" s="89" t="s">
        <v>904</v>
      </c>
      <c r="G9" s="89" t="s">
        <v>879</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898</v>
      </c>
      <c r="B10" s="84" t="s">
        <v>905</v>
      </c>
      <c r="C10" s="86" t="s">
        <v>906</v>
      </c>
      <c r="D10" s="88" t="s">
        <v>907</v>
      </c>
      <c r="E10" s="88" t="s">
        <v>908</v>
      </c>
      <c r="F10" s="89" t="s">
        <v>904</v>
      </c>
      <c r="G10" s="89" t="s">
        <v>879</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898</v>
      </c>
      <c r="B11" s="84" t="s">
        <v>909</v>
      </c>
      <c r="C11" s="86" t="s">
        <v>910</v>
      </c>
      <c r="D11" s="88" t="s">
        <v>911</v>
      </c>
      <c r="E11" s="88" t="s">
        <v>912</v>
      </c>
      <c r="F11" s="89" t="s">
        <v>904</v>
      </c>
      <c r="G11" s="89" t="s">
        <v>884</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898</v>
      </c>
      <c r="B12" s="84" t="s">
        <v>913</v>
      </c>
      <c r="C12" s="86" t="s">
        <v>914</v>
      </c>
      <c r="D12" s="88" t="s">
        <v>915</v>
      </c>
      <c r="E12" s="88" t="s">
        <v>916</v>
      </c>
      <c r="F12" s="89" t="s">
        <v>904</v>
      </c>
      <c r="G12" s="89" t="s">
        <v>889</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898</v>
      </c>
      <c r="B13" s="84" t="s">
        <v>917</v>
      </c>
      <c r="C13" s="86" t="s">
        <v>918</v>
      </c>
      <c r="D13" s="88" t="s">
        <v>919</v>
      </c>
      <c r="E13" s="88" t="s">
        <v>920</v>
      </c>
      <c r="F13" s="89" t="s">
        <v>904</v>
      </c>
      <c r="G13" s="89" t="s">
        <v>921</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898</v>
      </c>
      <c r="B14" s="84" t="s">
        <v>922</v>
      </c>
      <c r="C14" s="86" t="s">
        <v>923</v>
      </c>
      <c r="D14" s="88" t="s">
        <v>924</v>
      </c>
      <c r="E14" s="88" t="s">
        <v>925</v>
      </c>
      <c r="F14" s="89" t="s">
        <v>904</v>
      </c>
      <c r="G14" s="89" t="s">
        <v>921</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898</v>
      </c>
      <c r="B15" s="84" t="s">
        <v>926</v>
      </c>
      <c r="C15" s="86" t="s">
        <v>927</v>
      </c>
      <c r="D15" s="88" t="s">
        <v>928</v>
      </c>
      <c r="E15" s="88" t="s">
        <v>929</v>
      </c>
      <c r="F15" s="89" t="s">
        <v>904</v>
      </c>
      <c r="G15" s="89" t="s">
        <v>921</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930</v>
      </c>
      <c r="B16" s="83">
        <v>3</v>
      </c>
      <c r="C16" s="85" t="s">
        <v>21</v>
      </c>
      <c r="D16" s="87" t="s">
        <v>931</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930</v>
      </c>
      <c r="B17" s="84" t="s">
        <v>932</v>
      </c>
      <c r="C17" s="86" t="s">
        <v>933</v>
      </c>
      <c r="D17" s="88" t="s">
        <v>934</v>
      </c>
      <c r="E17" s="88" t="s">
        <v>935</v>
      </c>
      <c r="F17" s="89" t="s">
        <v>936</v>
      </c>
      <c r="G17" s="89" t="s">
        <v>937</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930</v>
      </c>
      <c r="B18" s="84" t="s">
        <v>938</v>
      </c>
      <c r="C18" s="86" t="s">
        <v>939</v>
      </c>
      <c r="D18" s="88" t="s">
        <v>940</v>
      </c>
      <c r="E18" s="88" t="s">
        <v>941</v>
      </c>
      <c r="F18" s="89" t="s">
        <v>936</v>
      </c>
      <c r="G18" s="89" t="s">
        <v>879</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930</v>
      </c>
      <c r="B19" s="84" t="s">
        <v>942</v>
      </c>
      <c r="C19" s="86" t="s">
        <v>943</v>
      </c>
      <c r="D19" s="88" t="s">
        <v>944</v>
      </c>
      <c r="E19" s="88" t="s">
        <v>945</v>
      </c>
      <c r="F19" s="89" t="s">
        <v>936</v>
      </c>
      <c r="G19" s="89" t="s">
        <v>921</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930</v>
      </c>
      <c r="B20" s="84" t="s">
        <v>946</v>
      </c>
      <c r="C20" s="86" t="s">
        <v>947</v>
      </c>
      <c r="D20" s="88" t="s">
        <v>948</v>
      </c>
      <c r="E20" s="88" t="s">
        <v>949</v>
      </c>
      <c r="F20" s="89" t="s">
        <v>936</v>
      </c>
      <c r="G20" s="89" t="s">
        <v>921</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930</v>
      </c>
      <c r="B21" s="84" t="s">
        <v>950</v>
      </c>
      <c r="C21" s="86" t="s">
        <v>951</v>
      </c>
      <c r="D21" s="88" t="s">
        <v>952</v>
      </c>
      <c r="E21" s="88" t="s">
        <v>953</v>
      </c>
      <c r="F21" s="89" t="s">
        <v>936</v>
      </c>
      <c r="G21" s="89" t="s">
        <v>921</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930</v>
      </c>
      <c r="B22" s="84" t="s">
        <v>954</v>
      </c>
      <c r="C22" s="86" t="s">
        <v>955</v>
      </c>
      <c r="D22" s="88" t="s">
        <v>956</v>
      </c>
      <c r="E22" s="88" t="s">
        <v>957</v>
      </c>
      <c r="F22" s="89" t="s">
        <v>936</v>
      </c>
      <c r="G22" s="89" t="s">
        <v>921</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930</v>
      </c>
      <c r="B23" s="84" t="s">
        <v>958</v>
      </c>
      <c r="C23" s="86" t="s">
        <v>959</v>
      </c>
      <c r="D23" s="88" t="s">
        <v>960</v>
      </c>
      <c r="E23" s="88" t="s">
        <v>961</v>
      </c>
      <c r="F23" s="89" t="s">
        <v>936</v>
      </c>
      <c r="G23" s="89" t="s">
        <v>879</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930</v>
      </c>
      <c r="B24" s="84" t="s">
        <v>962</v>
      </c>
      <c r="C24" s="86" t="s">
        <v>963</v>
      </c>
      <c r="D24" s="88" t="s">
        <v>964</v>
      </c>
      <c r="E24" s="88" t="s">
        <v>965</v>
      </c>
      <c r="F24" s="89" t="s">
        <v>936</v>
      </c>
      <c r="G24" s="89" t="s">
        <v>879</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930</v>
      </c>
      <c r="B25" s="84" t="s">
        <v>966</v>
      </c>
      <c r="C25" s="86" t="s">
        <v>967</v>
      </c>
      <c r="D25" s="88" t="s">
        <v>968</v>
      </c>
      <c r="E25" s="88" t="s">
        <v>969</v>
      </c>
      <c r="F25" s="89" t="s">
        <v>936</v>
      </c>
      <c r="G25" s="89" t="s">
        <v>921</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930</v>
      </c>
      <c r="B26" s="84" t="s">
        <v>970</v>
      </c>
      <c r="C26" s="86" t="s">
        <v>971</v>
      </c>
      <c r="D26" s="88" t="s">
        <v>972</v>
      </c>
      <c r="E26" s="88" t="s">
        <v>973</v>
      </c>
      <c r="F26" s="89" t="s">
        <v>936</v>
      </c>
      <c r="G26" s="89" t="s">
        <v>921</v>
      </c>
      <c r="H26" s="89">
        <v>2</v>
      </c>
      <c r="I26" s="91">
        <f>IF(COUNTIF(J26:AW26,"&lt;&gt;")=0,"",SUMPRODUCT(((Recommendations[ImplStatus]="Implemented")+(Recommendations[ImplStatus]="Compensated"))*ISNUMBER(MATCH(Recommendations[Id],J26:AW26,0)))/COUNTIF(J26:AW26,"&lt;&gt;"))</f>
        <v>0</v>
      </c>
      <c r="J26" s="93" t="s">
        <v>25</v>
      </c>
      <c r="K26" s="93" t="s">
        <v>87</v>
      </c>
      <c r="L26" s="93" t="s">
        <v>367</v>
      </c>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930</v>
      </c>
      <c r="B27" s="84" t="s">
        <v>974</v>
      </c>
      <c r="C27" s="86" t="s">
        <v>975</v>
      </c>
      <c r="D27" s="88" t="s">
        <v>976</v>
      </c>
      <c r="E27" s="88" t="s">
        <v>977</v>
      </c>
      <c r="F27" s="89" t="s">
        <v>936</v>
      </c>
      <c r="G27" s="89" t="s">
        <v>921</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930</v>
      </c>
      <c r="B28" s="84" t="s">
        <v>978</v>
      </c>
      <c r="C28" s="86" t="s">
        <v>979</v>
      </c>
      <c r="D28" s="88" t="s">
        <v>980</v>
      </c>
      <c r="E28" s="88" t="s">
        <v>981</v>
      </c>
      <c r="F28" s="89" t="s">
        <v>936</v>
      </c>
      <c r="G28" s="89" t="s">
        <v>921</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930</v>
      </c>
      <c r="B29" s="84" t="s">
        <v>982</v>
      </c>
      <c r="C29" s="86" t="s">
        <v>983</v>
      </c>
      <c r="D29" s="88" t="s">
        <v>984</v>
      </c>
      <c r="E29" s="88" t="s">
        <v>985</v>
      </c>
      <c r="F29" s="89" t="s">
        <v>936</v>
      </c>
      <c r="G29" s="89" t="s">
        <v>921</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930</v>
      </c>
      <c r="B30" s="84" t="s">
        <v>986</v>
      </c>
      <c r="C30" s="86" t="s">
        <v>987</v>
      </c>
      <c r="D30" s="88" t="s">
        <v>988</v>
      </c>
      <c r="E30" s="88" t="s">
        <v>989</v>
      </c>
      <c r="F30" s="89" t="s">
        <v>936</v>
      </c>
      <c r="G30" s="89" t="s">
        <v>889</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990</v>
      </c>
      <c r="B31" s="83">
        <v>4</v>
      </c>
      <c r="C31" s="85" t="s">
        <v>21</v>
      </c>
      <c r="D31" s="87" t="s">
        <v>991</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990</v>
      </c>
      <c r="B32" s="84" t="s">
        <v>992</v>
      </c>
      <c r="C32" s="86" t="s">
        <v>993</v>
      </c>
      <c r="D32" s="88" t="s">
        <v>994</v>
      </c>
      <c r="E32" s="88" t="s">
        <v>995</v>
      </c>
      <c r="F32" s="89" t="s">
        <v>996</v>
      </c>
      <c r="G32" s="89" t="s">
        <v>937</v>
      </c>
      <c r="H32" s="89">
        <v>1</v>
      </c>
      <c r="I32" s="91">
        <f>IF(COUNTIF(J32:AW32,"&lt;&gt;")=0,"",SUMPRODUCT(((Recommendations[ImplStatus]="Implemented")+(Recommendations[ImplStatus]="Compensated"))*ISNUMBER(MATCH(Recommendations[Id],J32:AW32,0)))/COUNTIF(J32:AW32,"&lt;&gt;"))</f>
        <v>0</v>
      </c>
      <c r="J32" s="93" t="s">
        <v>97</v>
      </c>
      <c r="K32" s="93" t="s">
        <v>392</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990</v>
      </c>
      <c r="B33" s="84" t="s">
        <v>997</v>
      </c>
      <c r="C33" s="86" t="s">
        <v>998</v>
      </c>
      <c r="D33" s="88" t="s">
        <v>999</v>
      </c>
      <c r="E33" s="88" t="s">
        <v>1000</v>
      </c>
      <c r="F33" s="89" t="s">
        <v>996</v>
      </c>
      <c r="G33" s="89" t="s">
        <v>937</v>
      </c>
      <c r="H33" s="89">
        <v>1</v>
      </c>
      <c r="I33" s="91">
        <f>IF(COUNTIF(J33:AW33,"&lt;&gt;")=0,"",SUMPRODUCT(((Recommendations[ImplStatus]="Implemented")+(Recommendations[ImplStatus]="Compensated"))*ISNUMBER(MATCH(Recommendations[Id],J33:AW33,0)))/COUNTIF(J33:AW33,"&lt;&gt;"))</f>
        <v>0</v>
      </c>
      <c r="J33" s="93" t="s">
        <v>97</v>
      </c>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990</v>
      </c>
      <c r="B34" s="84" t="s">
        <v>1001</v>
      </c>
      <c r="C34" s="86" t="s">
        <v>1002</v>
      </c>
      <c r="D34" s="88" t="s">
        <v>1003</v>
      </c>
      <c r="E34" s="88" t="s">
        <v>1004</v>
      </c>
      <c r="F34" s="89" t="s">
        <v>878</v>
      </c>
      <c r="G34" s="89" t="s">
        <v>921</v>
      </c>
      <c r="H34" s="89">
        <v>1</v>
      </c>
      <c r="I34" s="91">
        <f>IF(COUNTIF(J34:AW34,"&lt;&gt;")=0,"",SUMPRODUCT(((Recommendations[ImplStatus]="Implemented")+(Recommendations[ImplStatus]="Compensated"))*ISNUMBER(MATCH(Recommendations[Id],J34:AW34,0)))/COUNTIF(J34:AW34,"&lt;&gt;"))</f>
        <v>0</v>
      </c>
      <c r="J34" s="93" t="s">
        <v>42</v>
      </c>
      <c r="K34" s="93" t="s">
        <v>169</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990</v>
      </c>
      <c r="B35" s="84" t="s">
        <v>1005</v>
      </c>
      <c r="C35" s="86" t="s">
        <v>1006</v>
      </c>
      <c r="D35" s="88" t="s">
        <v>1007</v>
      </c>
      <c r="E35" s="88" t="s">
        <v>1008</v>
      </c>
      <c r="F35" s="89" t="s">
        <v>878</v>
      </c>
      <c r="G35" s="89" t="s">
        <v>921</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990</v>
      </c>
      <c r="B36" s="84" t="s">
        <v>1009</v>
      </c>
      <c r="C36" s="86" t="s">
        <v>1010</v>
      </c>
      <c r="D36" s="88" t="s">
        <v>1011</v>
      </c>
      <c r="E36" s="88" t="s">
        <v>1012</v>
      </c>
      <c r="F36" s="89" t="s">
        <v>878</v>
      </c>
      <c r="G36" s="89" t="s">
        <v>921</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990</v>
      </c>
      <c r="B37" s="84" t="s">
        <v>1013</v>
      </c>
      <c r="C37" s="86" t="s">
        <v>1014</v>
      </c>
      <c r="D37" s="88" t="s">
        <v>1015</v>
      </c>
      <c r="E37" s="88" t="s">
        <v>1016</v>
      </c>
      <c r="F37" s="89" t="s">
        <v>878</v>
      </c>
      <c r="G37" s="89" t="s">
        <v>921</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990</v>
      </c>
      <c r="B38" s="84" t="s">
        <v>1017</v>
      </c>
      <c r="C38" s="86" t="s">
        <v>1018</v>
      </c>
      <c r="D38" s="88" t="s">
        <v>1019</v>
      </c>
      <c r="E38" s="88" t="s">
        <v>1020</v>
      </c>
      <c r="F38" s="89" t="s">
        <v>1021</v>
      </c>
      <c r="G38" s="89" t="s">
        <v>921</v>
      </c>
      <c r="H38" s="89">
        <v>1</v>
      </c>
      <c r="I38" s="91">
        <f>IF(COUNTIF(J38:AW38,"&lt;&gt;")=0,"",SUMPRODUCT(((Recommendations[ImplStatus]="Implemented")+(Recommendations[ImplStatus]="Compensated"))*ISNUMBER(MATCH(Recommendations[Id],J38:AW38,0)))/COUNTIF(J38:AW38,"&lt;&gt;"))</f>
        <v>0</v>
      </c>
      <c r="J38" s="93" t="s">
        <v>139</v>
      </c>
      <c r="K38" s="93" t="s">
        <v>159</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990</v>
      </c>
      <c r="B39" s="84" t="s">
        <v>1022</v>
      </c>
      <c r="C39" s="86" t="s">
        <v>1023</v>
      </c>
      <c r="D39" s="88" t="s">
        <v>1024</v>
      </c>
      <c r="E39" s="88" t="s">
        <v>1025</v>
      </c>
      <c r="F39" s="89" t="s">
        <v>878</v>
      </c>
      <c r="G39" s="89" t="s">
        <v>921</v>
      </c>
      <c r="H39" s="89">
        <v>2</v>
      </c>
      <c r="I39" s="91">
        <f>IF(COUNTIF(J39:AW39,"&lt;&gt;")=0,"",SUMPRODUCT(((Recommendations[ImplStatus]="Implemented")+(Recommendations[ImplStatus]="Compensated"))*ISNUMBER(MATCH(Recommendations[Id],J39:AW39,0)))/COUNTIF(J39:AW39,"&lt;&gt;"))</f>
        <v>0</v>
      </c>
      <c r="J39" s="93" t="s">
        <v>103</v>
      </c>
      <c r="K39" s="93" t="s">
        <v>109</v>
      </c>
      <c r="L39" s="93" t="s">
        <v>114</v>
      </c>
      <c r="M39" s="93" t="s">
        <v>119</v>
      </c>
      <c r="N39" s="93" t="s">
        <v>124</v>
      </c>
      <c r="O39" s="93" t="s">
        <v>129</v>
      </c>
      <c r="P39" s="93" t="s">
        <v>134</v>
      </c>
      <c r="Q39" s="93" t="s">
        <v>231</v>
      </c>
      <c r="R39" s="93" t="s">
        <v>241</v>
      </c>
      <c r="S39" s="93" t="s">
        <v>246</v>
      </c>
      <c r="T39" s="93" t="s">
        <v>286</v>
      </c>
      <c r="U39" s="93" t="s">
        <v>296</v>
      </c>
      <c r="V39" s="93" t="s">
        <v>302</v>
      </c>
      <c r="W39" s="93" t="s">
        <v>307</v>
      </c>
      <c r="X39" s="93" t="s">
        <v>535</v>
      </c>
      <c r="Y39" s="93" t="s">
        <v>540</v>
      </c>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990</v>
      </c>
      <c r="B40" s="84" t="s">
        <v>1026</v>
      </c>
      <c r="C40" s="86" t="s">
        <v>1027</v>
      </c>
      <c r="D40" s="88" t="s">
        <v>1028</v>
      </c>
      <c r="E40" s="88" t="s">
        <v>1029</v>
      </c>
      <c r="F40" s="89" t="s">
        <v>878</v>
      </c>
      <c r="G40" s="89" t="s">
        <v>921</v>
      </c>
      <c r="H40" s="89">
        <v>2</v>
      </c>
      <c r="I40" s="91">
        <f>IF(COUNTIF(J40:AW40,"&lt;&gt;")=0,"",SUMPRODUCT(((Recommendations[ImplStatus]="Implemented")+(Recommendations[ImplStatus]="Compensated"))*ISNUMBER(MATCH(Recommendations[Id],J40:AW40,0)))/COUNTIF(J40:AW40,"&lt;&gt;"))</f>
        <v>0</v>
      </c>
      <c r="J40" s="93" t="s">
        <v>47</v>
      </c>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990</v>
      </c>
      <c r="B41" s="84" t="s">
        <v>1030</v>
      </c>
      <c r="C41" s="86" t="s">
        <v>1031</v>
      </c>
      <c r="D41" s="88" t="s">
        <v>1032</v>
      </c>
      <c r="E41" s="88" t="s">
        <v>1033</v>
      </c>
      <c r="F41" s="89" t="s">
        <v>878</v>
      </c>
      <c r="G41" s="89" t="s">
        <v>921</v>
      </c>
      <c r="H41" s="89">
        <v>2</v>
      </c>
      <c r="I41" s="91">
        <f>IF(COUNTIF(J41:AW41,"&lt;&gt;")=0,"",SUMPRODUCT(((Recommendations[ImplStatus]="Implemented")+(Recommendations[ImplStatus]="Compensated"))*ISNUMBER(MATCH(Recommendations[Id],J41:AW41,0)))/COUNTIF(J41:AW41,"&lt;&gt;"))</f>
        <v>0</v>
      </c>
      <c r="J41" s="93" t="s">
        <v>226</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990</v>
      </c>
      <c r="B42" s="84" t="s">
        <v>1034</v>
      </c>
      <c r="C42" s="86" t="s">
        <v>1035</v>
      </c>
      <c r="D42" s="88" t="s">
        <v>1036</v>
      </c>
      <c r="E42" s="88" t="s">
        <v>1037</v>
      </c>
      <c r="F42" s="89" t="s">
        <v>936</v>
      </c>
      <c r="G42" s="89" t="s">
        <v>921</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990</v>
      </c>
      <c r="B43" s="84" t="s">
        <v>1038</v>
      </c>
      <c r="C43" s="86" t="s">
        <v>1039</v>
      </c>
      <c r="D43" s="88" t="s">
        <v>1040</v>
      </c>
      <c r="E43" s="88" t="s">
        <v>1041</v>
      </c>
      <c r="F43" s="89" t="s">
        <v>936</v>
      </c>
      <c r="G43" s="89" t="s">
        <v>921</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1042</v>
      </c>
      <c r="B44" s="83">
        <v>5</v>
      </c>
      <c r="C44" s="85" t="s">
        <v>21</v>
      </c>
      <c r="D44" s="87" t="s">
        <v>1043</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1042</v>
      </c>
      <c r="B45" s="84" t="s">
        <v>1044</v>
      </c>
      <c r="C45" s="86" t="s">
        <v>1045</v>
      </c>
      <c r="D45" s="88" t="s">
        <v>1046</v>
      </c>
      <c r="E45" s="88" t="s">
        <v>1047</v>
      </c>
      <c r="F45" s="89" t="s">
        <v>1021</v>
      </c>
      <c r="G45" s="89" t="s">
        <v>879</v>
      </c>
      <c r="H45" s="89">
        <v>1</v>
      </c>
      <c r="I45" s="91">
        <f>IF(COUNTIF(J45:AW45,"&lt;&gt;")=0,"",SUMPRODUCT(((Recommendations[ImplStatus]="Implemented")+(Recommendations[ImplStatus]="Compensated"))*ISNUMBER(MATCH(Recommendations[Id],J45:AW45,0)))/COUNTIF(J45:AW45,"&lt;&gt;"))</f>
        <v>0</v>
      </c>
      <c r="J45" s="93" t="s">
        <v>62</v>
      </c>
      <c r="K45" s="93" t="s">
        <v>67</v>
      </c>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1042</v>
      </c>
      <c r="B46" s="84" t="s">
        <v>1048</v>
      </c>
      <c r="C46" s="86" t="s">
        <v>1049</v>
      </c>
      <c r="D46" s="88" t="s">
        <v>1050</v>
      </c>
      <c r="E46" s="88" t="s">
        <v>1051</v>
      </c>
      <c r="F46" s="89" t="s">
        <v>1021</v>
      </c>
      <c r="G46" s="89" t="s">
        <v>921</v>
      </c>
      <c r="H46" s="89">
        <v>1</v>
      </c>
      <c r="I46" s="91">
        <f>IF(COUNTIF(J46:AW46,"&lt;&gt;")=0,"",SUMPRODUCT(((Recommendations[ImplStatus]="Implemented")+(Recommendations[ImplStatus]="Compensated"))*ISNUMBER(MATCH(Recommendations[Id],J46:AW46,0)))/COUNTIF(J46:AW46,"&lt;&gt;"))</f>
        <v>0</v>
      </c>
      <c r="J46" s="93" t="s">
        <v>31</v>
      </c>
      <c r="K46" s="93" t="s">
        <v>82</v>
      </c>
      <c r="L46" s="93" t="s">
        <v>205</v>
      </c>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1042</v>
      </c>
      <c r="B47" s="84" t="s">
        <v>1052</v>
      </c>
      <c r="C47" s="86" t="s">
        <v>1053</v>
      </c>
      <c r="D47" s="88" t="s">
        <v>1054</v>
      </c>
      <c r="E47" s="88" t="s">
        <v>1055</v>
      </c>
      <c r="F47" s="89" t="s">
        <v>1021</v>
      </c>
      <c r="G47" s="89" t="s">
        <v>921</v>
      </c>
      <c r="H47" s="89">
        <v>1</v>
      </c>
      <c r="I47" s="91">
        <f>IF(COUNTIF(J47:AW47,"&lt;&gt;")=0,"",SUMPRODUCT(((Recommendations[ImplStatus]="Implemented")+(Recommendations[ImplStatus]="Compensated"))*ISNUMBER(MATCH(Recommendations[Id],J47:AW47,0)))/COUNTIF(J47:AW47,"&lt;&gt;"))</f>
        <v>0</v>
      </c>
      <c r="J47" s="93" t="s">
        <v>77</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1042</v>
      </c>
      <c r="B48" s="84" t="s">
        <v>1056</v>
      </c>
      <c r="C48" s="86" t="s">
        <v>1057</v>
      </c>
      <c r="D48" s="88" t="s">
        <v>1058</v>
      </c>
      <c r="E48" s="88" t="s">
        <v>1059</v>
      </c>
      <c r="F48" s="89" t="s">
        <v>1021</v>
      </c>
      <c r="G48" s="89" t="s">
        <v>921</v>
      </c>
      <c r="H48" s="89">
        <v>1</v>
      </c>
      <c r="I48" s="91">
        <f>IF(COUNTIF(J48:AW48,"&lt;&gt;")=0,"",SUMPRODUCT(((Recommendations[ImplStatus]="Implemented")+(Recommendations[ImplStatus]="Compensated"))*ISNUMBER(MATCH(Recommendations[Id],J48:AW48,0)))/COUNTIF(J48:AW48,"&lt;&gt;"))</f>
        <v>0</v>
      </c>
      <c r="J48" s="93" t="s">
        <v>72</v>
      </c>
      <c r="K48" s="93" t="s">
        <v>174</v>
      </c>
      <c r="L48" s="93" t="s">
        <v>382</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1042</v>
      </c>
      <c r="B49" s="84" t="s">
        <v>1060</v>
      </c>
      <c r="C49" s="86" t="s">
        <v>1061</v>
      </c>
      <c r="D49" s="88" t="s">
        <v>1062</v>
      </c>
      <c r="E49" s="88" t="s">
        <v>1063</v>
      </c>
      <c r="F49" s="89" t="s">
        <v>1021</v>
      </c>
      <c r="G49" s="89" t="s">
        <v>879</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1042</v>
      </c>
      <c r="B50" s="84" t="s">
        <v>1064</v>
      </c>
      <c r="C50" s="86" t="s">
        <v>1065</v>
      </c>
      <c r="D50" s="88" t="s">
        <v>1066</v>
      </c>
      <c r="E50" s="88" t="s">
        <v>1067</v>
      </c>
      <c r="F50" s="89" t="s">
        <v>1021</v>
      </c>
      <c r="G50" s="89" t="s">
        <v>937</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1068</v>
      </c>
      <c r="B51" s="83">
        <v>6</v>
      </c>
      <c r="C51" s="85" t="s">
        <v>21</v>
      </c>
      <c r="D51" s="87" t="s">
        <v>1069</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1068</v>
      </c>
      <c r="B52" s="84" t="s">
        <v>1070</v>
      </c>
      <c r="C52" s="86" t="s">
        <v>1071</v>
      </c>
      <c r="D52" s="88" t="s">
        <v>1072</v>
      </c>
      <c r="E52" s="88" t="s">
        <v>1073</v>
      </c>
      <c r="F52" s="89" t="s">
        <v>996</v>
      </c>
      <c r="G52" s="89" t="s">
        <v>937</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1068</v>
      </c>
      <c r="B53" s="84" t="s">
        <v>1074</v>
      </c>
      <c r="C53" s="86" t="s">
        <v>1075</v>
      </c>
      <c r="D53" s="88" t="s">
        <v>1076</v>
      </c>
      <c r="E53" s="88" t="s">
        <v>1077</v>
      </c>
      <c r="F53" s="89" t="s">
        <v>996</v>
      </c>
      <c r="G53" s="89" t="s">
        <v>937</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1068</v>
      </c>
      <c r="B54" s="84" t="s">
        <v>1078</v>
      </c>
      <c r="C54" s="86" t="s">
        <v>1079</v>
      </c>
      <c r="D54" s="88" t="s">
        <v>1080</v>
      </c>
      <c r="E54" s="88" t="s">
        <v>1081</v>
      </c>
      <c r="F54" s="89" t="s">
        <v>1021</v>
      </c>
      <c r="G54" s="89" t="s">
        <v>921</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1068</v>
      </c>
      <c r="B55" s="84" t="s">
        <v>1082</v>
      </c>
      <c r="C55" s="86" t="s">
        <v>1083</v>
      </c>
      <c r="D55" s="88" t="s">
        <v>1084</v>
      </c>
      <c r="E55" s="88" t="s">
        <v>1085</v>
      </c>
      <c r="F55" s="89" t="s">
        <v>1021</v>
      </c>
      <c r="G55" s="89" t="s">
        <v>921</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1068</v>
      </c>
      <c r="B56" s="84" t="s">
        <v>1086</v>
      </c>
      <c r="C56" s="86" t="s">
        <v>1087</v>
      </c>
      <c r="D56" s="88" t="s">
        <v>1088</v>
      </c>
      <c r="E56" s="88" t="s">
        <v>1089</v>
      </c>
      <c r="F56" s="89" t="s">
        <v>1021</v>
      </c>
      <c r="G56" s="89" t="s">
        <v>921</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1068</v>
      </c>
      <c r="B57" s="84" t="s">
        <v>1090</v>
      </c>
      <c r="C57" s="86" t="s">
        <v>1091</v>
      </c>
      <c r="D57" s="88" t="s">
        <v>1092</v>
      </c>
      <c r="E57" s="88" t="s">
        <v>1093</v>
      </c>
      <c r="F57" s="89" t="s">
        <v>904</v>
      </c>
      <c r="G57" s="89" t="s">
        <v>879</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1068</v>
      </c>
      <c r="B58" s="84" t="s">
        <v>1094</v>
      </c>
      <c r="C58" s="86" t="s">
        <v>1095</v>
      </c>
      <c r="D58" s="88" t="s">
        <v>1096</v>
      </c>
      <c r="E58" s="88" t="s">
        <v>1097</v>
      </c>
      <c r="F58" s="89" t="s">
        <v>1021</v>
      </c>
      <c r="G58" s="89" t="s">
        <v>921</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1068</v>
      </c>
      <c r="B59" s="84" t="s">
        <v>1098</v>
      </c>
      <c r="C59" s="86" t="s">
        <v>1099</v>
      </c>
      <c r="D59" s="88" t="s">
        <v>1100</v>
      </c>
      <c r="E59" s="88" t="s">
        <v>1101</v>
      </c>
      <c r="F59" s="89" t="s">
        <v>1021</v>
      </c>
      <c r="G59" s="89" t="s">
        <v>937</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1102</v>
      </c>
      <c r="B60" s="83">
        <v>7</v>
      </c>
      <c r="C60" s="85" t="s">
        <v>21</v>
      </c>
      <c r="D60" s="87" t="s">
        <v>1103</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1102</v>
      </c>
      <c r="B61" s="84" t="s">
        <v>1104</v>
      </c>
      <c r="C61" s="86" t="s">
        <v>1105</v>
      </c>
      <c r="D61" s="88" t="s">
        <v>1106</v>
      </c>
      <c r="E61" s="88" t="s">
        <v>1107</v>
      </c>
      <c r="F61" s="89" t="s">
        <v>996</v>
      </c>
      <c r="G61" s="89" t="s">
        <v>937</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1102</v>
      </c>
      <c r="B62" s="84" t="s">
        <v>1108</v>
      </c>
      <c r="C62" s="86" t="s">
        <v>1109</v>
      </c>
      <c r="D62" s="88" t="s">
        <v>1110</v>
      </c>
      <c r="E62" s="88" t="s">
        <v>1111</v>
      </c>
      <c r="F62" s="89" t="s">
        <v>996</v>
      </c>
      <c r="G62" s="89" t="s">
        <v>937</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1102</v>
      </c>
      <c r="B63" s="84" t="s">
        <v>1112</v>
      </c>
      <c r="C63" s="86" t="s">
        <v>1113</v>
      </c>
      <c r="D63" s="88" t="s">
        <v>1114</v>
      </c>
      <c r="E63" s="88" t="s">
        <v>1115</v>
      </c>
      <c r="F63" s="89" t="s">
        <v>904</v>
      </c>
      <c r="G63" s="89" t="s">
        <v>921</v>
      </c>
      <c r="H63" s="89">
        <v>1</v>
      </c>
      <c r="I63" s="91">
        <f>IF(COUNTIF(J63:AW63,"&lt;&gt;")=0,"",SUMPRODUCT(((Recommendations[ImplStatus]="Implemented")+(Recommendations[ImplStatus]="Compensated"))*ISNUMBER(MATCH(Recommendations[Id],J63:AW63,0)))/COUNTIF(J63:AW63,"&lt;&gt;"))</f>
        <v>0</v>
      </c>
      <c r="J63" s="93" t="s">
        <v>144</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1102</v>
      </c>
      <c r="B64" s="84" t="s">
        <v>1116</v>
      </c>
      <c r="C64" s="86" t="s">
        <v>1117</v>
      </c>
      <c r="D64" s="88" t="s">
        <v>1118</v>
      </c>
      <c r="E64" s="88" t="s">
        <v>1119</v>
      </c>
      <c r="F64" s="89" t="s">
        <v>904</v>
      </c>
      <c r="G64" s="89" t="s">
        <v>921</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1102</v>
      </c>
      <c r="B65" s="84" t="s">
        <v>1120</v>
      </c>
      <c r="C65" s="86" t="s">
        <v>1121</v>
      </c>
      <c r="D65" s="88" t="s">
        <v>1122</v>
      </c>
      <c r="E65" s="88" t="s">
        <v>1123</v>
      </c>
      <c r="F65" s="89" t="s">
        <v>904</v>
      </c>
      <c r="G65" s="89" t="s">
        <v>879</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1102</v>
      </c>
      <c r="B66" s="84" t="s">
        <v>1124</v>
      </c>
      <c r="C66" s="86" t="s">
        <v>1125</v>
      </c>
      <c r="D66" s="88" t="s">
        <v>1126</v>
      </c>
      <c r="E66" s="88" t="s">
        <v>1127</v>
      </c>
      <c r="F66" s="89" t="s">
        <v>904</v>
      </c>
      <c r="G66" s="89" t="s">
        <v>879</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1102</v>
      </c>
      <c r="B67" s="84" t="s">
        <v>1128</v>
      </c>
      <c r="C67" s="86" t="s">
        <v>1129</v>
      </c>
      <c r="D67" s="88" t="s">
        <v>1130</v>
      </c>
      <c r="E67" s="88" t="s">
        <v>1131</v>
      </c>
      <c r="F67" s="89" t="s">
        <v>904</v>
      </c>
      <c r="G67" s="89" t="s">
        <v>884</v>
      </c>
      <c r="H67" s="89">
        <v>2</v>
      </c>
      <c r="I67" s="91">
        <f>IF(COUNTIF(J67:AW67,"&lt;&gt;")=0,"",SUMPRODUCT(((Recommendations[ImplStatus]="Implemented")+(Recommendations[ImplStatus]="Compensated"))*ISNUMBER(MATCH(Recommendations[Id],J67:AW67,0)))/COUNTIF(J67:AW67,"&lt;&gt;"))</f>
        <v>0</v>
      </c>
      <c r="J67" s="93" t="s">
        <v>144</v>
      </c>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1132</v>
      </c>
      <c r="B68" s="83">
        <v>8</v>
      </c>
      <c r="C68" s="85" t="s">
        <v>21</v>
      </c>
      <c r="D68" s="87" t="s">
        <v>1133</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1132</v>
      </c>
      <c r="B69" s="84" t="s">
        <v>1134</v>
      </c>
      <c r="C69" s="86" t="s">
        <v>1135</v>
      </c>
      <c r="D69" s="88" t="s">
        <v>1136</v>
      </c>
      <c r="E69" s="88" t="s">
        <v>1137</v>
      </c>
      <c r="F69" s="89" t="s">
        <v>996</v>
      </c>
      <c r="G69" s="89" t="s">
        <v>937</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1132</v>
      </c>
      <c r="B70" s="84" t="s">
        <v>1138</v>
      </c>
      <c r="C70" s="86" t="s">
        <v>1139</v>
      </c>
      <c r="D70" s="88" t="s">
        <v>1140</v>
      </c>
      <c r="E70" s="88" t="s">
        <v>1141</v>
      </c>
      <c r="F70" s="89" t="s">
        <v>936</v>
      </c>
      <c r="G70" s="89" t="s">
        <v>889</v>
      </c>
      <c r="H70" s="89">
        <v>1</v>
      </c>
      <c r="I70" s="91">
        <f>IF(COUNTIF(J70:AW70,"&lt;&gt;")=0,"",SUMPRODUCT(((Recommendations[ImplStatus]="Implemented")+(Recommendations[ImplStatus]="Compensated"))*ISNUMBER(MATCH(Recommendations[Id],J70:AW70,0)))/COUNTIF(J70:AW70,"&lt;&gt;"))</f>
        <v>0</v>
      </c>
      <c r="J70" s="93" t="s">
        <v>14</v>
      </c>
      <c r="K70" s="93" t="s">
        <v>92</v>
      </c>
      <c r="L70" s="93" t="s">
        <v>211</v>
      </c>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1132</v>
      </c>
      <c r="B71" s="84" t="s">
        <v>1142</v>
      </c>
      <c r="C71" s="86" t="s">
        <v>1143</v>
      </c>
      <c r="D71" s="88" t="s">
        <v>1144</v>
      </c>
      <c r="E71" s="88" t="s">
        <v>1145</v>
      </c>
      <c r="F71" s="89" t="s">
        <v>936</v>
      </c>
      <c r="G71" s="89" t="s">
        <v>921</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1132</v>
      </c>
      <c r="B72" s="84" t="s">
        <v>1146</v>
      </c>
      <c r="C72" s="86" t="s">
        <v>1147</v>
      </c>
      <c r="D72" s="88" t="s">
        <v>1148</v>
      </c>
      <c r="E72" s="88" t="s">
        <v>1149</v>
      </c>
      <c r="F72" s="89" t="s">
        <v>1150</v>
      </c>
      <c r="G72" s="89" t="s">
        <v>921</v>
      </c>
      <c r="H72" s="89">
        <v>2</v>
      </c>
      <c r="I72" s="91">
        <f>IF(COUNTIF(J72:AW72,"&lt;&gt;")=0,"",SUMPRODUCT(((Recommendations[ImplStatus]="Implemented")+(Recommendations[ImplStatus]="Compensated"))*ISNUMBER(MATCH(Recommendations[Id],J72:AW72,0)))/COUNTIF(J72:AW72,"&lt;&gt;"))</f>
        <v>0</v>
      </c>
      <c r="J72" s="93" t="s">
        <v>312</v>
      </c>
      <c r="K72" s="93" t="s">
        <v>530</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1132</v>
      </c>
      <c r="B73" s="84" t="s">
        <v>1151</v>
      </c>
      <c r="C73" s="86" t="s">
        <v>1152</v>
      </c>
      <c r="D73" s="88" t="s">
        <v>1153</v>
      </c>
      <c r="E73" s="88" t="s">
        <v>1154</v>
      </c>
      <c r="F73" s="89" t="s">
        <v>936</v>
      </c>
      <c r="G73" s="89" t="s">
        <v>889</v>
      </c>
      <c r="H73" s="89">
        <v>2</v>
      </c>
      <c r="I73" s="91">
        <f>IF(COUNTIF(J73:AW73,"&lt;&gt;")=0,"",SUMPRODUCT(((Recommendations[ImplStatus]="Implemented")+(Recommendations[ImplStatus]="Compensated"))*ISNUMBER(MATCH(Recommendations[Id],J73:AW73,0)))/COUNTIF(J73:AW73,"&lt;&gt;"))</f>
        <v>0</v>
      </c>
      <c r="J73" s="93" t="s">
        <v>14</v>
      </c>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1132</v>
      </c>
      <c r="B74" s="84" t="s">
        <v>1155</v>
      </c>
      <c r="C74" s="86" t="s">
        <v>1156</v>
      </c>
      <c r="D74" s="88" t="s">
        <v>1157</v>
      </c>
      <c r="E74" s="88" t="s">
        <v>1158</v>
      </c>
      <c r="F74" s="89" t="s">
        <v>936</v>
      </c>
      <c r="G74" s="89" t="s">
        <v>889</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1132</v>
      </c>
      <c r="B75" s="84" t="s">
        <v>1159</v>
      </c>
      <c r="C75" s="86" t="s">
        <v>1160</v>
      </c>
      <c r="D75" s="88" t="s">
        <v>1161</v>
      </c>
      <c r="E75" s="88" t="s">
        <v>1162</v>
      </c>
      <c r="F75" s="89" t="s">
        <v>936</v>
      </c>
      <c r="G75" s="89" t="s">
        <v>889</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1132</v>
      </c>
      <c r="B76" s="84" t="s">
        <v>1163</v>
      </c>
      <c r="C76" s="86" t="s">
        <v>1164</v>
      </c>
      <c r="D76" s="88" t="s">
        <v>1165</v>
      </c>
      <c r="E76" s="88" t="s">
        <v>1166</v>
      </c>
      <c r="F76" s="89" t="s">
        <v>936</v>
      </c>
      <c r="G76" s="89" t="s">
        <v>889</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1132</v>
      </c>
      <c r="B77" s="84" t="s">
        <v>1167</v>
      </c>
      <c r="C77" s="86" t="s">
        <v>1168</v>
      </c>
      <c r="D77" s="88" t="s">
        <v>1169</v>
      </c>
      <c r="E77" s="88" t="s">
        <v>1170</v>
      </c>
      <c r="F77" s="89" t="s">
        <v>936</v>
      </c>
      <c r="G77" s="89" t="s">
        <v>889</v>
      </c>
      <c r="H77" s="89">
        <v>2</v>
      </c>
      <c r="I77" s="91">
        <f>IF(COUNTIF(J77:AW77,"&lt;&gt;")=0,"",SUMPRODUCT(((Recommendations[ImplStatus]="Implemented")+(Recommendations[ImplStatus]="Compensated"))*ISNUMBER(MATCH(Recommendations[Id],J77:AW77,0)))/COUNTIF(J77:AW77,"&lt;&gt;"))</f>
        <v>0</v>
      </c>
      <c r="J77" s="93" t="s">
        <v>211</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1132</v>
      </c>
      <c r="B78" s="84" t="s">
        <v>1171</v>
      </c>
      <c r="C78" s="86" t="s">
        <v>1172</v>
      </c>
      <c r="D78" s="88" t="s">
        <v>1173</v>
      </c>
      <c r="E78" s="88" t="s">
        <v>1174</v>
      </c>
      <c r="F78" s="89" t="s">
        <v>936</v>
      </c>
      <c r="G78" s="89" t="s">
        <v>921</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1132</v>
      </c>
      <c r="B79" s="84" t="s">
        <v>1175</v>
      </c>
      <c r="C79" s="86" t="s">
        <v>1176</v>
      </c>
      <c r="D79" s="88" t="s">
        <v>1177</v>
      </c>
      <c r="E79" s="88" t="s">
        <v>1178</v>
      </c>
      <c r="F79" s="89" t="s">
        <v>936</v>
      </c>
      <c r="G79" s="89" t="s">
        <v>889</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1132</v>
      </c>
      <c r="B80" s="84" t="s">
        <v>1179</v>
      </c>
      <c r="C80" s="86" t="s">
        <v>1180</v>
      </c>
      <c r="D80" s="88" t="s">
        <v>1181</v>
      </c>
      <c r="E80" s="88" t="s">
        <v>1182</v>
      </c>
      <c r="F80" s="89" t="s">
        <v>936</v>
      </c>
      <c r="G80" s="89" t="s">
        <v>889</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1183</v>
      </c>
      <c r="B81" s="83">
        <v>9</v>
      </c>
      <c r="C81" s="85" t="s">
        <v>21</v>
      </c>
      <c r="D81" s="87" t="s">
        <v>1184</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1183</v>
      </c>
      <c r="B82" s="84" t="s">
        <v>1185</v>
      </c>
      <c r="C82" s="86" t="s">
        <v>1186</v>
      </c>
      <c r="D82" s="88" t="s">
        <v>1187</v>
      </c>
      <c r="E82" s="88" t="s">
        <v>1188</v>
      </c>
      <c r="F82" s="89" t="s">
        <v>904</v>
      </c>
      <c r="G82" s="89" t="s">
        <v>921</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1183</v>
      </c>
      <c r="B83" s="84" t="s">
        <v>1189</v>
      </c>
      <c r="C83" s="86" t="s">
        <v>1190</v>
      </c>
      <c r="D83" s="88" t="s">
        <v>1191</v>
      </c>
      <c r="E83" s="88" t="s">
        <v>1192</v>
      </c>
      <c r="F83" s="89" t="s">
        <v>878</v>
      </c>
      <c r="G83" s="89" t="s">
        <v>921</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1183</v>
      </c>
      <c r="B84" s="84" t="s">
        <v>1193</v>
      </c>
      <c r="C84" s="86" t="s">
        <v>1194</v>
      </c>
      <c r="D84" s="88" t="s">
        <v>1195</v>
      </c>
      <c r="E84" s="88" t="s">
        <v>1196</v>
      </c>
      <c r="F84" s="89" t="s">
        <v>1150</v>
      </c>
      <c r="G84" s="89" t="s">
        <v>921</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1183</v>
      </c>
      <c r="B85" s="84" t="s">
        <v>1197</v>
      </c>
      <c r="C85" s="86" t="s">
        <v>1198</v>
      </c>
      <c r="D85" s="88" t="s">
        <v>1199</v>
      </c>
      <c r="E85" s="88" t="s">
        <v>1200</v>
      </c>
      <c r="F85" s="89" t="s">
        <v>904</v>
      </c>
      <c r="G85" s="89" t="s">
        <v>921</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1183</v>
      </c>
      <c r="B86" s="84" t="s">
        <v>1201</v>
      </c>
      <c r="C86" s="86" t="s">
        <v>1202</v>
      </c>
      <c r="D86" s="88" t="s">
        <v>1203</v>
      </c>
      <c r="E86" s="88" t="s">
        <v>1204</v>
      </c>
      <c r="F86" s="89" t="s">
        <v>1150</v>
      </c>
      <c r="G86" s="89" t="s">
        <v>921</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1183</v>
      </c>
      <c r="B87" s="84" t="s">
        <v>1205</v>
      </c>
      <c r="C87" s="86" t="s">
        <v>1206</v>
      </c>
      <c r="D87" s="88" t="s">
        <v>1207</v>
      </c>
      <c r="E87" s="88" t="s">
        <v>1208</v>
      </c>
      <c r="F87" s="89" t="s">
        <v>1150</v>
      </c>
      <c r="G87" s="89" t="s">
        <v>921</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1183</v>
      </c>
      <c r="B88" s="84" t="s">
        <v>1209</v>
      </c>
      <c r="C88" s="86" t="s">
        <v>1210</v>
      </c>
      <c r="D88" s="88" t="s">
        <v>1211</v>
      </c>
      <c r="E88" s="88" t="s">
        <v>1212</v>
      </c>
      <c r="F88" s="89" t="s">
        <v>1150</v>
      </c>
      <c r="G88" s="89" t="s">
        <v>921</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1213</v>
      </c>
      <c r="B89" s="83">
        <v>10</v>
      </c>
      <c r="C89" s="85" t="s">
        <v>21</v>
      </c>
      <c r="D89" s="87" t="s">
        <v>1214</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1213</v>
      </c>
      <c r="B90" s="84" t="s">
        <v>1215</v>
      </c>
      <c r="C90" s="86" t="s">
        <v>1216</v>
      </c>
      <c r="D90" s="88" t="s">
        <v>1217</v>
      </c>
      <c r="E90" s="88" t="s">
        <v>1218</v>
      </c>
      <c r="F90" s="89" t="s">
        <v>878</v>
      </c>
      <c r="G90" s="89" t="s">
        <v>889</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1213</v>
      </c>
      <c r="B91" s="84" t="s">
        <v>1219</v>
      </c>
      <c r="C91" s="86" t="s">
        <v>1220</v>
      </c>
      <c r="D91" s="88" t="s">
        <v>1221</v>
      </c>
      <c r="E91" s="88" t="s">
        <v>1222</v>
      </c>
      <c r="F91" s="89" t="s">
        <v>878</v>
      </c>
      <c r="G91" s="89" t="s">
        <v>921</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1213</v>
      </c>
      <c r="B92" s="84" t="s">
        <v>1223</v>
      </c>
      <c r="C92" s="86" t="s">
        <v>1224</v>
      </c>
      <c r="D92" s="88" t="s">
        <v>1225</v>
      </c>
      <c r="E92" s="88" t="s">
        <v>1226</v>
      </c>
      <c r="F92" s="89" t="s">
        <v>878</v>
      </c>
      <c r="G92" s="89" t="s">
        <v>921</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1213</v>
      </c>
      <c r="B93" s="84" t="s">
        <v>1227</v>
      </c>
      <c r="C93" s="86" t="s">
        <v>1228</v>
      </c>
      <c r="D93" s="88" t="s">
        <v>1229</v>
      </c>
      <c r="E93" s="88" t="s">
        <v>1230</v>
      </c>
      <c r="F93" s="89" t="s">
        <v>878</v>
      </c>
      <c r="G93" s="89" t="s">
        <v>889</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1213</v>
      </c>
      <c r="B94" s="84" t="s">
        <v>1231</v>
      </c>
      <c r="C94" s="86" t="s">
        <v>1232</v>
      </c>
      <c r="D94" s="88" t="s">
        <v>1233</v>
      </c>
      <c r="E94" s="88" t="s">
        <v>1234</v>
      </c>
      <c r="F94" s="89" t="s">
        <v>878</v>
      </c>
      <c r="G94" s="89" t="s">
        <v>921</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1213</v>
      </c>
      <c r="B95" s="84" t="s">
        <v>1235</v>
      </c>
      <c r="C95" s="86" t="s">
        <v>1236</v>
      </c>
      <c r="D95" s="88" t="s">
        <v>1237</v>
      </c>
      <c r="E95" s="88" t="s">
        <v>1238</v>
      </c>
      <c r="F95" s="89" t="s">
        <v>878</v>
      </c>
      <c r="G95" s="89" t="s">
        <v>921</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1213</v>
      </c>
      <c r="B96" s="84" t="s">
        <v>1239</v>
      </c>
      <c r="C96" s="86" t="s">
        <v>1240</v>
      </c>
      <c r="D96" s="88" t="s">
        <v>1241</v>
      </c>
      <c r="E96" s="88" t="s">
        <v>1242</v>
      </c>
      <c r="F96" s="89" t="s">
        <v>878</v>
      </c>
      <c r="G96" s="89" t="s">
        <v>889</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1243</v>
      </c>
      <c r="B97" s="83">
        <v>11</v>
      </c>
      <c r="C97" s="85" t="s">
        <v>21</v>
      </c>
      <c r="D97" s="87" t="s">
        <v>1244</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1243</v>
      </c>
      <c r="B98" s="84" t="s">
        <v>1245</v>
      </c>
      <c r="C98" s="86" t="s">
        <v>1246</v>
      </c>
      <c r="D98" s="88" t="s">
        <v>1247</v>
      </c>
      <c r="E98" s="88" t="s">
        <v>1248</v>
      </c>
      <c r="F98" s="89" t="s">
        <v>996</v>
      </c>
      <c r="G98" s="89" t="s">
        <v>937</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1243</v>
      </c>
      <c r="B99" s="84" t="s">
        <v>1249</v>
      </c>
      <c r="C99" s="86" t="s">
        <v>1250</v>
      </c>
      <c r="D99" s="88" t="s">
        <v>1251</v>
      </c>
      <c r="E99" s="88" t="s">
        <v>1252</v>
      </c>
      <c r="F99" s="89" t="s">
        <v>936</v>
      </c>
      <c r="G99" s="89" t="s">
        <v>1253</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1243</v>
      </c>
      <c r="B100" s="84" t="s">
        <v>1254</v>
      </c>
      <c r="C100" s="86" t="s">
        <v>1255</v>
      </c>
      <c r="D100" s="88" t="s">
        <v>1256</v>
      </c>
      <c r="E100" s="88" t="s">
        <v>1257</v>
      </c>
      <c r="F100" s="89" t="s">
        <v>936</v>
      </c>
      <c r="G100" s="89" t="s">
        <v>921</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1243</v>
      </c>
      <c r="B101" s="84" t="s">
        <v>1258</v>
      </c>
      <c r="C101" s="86" t="s">
        <v>1259</v>
      </c>
      <c r="D101" s="88" t="s">
        <v>1260</v>
      </c>
      <c r="E101" s="88" t="s">
        <v>1261</v>
      </c>
      <c r="F101" s="89" t="s">
        <v>936</v>
      </c>
      <c r="G101" s="89" t="s">
        <v>1253</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1243</v>
      </c>
      <c r="B102" s="84" t="s">
        <v>1262</v>
      </c>
      <c r="C102" s="86" t="s">
        <v>1263</v>
      </c>
      <c r="D102" s="88" t="s">
        <v>1264</v>
      </c>
      <c r="E102" s="88" t="s">
        <v>1265</v>
      </c>
      <c r="F102" s="89" t="s">
        <v>936</v>
      </c>
      <c r="G102" s="89" t="s">
        <v>1253</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1266</v>
      </c>
      <c r="B103" s="83">
        <v>12</v>
      </c>
      <c r="C103" s="85" t="s">
        <v>21</v>
      </c>
      <c r="D103" s="87" t="s">
        <v>1267</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1266</v>
      </c>
      <c r="B104" s="84" t="s">
        <v>1268</v>
      </c>
      <c r="C104" s="86" t="s">
        <v>1269</v>
      </c>
      <c r="D104" s="88" t="s">
        <v>1270</v>
      </c>
      <c r="E104" s="88" t="s">
        <v>1271</v>
      </c>
      <c r="F104" s="89" t="s">
        <v>1150</v>
      </c>
      <c r="G104" s="89" t="s">
        <v>921</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1266</v>
      </c>
      <c r="B105" s="84" t="s">
        <v>1272</v>
      </c>
      <c r="C105" s="86" t="s">
        <v>1273</v>
      </c>
      <c r="D105" s="88" t="s">
        <v>1274</v>
      </c>
      <c r="E105" s="88" t="s">
        <v>1275</v>
      </c>
      <c r="F105" s="89" t="s">
        <v>1150</v>
      </c>
      <c r="G105" s="89" t="s">
        <v>921</v>
      </c>
      <c r="H105" s="89">
        <v>2</v>
      </c>
      <c r="I105" s="91">
        <f>IF(COUNTIF(J105:AW105,"&lt;&gt;")=0,"",SUMPRODUCT(((Recommendations[ImplStatus]="Implemented")+(Recommendations[ImplStatus]="Compensated"))*ISNUMBER(MATCH(Recommendations[Id],J105:AW105,0)))/COUNTIF(J105:AW105,"&lt;&gt;"))</f>
        <v>0</v>
      </c>
      <c r="J105" s="93" t="s">
        <v>25</v>
      </c>
      <c r="K105" s="93" t="s">
        <v>52</v>
      </c>
      <c r="L105" s="93" t="s">
        <v>179</v>
      </c>
      <c r="M105" s="93" t="s">
        <v>185</v>
      </c>
      <c r="N105" s="93" t="s">
        <v>190</v>
      </c>
      <c r="O105" s="93" t="s">
        <v>195</v>
      </c>
      <c r="P105" s="93" t="s">
        <v>216</v>
      </c>
      <c r="Q105" s="93" t="s">
        <v>251</v>
      </c>
      <c r="R105" s="93" t="s">
        <v>256</v>
      </c>
      <c r="S105" s="93" t="s">
        <v>266</v>
      </c>
      <c r="T105" s="93" t="s">
        <v>352</v>
      </c>
      <c r="U105" s="93" t="s">
        <v>372</v>
      </c>
      <c r="V105" s="93" t="s">
        <v>387</v>
      </c>
      <c r="W105" s="93" t="s">
        <v>397</v>
      </c>
      <c r="X105" s="93" t="s">
        <v>402</v>
      </c>
      <c r="Y105" s="93" t="s">
        <v>407</v>
      </c>
      <c r="Z105" s="93" t="s">
        <v>412</v>
      </c>
      <c r="AA105" s="93" t="s">
        <v>417</v>
      </c>
      <c r="AB105" s="93" t="s">
        <v>422</v>
      </c>
      <c r="AC105" s="93" t="s">
        <v>427</v>
      </c>
      <c r="AD105" s="93" t="s">
        <v>432</v>
      </c>
      <c r="AE105" s="93" t="s">
        <v>437</v>
      </c>
      <c r="AF105" s="93" t="s">
        <v>442</v>
      </c>
      <c r="AG105" s="93" t="s">
        <v>447</v>
      </c>
      <c r="AH105" s="93" t="s">
        <v>451</v>
      </c>
      <c r="AI105" s="93" t="s">
        <v>456</v>
      </c>
      <c r="AJ105" s="93" t="s">
        <v>461</v>
      </c>
      <c r="AK105" s="93" t="s">
        <v>485</v>
      </c>
      <c r="AL105" s="93" t="s">
        <v>495</v>
      </c>
      <c r="AM105" s="93" t="s">
        <v>515</v>
      </c>
      <c r="AN105" s="93"/>
      <c r="AO105" s="93"/>
      <c r="AP105" s="93"/>
      <c r="AQ105" s="93"/>
      <c r="AR105" s="93"/>
      <c r="AS105" s="93"/>
      <c r="AT105" s="93"/>
      <c r="AU105" s="93"/>
      <c r="AV105" s="93"/>
      <c r="AW105" s="104"/>
    </row>
    <row r="106" spans="1:49" ht="60" customHeight="1" x14ac:dyDescent="0.35">
      <c r="A106" s="101" t="s">
        <v>1266</v>
      </c>
      <c r="B106" s="84" t="s">
        <v>1276</v>
      </c>
      <c r="C106" s="86" t="s">
        <v>1277</v>
      </c>
      <c r="D106" s="88" t="s">
        <v>1278</v>
      </c>
      <c r="E106" s="88" t="s">
        <v>1279</v>
      </c>
      <c r="F106" s="89" t="s">
        <v>1150</v>
      </c>
      <c r="G106" s="89" t="s">
        <v>921</v>
      </c>
      <c r="H106" s="89">
        <v>2</v>
      </c>
      <c r="I106" s="91">
        <f>IF(COUNTIF(J106:AW106,"&lt;&gt;")=0,"",SUMPRODUCT(((Recommendations[ImplStatus]="Implemented")+(Recommendations[ImplStatus]="Compensated"))*ISNUMBER(MATCH(Recommendations[Id],J106:AW106,0)))/COUNTIF(J106:AW106,"&lt;&gt;"))</f>
        <v>0</v>
      </c>
      <c r="J106" s="93" t="s">
        <v>52</v>
      </c>
      <c r="K106" s="93" t="s">
        <v>216</v>
      </c>
      <c r="L106" s="93" t="s">
        <v>317</v>
      </c>
      <c r="M106" s="93" t="s">
        <v>322</v>
      </c>
      <c r="N106" s="93" t="s">
        <v>327</v>
      </c>
      <c r="O106" s="93" t="s">
        <v>332</v>
      </c>
      <c r="P106" s="93" t="s">
        <v>337</v>
      </c>
      <c r="Q106" s="93" t="s">
        <v>342</v>
      </c>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1266</v>
      </c>
      <c r="B107" s="84" t="s">
        <v>1280</v>
      </c>
      <c r="C107" s="86" t="s">
        <v>1281</v>
      </c>
      <c r="D107" s="88" t="s">
        <v>1282</v>
      </c>
      <c r="E107" s="88" t="s">
        <v>1283</v>
      </c>
      <c r="F107" s="89" t="s">
        <v>996</v>
      </c>
      <c r="G107" s="89" t="s">
        <v>937</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1266</v>
      </c>
      <c r="B108" s="84" t="s">
        <v>1284</v>
      </c>
      <c r="C108" s="86" t="s">
        <v>1285</v>
      </c>
      <c r="D108" s="88" t="s">
        <v>1286</v>
      </c>
      <c r="E108" s="88" t="s">
        <v>1287</v>
      </c>
      <c r="F108" s="89" t="s">
        <v>1150</v>
      </c>
      <c r="G108" s="89" t="s">
        <v>921</v>
      </c>
      <c r="H108" s="89">
        <v>2</v>
      </c>
      <c r="I108" s="91">
        <f>IF(COUNTIF(J108:AW108,"&lt;&gt;")=0,"",SUMPRODUCT(((Recommendations[ImplStatus]="Implemented")+(Recommendations[ImplStatus]="Compensated"))*ISNUMBER(MATCH(Recommendations[Id],J108:AW108,0)))/COUNTIF(J108:AW108,"&lt;&gt;"))</f>
        <v>0</v>
      </c>
      <c r="J108" s="93" t="s">
        <v>149</v>
      </c>
      <c r="K108" s="93" t="s">
        <v>164</v>
      </c>
      <c r="L108" s="93" t="s">
        <v>200</v>
      </c>
      <c r="M108" s="93" t="s">
        <v>377</v>
      </c>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1266</v>
      </c>
      <c r="B109" s="84" t="s">
        <v>1288</v>
      </c>
      <c r="C109" s="86" t="s">
        <v>1289</v>
      </c>
      <c r="D109" s="88" t="s">
        <v>1290</v>
      </c>
      <c r="E109" s="88" t="s">
        <v>1291</v>
      </c>
      <c r="F109" s="89" t="s">
        <v>1150</v>
      </c>
      <c r="G109" s="89" t="s">
        <v>921</v>
      </c>
      <c r="H109" s="89">
        <v>2</v>
      </c>
      <c r="I109" s="91">
        <f>IF(COUNTIF(J109:AW109,"&lt;&gt;")=0,"",SUMPRODUCT(((Recommendations[ImplStatus]="Implemented")+(Recommendations[ImplStatus]="Compensated"))*ISNUMBER(MATCH(Recommendations[Id],J109:AW109,0)))/COUNTIF(J109:AW109,"&lt;&gt;"))</f>
        <v>0</v>
      </c>
      <c r="J109" s="93" t="s">
        <v>87</v>
      </c>
      <c r="K109" s="93" t="s">
        <v>154</v>
      </c>
      <c r="L109" s="93" t="s">
        <v>367</v>
      </c>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1266</v>
      </c>
      <c r="B110" s="84" t="s">
        <v>1292</v>
      </c>
      <c r="C110" s="86" t="s">
        <v>1293</v>
      </c>
      <c r="D110" s="88" t="s">
        <v>1294</v>
      </c>
      <c r="E110" s="88" t="s">
        <v>1295</v>
      </c>
      <c r="F110" s="89" t="s">
        <v>878</v>
      </c>
      <c r="G110" s="89" t="s">
        <v>921</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1266</v>
      </c>
      <c r="B111" s="84" t="s">
        <v>1296</v>
      </c>
      <c r="C111" s="86" t="s">
        <v>1297</v>
      </c>
      <c r="D111" s="88" t="s">
        <v>1298</v>
      </c>
      <c r="E111" s="88" t="s">
        <v>1299</v>
      </c>
      <c r="F111" s="89" t="s">
        <v>878</v>
      </c>
      <c r="G111" s="89" t="s">
        <v>921</v>
      </c>
      <c r="H111" s="89">
        <v>3</v>
      </c>
      <c r="I111" s="91">
        <f>IF(COUNTIF(J111:AW111,"&lt;&gt;")=0,"",SUMPRODUCT(((Recommendations[ImplStatus]="Implemented")+(Recommendations[ImplStatus]="Compensated"))*ISNUMBER(MATCH(Recommendations[Id],J111:AW111,0)))/COUNTIF(J111:AW111,"&lt;&gt;"))</f>
        <v>0</v>
      </c>
      <c r="J111" s="93" t="s">
        <v>266</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1300</v>
      </c>
      <c r="B112" s="83">
        <v>13</v>
      </c>
      <c r="C112" s="85" t="s">
        <v>21</v>
      </c>
      <c r="D112" s="87" t="s">
        <v>1301</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1300</v>
      </c>
      <c r="B113" s="84" t="s">
        <v>1302</v>
      </c>
      <c r="C113" s="86" t="s">
        <v>1303</v>
      </c>
      <c r="D113" s="88" t="s">
        <v>1304</v>
      </c>
      <c r="E113" s="88" t="s">
        <v>1305</v>
      </c>
      <c r="F113" s="89" t="s">
        <v>1150</v>
      </c>
      <c r="G113" s="89" t="s">
        <v>889</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1300</v>
      </c>
      <c r="B114" s="84" t="s">
        <v>1306</v>
      </c>
      <c r="C114" s="86" t="s">
        <v>1307</v>
      </c>
      <c r="D114" s="88" t="s">
        <v>1308</v>
      </c>
      <c r="E114" s="88" t="s">
        <v>1309</v>
      </c>
      <c r="F114" s="89" t="s">
        <v>878</v>
      </c>
      <c r="G114" s="89" t="s">
        <v>889</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1300</v>
      </c>
      <c r="B115" s="84" t="s">
        <v>1310</v>
      </c>
      <c r="C115" s="86" t="s">
        <v>1311</v>
      </c>
      <c r="D115" s="88" t="s">
        <v>1312</v>
      </c>
      <c r="E115" s="88" t="s">
        <v>1313</v>
      </c>
      <c r="F115" s="89" t="s">
        <v>1150</v>
      </c>
      <c r="G115" s="89" t="s">
        <v>889</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1300</v>
      </c>
      <c r="B116" s="84" t="s">
        <v>1314</v>
      </c>
      <c r="C116" s="86" t="s">
        <v>1315</v>
      </c>
      <c r="D116" s="88" t="s">
        <v>1316</v>
      </c>
      <c r="E116" s="88" t="s">
        <v>1317</v>
      </c>
      <c r="F116" s="89" t="s">
        <v>1150</v>
      </c>
      <c r="G116" s="89" t="s">
        <v>921</v>
      </c>
      <c r="H116" s="89">
        <v>2</v>
      </c>
      <c r="I116" s="91">
        <f>IF(COUNTIF(J116:AW116,"&lt;&gt;")=0,"",SUMPRODUCT(((Recommendations[ImplStatus]="Implemented")+(Recommendations[ImplStatus]="Compensated"))*ISNUMBER(MATCH(Recommendations[Id],J116:AW116,0)))/COUNTIF(J116:AW116,"&lt;&gt;"))</f>
        <v>0</v>
      </c>
      <c r="J116" s="93" t="s">
        <v>276</v>
      </c>
      <c r="K116" s="93" t="s">
        <v>362</v>
      </c>
      <c r="L116" s="93" t="s">
        <v>387</v>
      </c>
      <c r="M116" s="93" t="s">
        <v>407</v>
      </c>
      <c r="N116" s="93" t="s">
        <v>427</v>
      </c>
      <c r="O116" s="93" t="s">
        <v>461</v>
      </c>
      <c r="P116" s="93" t="s">
        <v>466</v>
      </c>
      <c r="Q116" s="93" t="s">
        <v>471</v>
      </c>
      <c r="R116" s="93" t="s">
        <v>485</v>
      </c>
      <c r="S116" s="93" t="s">
        <v>490</v>
      </c>
      <c r="T116" s="93" t="s">
        <v>500</v>
      </c>
      <c r="U116" s="93" t="s">
        <v>520</v>
      </c>
      <c r="V116" s="93" t="s">
        <v>525</v>
      </c>
      <c r="W116" s="93" t="s">
        <v>545</v>
      </c>
      <c r="X116" s="93" t="s">
        <v>555</v>
      </c>
      <c r="Y116" s="93" t="s">
        <v>560</v>
      </c>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1300</v>
      </c>
      <c r="B117" s="84" t="s">
        <v>1318</v>
      </c>
      <c r="C117" s="86" t="s">
        <v>1319</v>
      </c>
      <c r="D117" s="88" t="s">
        <v>1320</v>
      </c>
      <c r="E117" s="88" t="s">
        <v>1321</v>
      </c>
      <c r="F117" s="89" t="s">
        <v>878</v>
      </c>
      <c r="G117" s="89" t="s">
        <v>921</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1300</v>
      </c>
      <c r="B118" s="84" t="s">
        <v>1322</v>
      </c>
      <c r="C118" s="86" t="s">
        <v>1323</v>
      </c>
      <c r="D118" s="88" t="s">
        <v>1324</v>
      </c>
      <c r="E118" s="88" t="s">
        <v>1325</v>
      </c>
      <c r="F118" s="89" t="s">
        <v>1150</v>
      </c>
      <c r="G118" s="89" t="s">
        <v>889</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1300</v>
      </c>
      <c r="B119" s="84" t="s">
        <v>1326</v>
      </c>
      <c r="C119" s="86" t="s">
        <v>1327</v>
      </c>
      <c r="D119" s="88" t="s">
        <v>1328</v>
      </c>
      <c r="E119" s="88" t="s">
        <v>1329</v>
      </c>
      <c r="F119" s="89" t="s">
        <v>878</v>
      </c>
      <c r="G119" s="89" t="s">
        <v>921</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1300</v>
      </c>
      <c r="B120" s="84" t="s">
        <v>1330</v>
      </c>
      <c r="C120" s="86" t="s">
        <v>1331</v>
      </c>
      <c r="D120" s="88" t="s">
        <v>1332</v>
      </c>
      <c r="E120" s="88" t="s">
        <v>1333</v>
      </c>
      <c r="F120" s="89" t="s">
        <v>1150</v>
      </c>
      <c r="G120" s="89" t="s">
        <v>921</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1300</v>
      </c>
      <c r="B121" s="84" t="s">
        <v>1334</v>
      </c>
      <c r="C121" s="86" t="s">
        <v>1335</v>
      </c>
      <c r="D121" s="88" t="s">
        <v>1336</v>
      </c>
      <c r="E121" s="88" t="s">
        <v>1337</v>
      </c>
      <c r="F121" s="89" t="s">
        <v>1150</v>
      </c>
      <c r="G121" s="89" t="s">
        <v>921</v>
      </c>
      <c r="H121" s="89">
        <v>3</v>
      </c>
      <c r="I121" s="91">
        <f>IF(COUNTIF(J121:AW121,"&lt;&gt;")=0,"",SUMPRODUCT(((Recommendations[ImplStatus]="Implemented")+(Recommendations[ImplStatus]="Compensated"))*ISNUMBER(MATCH(Recommendations[Id],J121:AW121,0)))/COUNTIF(J121:AW121,"&lt;&gt;"))</f>
        <v>0</v>
      </c>
      <c r="J121" s="93" t="s">
        <v>261</v>
      </c>
      <c r="K121" s="93" t="s">
        <v>505</v>
      </c>
      <c r="L121" s="93" t="s">
        <v>510</v>
      </c>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1300</v>
      </c>
      <c r="B122" s="84" t="s">
        <v>1338</v>
      </c>
      <c r="C122" s="86" t="s">
        <v>1339</v>
      </c>
      <c r="D122" s="88" t="s">
        <v>1340</v>
      </c>
      <c r="E122" s="88" t="s">
        <v>1341</v>
      </c>
      <c r="F122" s="89" t="s">
        <v>1150</v>
      </c>
      <c r="G122" s="89" t="s">
        <v>921</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1300</v>
      </c>
      <c r="B123" s="84" t="s">
        <v>1342</v>
      </c>
      <c r="C123" s="86" t="s">
        <v>1343</v>
      </c>
      <c r="D123" s="88" t="s">
        <v>1344</v>
      </c>
      <c r="E123" s="88" t="s">
        <v>1345</v>
      </c>
      <c r="F123" s="89" t="s">
        <v>1150</v>
      </c>
      <c r="G123" s="89" t="s">
        <v>889</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1346</v>
      </c>
      <c r="B124" s="83">
        <v>14</v>
      </c>
      <c r="C124" s="85" t="s">
        <v>21</v>
      </c>
      <c r="D124" s="87" t="s">
        <v>1347</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1346</v>
      </c>
      <c r="B125" s="84" t="s">
        <v>1348</v>
      </c>
      <c r="C125" s="86" t="s">
        <v>1349</v>
      </c>
      <c r="D125" s="88" t="s">
        <v>1350</v>
      </c>
      <c r="E125" s="88" t="s">
        <v>1351</v>
      </c>
      <c r="F125" s="89" t="s">
        <v>996</v>
      </c>
      <c r="G125" s="89" t="s">
        <v>937</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1346</v>
      </c>
      <c r="B126" s="84" t="s">
        <v>1352</v>
      </c>
      <c r="C126" s="86" t="s">
        <v>1353</v>
      </c>
      <c r="D126" s="88" t="s">
        <v>1354</v>
      </c>
      <c r="E126" s="88" t="s">
        <v>1355</v>
      </c>
      <c r="F126" s="89" t="s">
        <v>1021</v>
      </c>
      <c r="G126" s="89" t="s">
        <v>921</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1346</v>
      </c>
      <c r="B127" s="84" t="s">
        <v>1356</v>
      </c>
      <c r="C127" s="86" t="s">
        <v>1357</v>
      </c>
      <c r="D127" s="88" t="s">
        <v>1358</v>
      </c>
      <c r="E127" s="88" t="s">
        <v>1359</v>
      </c>
      <c r="F127" s="89" t="s">
        <v>1021</v>
      </c>
      <c r="G127" s="89" t="s">
        <v>921</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1346</v>
      </c>
      <c r="B128" s="84" t="s">
        <v>1360</v>
      </c>
      <c r="C128" s="86" t="s">
        <v>1361</v>
      </c>
      <c r="D128" s="88" t="s">
        <v>1362</v>
      </c>
      <c r="E128" s="88" t="s">
        <v>1363</v>
      </c>
      <c r="F128" s="89" t="s">
        <v>1021</v>
      </c>
      <c r="G128" s="89" t="s">
        <v>921</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1346</v>
      </c>
      <c r="B129" s="84" t="s">
        <v>1364</v>
      </c>
      <c r="C129" s="86" t="s">
        <v>1365</v>
      </c>
      <c r="D129" s="88" t="s">
        <v>1366</v>
      </c>
      <c r="E129" s="88" t="s">
        <v>1367</v>
      </c>
      <c r="F129" s="89" t="s">
        <v>1021</v>
      </c>
      <c r="G129" s="89" t="s">
        <v>921</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1346</v>
      </c>
      <c r="B130" s="84" t="s">
        <v>1368</v>
      </c>
      <c r="C130" s="86" t="s">
        <v>1369</v>
      </c>
      <c r="D130" s="88" t="s">
        <v>1370</v>
      </c>
      <c r="E130" s="88" t="s">
        <v>1371</v>
      </c>
      <c r="F130" s="89" t="s">
        <v>1021</v>
      </c>
      <c r="G130" s="89" t="s">
        <v>921</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1346</v>
      </c>
      <c r="B131" s="84" t="s">
        <v>1372</v>
      </c>
      <c r="C131" s="86" t="s">
        <v>1373</v>
      </c>
      <c r="D131" s="88" t="s">
        <v>1374</v>
      </c>
      <c r="E131" s="88" t="s">
        <v>1375</v>
      </c>
      <c r="F131" s="89" t="s">
        <v>1021</v>
      </c>
      <c r="G131" s="89" t="s">
        <v>921</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1346</v>
      </c>
      <c r="B132" s="84" t="s">
        <v>1376</v>
      </c>
      <c r="C132" s="86" t="s">
        <v>1377</v>
      </c>
      <c r="D132" s="88" t="s">
        <v>1378</v>
      </c>
      <c r="E132" s="88" t="s">
        <v>1379</v>
      </c>
      <c r="F132" s="89" t="s">
        <v>1021</v>
      </c>
      <c r="G132" s="89" t="s">
        <v>921</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1346</v>
      </c>
      <c r="B133" s="84" t="s">
        <v>1380</v>
      </c>
      <c r="C133" s="86" t="s">
        <v>1381</v>
      </c>
      <c r="D133" s="88" t="s">
        <v>1382</v>
      </c>
      <c r="E133" s="88" t="s">
        <v>1383</v>
      </c>
      <c r="F133" s="89" t="s">
        <v>1021</v>
      </c>
      <c r="G133" s="89" t="s">
        <v>921</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1384</v>
      </c>
      <c r="B134" s="83">
        <v>15</v>
      </c>
      <c r="C134" s="85" t="s">
        <v>21</v>
      </c>
      <c r="D134" s="87" t="s">
        <v>1385</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1384</v>
      </c>
      <c r="B135" s="84" t="s">
        <v>1386</v>
      </c>
      <c r="C135" s="86" t="s">
        <v>1387</v>
      </c>
      <c r="D135" s="88" t="s">
        <v>1388</v>
      </c>
      <c r="E135" s="88" t="s">
        <v>1389</v>
      </c>
      <c r="F135" s="89" t="s">
        <v>1021</v>
      </c>
      <c r="G135" s="89" t="s">
        <v>879</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1384</v>
      </c>
      <c r="B136" s="84" t="s">
        <v>1390</v>
      </c>
      <c r="C136" s="86" t="s">
        <v>1391</v>
      </c>
      <c r="D136" s="88" t="s">
        <v>1392</v>
      </c>
      <c r="E136" s="88" t="s">
        <v>1393</v>
      </c>
      <c r="F136" s="89" t="s">
        <v>996</v>
      </c>
      <c r="G136" s="89" t="s">
        <v>937</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1384</v>
      </c>
      <c r="B137" s="84" t="s">
        <v>1394</v>
      </c>
      <c r="C137" s="86" t="s">
        <v>1395</v>
      </c>
      <c r="D137" s="88" t="s">
        <v>1396</v>
      </c>
      <c r="E137" s="88" t="s">
        <v>1397</v>
      </c>
      <c r="F137" s="89" t="s">
        <v>1021</v>
      </c>
      <c r="G137" s="89" t="s">
        <v>937</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1384</v>
      </c>
      <c r="B138" s="84" t="s">
        <v>1398</v>
      </c>
      <c r="C138" s="86" t="s">
        <v>1399</v>
      </c>
      <c r="D138" s="88" t="s">
        <v>1400</v>
      </c>
      <c r="E138" s="88" t="s">
        <v>1401</v>
      </c>
      <c r="F138" s="89" t="s">
        <v>996</v>
      </c>
      <c r="G138" s="89" t="s">
        <v>937</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1384</v>
      </c>
      <c r="B139" s="84" t="s">
        <v>1402</v>
      </c>
      <c r="C139" s="86" t="s">
        <v>1403</v>
      </c>
      <c r="D139" s="88" t="s">
        <v>1404</v>
      </c>
      <c r="E139" s="88" t="s">
        <v>1405</v>
      </c>
      <c r="F139" s="89" t="s">
        <v>1021</v>
      </c>
      <c r="G139" s="89" t="s">
        <v>937</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1384</v>
      </c>
      <c r="B140" s="84" t="s">
        <v>1406</v>
      </c>
      <c r="C140" s="86" t="s">
        <v>1407</v>
      </c>
      <c r="D140" s="88" t="s">
        <v>1408</v>
      </c>
      <c r="E140" s="88" t="s">
        <v>1409</v>
      </c>
      <c r="F140" s="89" t="s">
        <v>936</v>
      </c>
      <c r="G140" s="89" t="s">
        <v>937</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1384</v>
      </c>
      <c r="B141" s="84" t="s">
        <v>1410</v>
      </c>
      <c r="C141" s="86" t="s">
        <v>1411</v>
      </c>
      <c r="D141" s="88" t="s">
        <v>1412</v>
      </c>
      <c r="E141" s="88" t="s">
        <v>1413</v>
      </c>
      <c r="F141" s="89" t="s">
        <v>936</v>
      </c>
      <c r="G141" s="89" t="s">
        <v>921</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1414</v>
      </c>
      <c r="B142" s="83">
        <v>16</v>
      </c>
      <c r="C142" s="85" t="s">
        <v>21</v>
      </c>
      <c r="D142" s="87" t="s">
        <v>1415</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1414</v>
      </c>
      <c r="B143" s="84" t="s">
        <v>1416</v>
      </c>
      <c r="C143" s="86" t="s">
        <v>1417</v>
      </c>
      <c r="D143" s="88" t="s">
        <v>1418</v>
      </c>
      <c r="E143" s="88" t="s">
        <v>1419</v>
      </c>
      <c r="F143" s="89" t="s">
        <v>996</v>
      </c>
      <c r="G143" s="89" t="s">
        <v>937</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1414</v>
      </c>
      <c r="B144" s="84" t="s">
        <v>1420</v>
      </c>
      <c r="C144" s="86" t="s">
        <v>1421</v>
      </c>
      <c r="D144" s="88" t="s">
        <v>1422</v>
      </c>
      <c r="E144" s="88" t="s">
        <v>1423</v>
      </c>
      <c r="F144" s="89" t="s">
        <v>996</v>
      </c>
      <c r="G144" s="89" t="s">
        <v>937</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1414</v>
      </c>
      <c r="B145" s="84" t="s">
        <v>1424</v>
      </c>
      <c r="C145" s="86" t="s">
        <v>1425</v>
      </c>
      <c r="D145" s="88" t="s">
        <v>1426</v>
      </c>
      <c r="E145" s="88" t="s">
        <v>1427</v>
      </c>
      <c r="F145" s="89" t="s">
        <v>904</v>
      </c>
      <c r="G145" s="89" t="s">
        <v>889</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1414</v>
      </c>
      <c r="B146" s="84" t="s">
        <v>1428</v>
      </c>
      <c r="C146" s="86" t="s">
        <v>1429</v>
      </c>
      <c r="D146" s="88" t="s">
        <v>1430</v>
      </c>
      <c r="E146" s="88" t="s">
        <v>1431</v>
      </c>
      <c r="F146" s="89" t="s">
        <v>904</v>
      </c>
      <c r="G146" s="89" t="s">
        <v>879</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1414</v>
      </c>
      <c r="B147" s="84" t="s">
        <v>1432</v>
      </c>
      <c r="C147" s="86" t="s">
        <v>1433</v>
      </c>
      <c r="D147" s="88" t="s">
        <v>1434</v>
      </c>
      <c r="E147" s="88" t="s">
        <v>1435</v>
      </c>
      <c r="F147" s="89" t="s">
        <v>904</v>
      </c>
      <c r="G147" s="89" t="s">
        <v>921</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1414</v>
      </c>
      <c r="B148" s="84" t="s">
        <v>1436</v>
      </c>
      <c r="C148" s="86" t="s">
        <v>1437</v>
      </c>
      <c r="D148" s="88" t="s">
        <v>1438</v>
      </c>
      <c r="E148" s="88" t="s">
        <v>1439</v>
      </c>
      <c r="F148" s="89" t="s">
        <v>996</v>
      </c>
      <c r="G148" s="89" t="s">
        <v>937</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1414</v>
      </c>
      <c r="B149" s="84" t="s">
        <v>1440</v>
      </c>
      <c r="C149" s="86" t="s">
        <v>1441</v>
      </c>
      <c r="D149" s="88" t="s">
        <v>1442</v>
      </c>
      <c r="E149" s="88" t="s">
        <v>1443</v>
      </c>
      <c r="F149" s="89" t="s">
        <v>904</v>
      </c>
      <c r="G149" s="89" t="s">
        <v>921</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1414</v>
      </c>
      <c r="B150" s="84" t="s">
        <v>1444</v>
      </c>
      <c r="C150" s="86" t="s">
        <v>1445</v>
      </c>
      <c r="D150" s="88" t="s">
        <v>1446</v>
      </c>
      <c r="E150" s="88" t="s">
        <v>1447</v>
      </c>
      <c r="F150" s="89" t="s">
        <v>1150</v>
      </c>
      <c r="G150" s="89" t="s">
        <v>921</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1414</v>
      </c>
      <c r="B151" s="84" t="s">
        <v>1448</v>
      </c>
      <c r="C151" s="86" t="s">
        <v>1449</v>
      </c>
      <c r="D151" s="88" t="s">
        <v>1450</v>
      </c>
      <c r="E151" s="88" t="s">
        <v>1451</v>
      </c>
      <c r="F151" s="89" t="s">
        <v>1021</v>
      </c>
      <c r="G151" s="89" t="s">
        <v>921</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1414</v>
      </c>
      <c r="B152" s="84" t="s">
        <v>1452</v>
      </c>
      <c r="C152" s="86" t="s">
        <v>1453</v>
      </c>
      <c r="D152" s="88" t="s">
        <v>1454</v>
      </c>
      <c r="E152" s="88" t="s">
        <v>1455</v>
      </c>
      <c r="F152" s="89" t="s">
        <v>904</v>
      </c>
      <c r="G152" s="89" t="s">
        <v>921</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1414</v>
      </c>
      <c r="B153" s="84" t="s">
        <v>1456</v>
      </c>
      <c r="C153" s="86" t="s">
        <v>1457</v>
      </c>
      <c r="D153" s="88" t="s">
        <v>1458</v>
      </c>
      <c r="E153" s="88" t="s">
        <v>1459</v>
      </c>
      <c r="F153" s="89" t="s">
        <v>904</v>
      </c>
      <c r="G153" s="89" t="s">
        <v>921</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1414</v>
      </c>
      <c r="B154" s="84" t="s">
        <v>1460</v>
      </c>
      <c r="C154" s="86" t="s">
        <v>1461</v>
      </c>
      <c r="D154" s="88" t="s">
        <v>1462</v>
      </c>
      <c r="E154" s="88" t="s">
        <v>1463</v>
      </c>
      <c r="F154" s="89" t="s">
        <v>904</v>
      </c>
      <c r="G154" s="89" t="s">
        <v>921</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1414</v>
      </c>
      <c r="B155" s="84" t="s">
        <v>1464</v>
      </c>
      <c r="C155" s="86" t="s">
        <v>1465</v>
      </c>
      <c r="D155" s="88" t="s">
        <v>1466</v>
      </c>
      <c r="E155" s="88" t="s">
        <v>1467</v>
      </c>
      <c r="F155" s="89" t="s">
        <v>904</v>
      </c>
      <c r="G155" s="89" t="s">
        <v>889</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1414</v>
      </c>
      <c r="B156" s="84" t="s">
        <v>1468</v>
      </c>
      <c r="C156" s="86" t="s">
        <v>1469</v>
      </c>
      <c r="D156" s="88" t="s">
        <v>1470</v>
      </c>
      <c r="E156" s="88" t="s">
        <v>1471</v>
      </c>
      <c r="F156" s="89" t="s">
        <v>904</v>
      </c>
      <c r="G156" s="89" t="s">
        <v>921</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1472</v>
      </c>
      <c r="B157" s="83">
        <v>17</v>
      </c>
      <c r="C157" s="85" t="s">
        <v>21</v>
      </c>
      <c r="D157" s="87" t="s">
        <v>1473</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1472</v>
      </c>
      <c r="B158" s="84" t="s">
        <v>1474</v>
      </c>
      <c r="C158" s="86" t="s">
        <v>1475</v>
      </c>
      <c r="D158" s="88" t="s">
        <v>1476</v>
      </c>
      <c r="E158" s="88" t="s">
        <v>1477</v>
      </c>
      <c r="F158" s="89" t="s">
        <v>1021</v>
      </c>
      <c r="G158" s="89" t="s">
        <v>884</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1472</v>
      </c>
      <c r="B159" s="84" t="s">
        <v>1478</v>
      </c>
      <c r="C159" s="86" t="s">
        <v>1479</v>
      </c>
      <c r="D159" s="88" t="s">
        <v>1480</v>
      </c>
      <c r="E159" s="88" t="s">
        <v>1481</v>
      </c>
      <c r="F159" s="89" t="s">
        <v>996</v>
      </c>
      <c r="G159" s="89" t="s">
        <v>937</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1472</v>
      </c>
      <c r="B160" s="84" t="s">
        <v>1482</v>
      </c>
      <c r="C160" s="86" t="s">
        <v>1483</v>
      </c>
      <c r="D160" s="88" t="s">
        <v>1484</v>
      </c>
      <c r="E160" s="88" t="s">
        <v>1485</v>
      </c>
      <c r="F160" s="89" t="s">
        <v>996</v>
      </c>
      <c r="G160" s="89" t="s">
        <v>937</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1472</v>
      </c>
      <c r="B161" s="84" t="s">
        <v>1486</v>
      </c>
      <c r="C161" s="86" t="s">
        <v>1487</v>
      </c>
      <c r="D161" s="88" t="s">
        <v>1488</v>
      </c>
      <c r="E161" s="88" t="s">
        <v>1489</v>
      </c>
      <c r="F161" s="89" t="s">
        <v>996</v>
      </c>
      <c r="G161" s="89" t="s">
        <v>937</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1472</v>
      </c>
      <c r="B162" s="84" t="s">
        <v>1490</v>
      </c>
      <c r="C162" s="86" t="s">
        <v>1491</v>
      </c>
      <c r="D162" s="88" t="s">
        <v>1492</v>
      </c>
      <c r="E162" s="88" t="s">
        <v>1493</v>
      </c>
      <c r="F162" s="89" t="s">
        <v>1021</v>
      </c>
      <c r="G162" s="89" t="s">
        <v>884</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1472</v>
      </c>
      <c r="B163" s="84" t="s">
        <v>1494</v>
      </c>
      <c r="C163" s="86" t="s">
        <v>1495</v>
      </c>
      <c r="D163" s="88" t="s">
        <v>1496</v>
      </c>
      <c r="E163" s="88" t="s">
        <v>1497</v>
      </c>
      <c r="F163" s="89" t="s">
        <v>1021</v>
      </c>
      <c r="G163" s="89" t="s">
        <v>884</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1472</v>
      </c>
      <c r="B164" s="84" t="s">
        <v>1498</v>
      </c>
      <c r="C164" s="86" t="s">
        <v>1499</v>
      </c>
      <c r="D164" s="88" t="s">
        <v>1500</v>
      </c>
      <c r="E164" s="88" t="s">
        <v>1501</v>
      </c>
      <c r="F164" s="89" t="s">
        <v>1021</v>
      </c>
      <c r="G164" s="89" t="s">
        <v>1253</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1472</v>
      </c>
      <c r="B165" s="84" t="s">
        <v>1502</v>
      </c>
      <c r="C165" s="86" t="s">
        <v>1503</v>
      </c>
      <c r="D165" s="88" t="s">
        <v>1504</v>
      </c>
      <c r="E165" s="88" t="s">
        <v>1505</v>
      </c>
      <c r="F165" s="89" t="s">
        <v>1021</v>
      </c>
      <c r="G165" s="89" t="s">
        <v>1253</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1472</v>
      </c>
      <c r="B166" s="84" t="s">
        <v>1506</v>
      </c>
      <c r="C166" s="86" t="s">
        <v>1507</v>
      </c>
      <c r="D166" s="88" t="s">
        <v>1508</v>
      </c>
      <c r="E166" s="88" t="s">
        <v>1509</v>
      </c>
      <c r="F166" s="89" t="s">
        <v>996</v>
      </c>
      <c r="G166" s="89" t="s">
        <v>1253</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1510</v>
      </c>
      <c r="B167" s="83">
        <v>18</v>
      </c>
      <c r="C167" s="85" t="s">
        <v>21</v>
      </c>
      <c r="D167" s="87" t="s">
        <v>1511</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1510</v>
      </c>
      <c r="B168" s="84" t="s">
        <v>1512</v>
      </c>
      <c r="C168" s="86" t="s">
        <v>1513</v>
      </c>
      <c r="D168" s="88" t="s">
        <v>1514</v>
      </c>
      <c r="E168" s="88" t="s">
        <v>1515</v>
      </c>
      <c r="F168" s="89" t="s">
        <v>996</v>
      </c>
      <c r="G168" s="89" t="s">
        <v>937</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1510</v>
      </c>
      <c r="B169" s="84" t="s">
        <v>1516</v>
      </c>
      <c r="C169" s="86" t="s">
        <v>1517</v>
      </c>
      <c r="D169" s="88" t="s">
        <v>1518</v>
      </c>
      <c r="E169" s="88" t="s">
        <v>1519</v>
      </c>
      <c r="F169" s="89" t="s">
        <v>1150</v>
      </c>
      <c r="G169" s="89" t="s">
        <v>889</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1510</v>
      </c>
      <c r="B170" s="84" t="s">
        <v>1520</v>
      </c>
      <c r="C170" s="86" t="s">
        <v>1521</v>
      </c>
      <c r="D170" s="88" t="s">
        <v>1522</v>
      </c>
      <c r="E170" s="88" t="s">
        <v>1523</v>
      </c>
      <c r="F170" s="89" t="s">
        <v>1150</v>
      </c>
      <c r="G170" s="89" t="s">
        <v>921</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1510</v>
      </c>
      <c r="B171" s="84" t="s">
        <v>1524</v>
      </c>
      <c r="C171" s="86" t="s">
        <v>1525</v>
      </c>
      <c r="D171" s="88" t="s">
        <v>1526</v>
      </c>
      <c r="E171" s="88" t="s">
        <v>1527</v>
      </c>
      <c r="F171" s="89" t="s">
        <v>1150</v>
      </c>
      <c r="G171" s="89" t="s">
        <v>921</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1510</v>
      </c>
      <c r="B172" s="94" t="s">
        <v>1528</v>
      </c>
      <c r="C172" s="95" t="s">
        <v>1529</v>
      </c>
      <c r="D172" s="96" t="s">
        <v>1530</v>
      </c>
      <c r="E172" s="96" t="s">
        <v>1531</v>
      </c>
      <c r="F172" s="97" t="s">
        <v>1150</v>
      </c>
      <c r="G172" s="97" t="s">
        <v>889</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575</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IFERROR(INDEX('Recommendations'!$H$2:$H$111, MATCH(J2,'Recommendations'!$A$2:$A$111,0))="Implemented", FALSE))</xm:f>
            <x14:dxf>
              <font>
                <color rgb="FF000000"/>
              </font>
              <fill>
                <patternFill>
                  <bgColor rgb="FF3C7D22"/>
                </patternFill>
              </fill>
            </x14:dxf>
          </x14:cfRule>
          <x14:cfRule type="expression" priority="2" id="{00000000-000E-0000-0400-000002000000}">
            <xm:f>AND(J2&lt;&gt;"", IFERROR(INDEX('Recommendations'!$H$2:$H$111, MATCH(J2,'Recommendations'!$A$2:$A$111,0))="Compensated", FALSE))</xm:f>
            <x14:dxf>
              <font>
                <color rgb="FF000000"/>
              </font>
              <fill>
                <patternFill>
                  <bgColor rgb="FFC6E0B4"/>
                </patternFill>
              </fill>
            </x14:dxf>
          </x14:cfRule>
          <x14:cfRule type="expression" priority="3" id="{00000000-000E-0000-0400-000003000000}">
            <xm:f>AND(J2&lt;&gt;"", IFERROR(INDEX('Recommendations'!$H$2:$H$111, MATCH(J2,'Recommendations'!$A$2:$A$111,0))="Testing", FALSE))</xm:f>
            <x14:dxf>
              <font>
                <color rgb="FF000000"/>
              </font>
              <fill>
                <patternFill>
                  <bgColor rgb="FFFFC000"/>
                </patternFill>
              </fill>
            </x14:dxf>
          </x14:cfRule>
          <x14:cfRule type="expression" priority="4" id="{00000000-000E-0000-0400-000004000000}">
            <xm:f>AND(J2&lt;&gt;"", IFERROR(INDEX('Recommendations'!$H$2:$H$111, MATCH(J2,'Recommendations'!$A$2:$A$111,0))="Failed", FALSE))</xm:f>
            <x14:dxf>
              <font>
                <color rgb="FF000000"/>
              </font>
              <fill>
                <patternFill>
                  <bgColor rgb="FFD82891"/>
                </patternFill>
              </fill>
            </x14:dxf>
          </x14:cfRule>
          <x14:cfRule type="expression" priority="5" id="{00000000-000E-0000-0400-000005000000}">
            <xm:f>AND(J2&lt;&gt;"", IFERROR(INDEX('Recommendations'!$H$2:$H$111, MATCH(J2,'Recommendations'!$A$2:$A$111,0))="Risk Accepted", FALSE))</xm:f>
            <x14:dxf>
              <font>
                <color rgb="FF000000"/>
              </font>
              <fill>
                <patternFill>
                  <bgColor rgb="FFD9D9D9"/>
                </patternFill>
              </fill>
            </x14:dxf>
          </x14:cfRule>
          <x14:cfRule type="expression" priority="6" id="{00000000-000E-0000-0400-000006000000}">
            <xm:f>AND(J2&lt;&gt;"", IFERROR(INDEX('Recommendations'!$H$2:$H$111, MATCH(J2,'Recommendations'!$A$2:$A$111,0))="N/A",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1532</v>
      </c>
      <c r="C1" s="124" t="s">
        <v>10</v>
      </c>
      <c r="D1" s="124" t="s">
        <v>737</v>
      </c>
      <c r="E1" s="124" t="s">
        <v>1533</v>
      </c>
      <c r="F1" s="124" t="s">
        <v>1534</v>
      </c>
      <c r="G1" s="124" t="s">
        <v>831</v>
      </c>
      <c r="H1" s="124" t="s">
        <v>832</v>
      </c>
      <c r="I1" s="124" t="s">
        <v>833</v>
      </c>
      <c r="J1" s="124" t="s">
        <v>834</v>
      </c>
      <c r="K1" s="124" t="s">
        <v>835</v>
      </c>
      <c r="L1" s="124" t="s">
        <v>836</v>
      </c>
      <c r="M1" s="124" t="s">
        <v>837</v>
      </c>
      <c r="N1" s="124" t="s">
        <v>838</v>
      </c>
      <c r="O1" s="124" t="s">
        <v>839</v>
      </c>
      <c r="P1" s="124" t="s">
        <v>840</v>
      </c>
      <c r="Q1" s="124" t="s">
        <v>841</v>
      </c>
      <c r="R1" s="124" t="s">
        <v>842</v>
      </c>
      <c r="S1" s="124" t="s">
        <v>843</v>
      </c>
      <c r="T1" s="124" t="s">
        <v>844</v>
      </c>
      <c r="U1" s="124" t="s">
        <v>845</v>
      </c>
      <c r="V1" s="124" t="s">
        <v>846</v>
      </c>
      <c r="W1" s="124" t="s">
        <v>847</v>
      </c>
      <c r="X1" s="124" t="s">
        <v>848</v>
      </c>
      <c r="Y1" s="124" t="s">
        <v>849</v>
      </c>
      <c r="Z1" s="124" t="s">
        <v>850</v>
      </c>
      <c r="AA1" s="124" t="s">
        <v>851</v>
      </c>
      <c r="AB1" s="124" t="s">
        <v>852</v>
      </c>
      <c r="AC1" s="124" t="s">
        <v>853</v>
      </c>
      <c r="AD1" s="124" t="s">
        <v>854</v>
      </c>
      <c r="AE1" s="124" t="s">
        <v>855</v>
      </c>
      <c r="AF1" s="124" t="s">
        <v>856</v>
      </c>
      <c r="AG1" s="124" t="s">
        <v>857</v>
      </c>
      <c r="AH1" s="124" t="s">
        <v>858</v>
      </c>
      <c r="AI1" s="124" t="s">
        <v>859</v>
      </c>
      <c r="AJ1" s="124" t="s">
        <v>860</v>
      </c>
      <c r="AK1" s="124" t="s">
        <v>861</v>
      </c>
      <c r="AL1" s="124" t="s">
        <v>862</v>
      </c>
      <c r="AM1" s="124" t="s">
        <v>863</v>
      </c>
      <c r="AN1" s="124" t="s">
        <v>864</v>
      </c>
      <c r="AO1" s="124" t="s">
        <v>865</v>
      </c>
      <c r="AP1" s="124" t="s">
        <v>866</v>
      </c>
      <c r="AQ1" s="124" t="s">
        <v>867</v>
      </c>
      <c r="AR1" s="124" t="s">
        <v>868</v>
      </c>
      <c r="AS1" s="124" t="s">
        <v>869</v>
      </c>
      <c r="AT1" s="124" t="s">
        <v>870</v>
      </c>
      <c r="AU1" s="125" t="s">
        <v>871</v>
      </c>
    </row>
    <row r="2" spans="1:47" ht="60" customHeight="1" x14ac:dyDescent="0.35">
      <c r="A2" s="119" t="s">
        <v>1535</v>
      </c>
      <c r="B2" s="109" t="s">
        <v>1536</v>
      </c>
      <c r="C2" s="110" t="s">
        <v>1537</v>
      </c>
      <c r="D2" s="110" t="s">
        <v>1538</v>
      </c>
      <c r="E2" s="110" t="s">
        <v>1539</v>
      </c>
      <c r="F2" s="111" t="s">
        <v>1540</v>
      </c>
      <c r="G2" s="112" t="str">
        <f>IF(COUNTIF(H2:AU2,"&lt;&gt;")=0,"",SUMPRODUCT(((Recommendations[ImplStatus]="Implemented")+(Recommendations[ImplStatus]="Compensated"))*ISNUMBER(MATCH(Recommendations[Id],H2:AU2,0)))/COUNTIF(H2:AU2,"&lt;&gt;"))</f>
        <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1541</v>
      </c>
      <c r="B3" s="109" t="s">
        <v>1542</v>
      </c>
      <c r="C3" s="110" t="s">
        <v>1543</v>
      </c>
      <c r="D3" s="110" t="s">
        <v>1544</v>
      </c>
      <c r="E3" s="110" t="s">
        <v>1545</v>
      </c>
      <c r="F3" s="111" t="s">
        <v>1546</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1547</v>
      </c>
      <c r="B4" s="109" t="s">
        <v>1548</v>
      </c>
      <c r="C4" s="110" t="s">
        <v>1549</v>
      </c>
      <c r="D4" s="110" t="s">
        <v>1550</v>
      </c>
      <c r="E4" s="110" t="s">
        <v>1551</v>
      </c>
      <c r="F4" s="111" t="s">
        <v>1552</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1553</v>
      </c>
      <c r="B5" s="109" t="s">
        <v>1554</v>
      </c>
      <c r="C5" s="110" t="s">
        <v>1555</v>
      </c>
      <c r="D5" s="110" t="s">
        <v>1556</v>
      </c>
      <c r="E5" s="110" t="s">
        <v>1557</v>
      </c>
      <c r="F5" s="111" t="s">
        <v>1558</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1559</v>
      </c>
      <c r="B6" s="109" t="s">
        <v>1560</v>
      </c>
      <c r="C6" s="110" t="s">
        <v>1561</v>
      </c>
      <c r="D6" s="110" t="s">
        <v>1562</v>
      </c>
      <c r="E6" s="110" t="s">
        <v>21</v>
      </c>
      <c r="F6" s="111" t="s">
        <v>1563</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1564</v>
      </c>
      <c r="B7" s="109" t="s">
        <v>11</v>
      </c>
      <c r="C7" s="110" t="s">
        <v>1565</v>
      </c>
      <c r="D7" s="110" t="s">
        <v>1566</v>
      </c>
      <c r="E7" s="110" t="s">
        <v>21</v>
      </c>
      <c r="F7" s="111" t="s">
        <v>1567</v>
      </c>
      <c r="G7" s="112" t="str">
        <f>IF(COUNTIF(H7:AU7,"&lt;&gt;")=0,"",SUMPRODUCT(((Recommendations[ImplStatus]="Implemented")+(Recommendations[ImplStatus]="Compensated"))*ISNUMBER(MATCH(Recommendations[Id],H7:AU7,0)))/COUNTIF(H7:AU7,"&lt;&gt;"))</f>
        <v/>
      </c>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1568</v>
      </c>
      <c r="B8" s="109" t="s">
        <v>1569</v>
      </c>
      <c r="C8" s="110" t="s">
        <v>1570</v>
      </c>
      <c r="D8" s="110" t="s">
        <v>1571</v>
      </c>
      <c r="E8" s="110" t="s">
        <v>21</v>
      </c>
      <c r="F8" s="111" t="s">
        <v>1572</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1573</v>
      </c>
      <c r="B9" s="109" t="s">
        <v>1574</v>
      </c>
      <c r="C9" s="110" t="s">
        <v>1575</v>
      </c>
      <c r="D9" s="110" t="s">
        <v>1576</v>
      </c>
      <c r="E9" s="110" t="s">
        <v>21</v>
      </c>
      <c r="F9" s="111" t="s">
        <v>1577</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1578</v>
      </c>
      <c r="B10" s="109" t="s">
        <v>1579</v>
      </c>
      <c r="C10" s="110" t="s">
        <v>1580</v>
      </c>
      <c r="D10" s="110" t="s">
        <v>1581</v>
      </c>
      <c r="E10" s="110" t="s">
        <v>21</v>
      </c>
      <c r="F10" s="111" t="s">
        <v>1582</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1583</v>
      </c>
      <c r="B11" s="109" t="s">
        <v>1584</v>
      </c>
      <c r="C11" s="110" t="s">
        <v>1585</v>
      </c>
      <c r="D11" s="110" t="s">
        <v>1586</v>
      </c>
      <c r="E11" s="110" t="s">
        <v>21</v>
      </c>
      <c r="F11" s="111" t="s">
        <v>1587</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1588</v>
      </c>
      <c r="B12" s="109" t="s">
        <v>1589</v>
      </c>
      <c r="C12" s="110" t="s">
        <v>1590</v>
      </c>
      <c r="D12" s="110" t="s">
        <v>1591</v>
      </c>
      <c r="E12" s="110" t="s">
        <v>21</v>
      </c>
      <c r="F12" s="111" t="s">
        <v>1592</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1593</v>
      </c>
      <c r="B13" s="109" t="s">
        <v>1594</v>
      </c>
      <c r="C13" s="110" t="s">
        <v>1595</v>
      </c>
      <c r="D13" s="110" t="s">
        <v>1596</v>
      </c>
      <c r="E13" s="110" t="s">
        <v>21</v>
      </c>
      <c r="F13" s="111" t="s">
        <v>1597</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1598</v>
      </c>
      <c r="B14" s="109" t="s">
        <v>1599</v>
      </c>
      <c r="C14" s="110" t="s">
        <v>1600</v>
      </c>
      <c r="D14" s="110" t="s">
        <v>1601</v>
      </c>
      <c r="E14" s="110" t="s">
        <v>21</v>
      </c>
      <c r="F14" s="111" t="s">
        <v>1602</v>
      </c>
      <c r="G14" s="112" t="str">
        <f>IF(COUNTIF(H14:AU14,"&lt;&gt;")=0,"",SUMPRODUCT(((Recommendations[ImplStatus]="Implemented")+(Recommendations[ImplStatus]="Compensated"))*ISNUMBER(MATCH(Recommendations[Id],H14:AU14,0)))/COUNTIF(H14:AU14,"&lt;&gt;"))</f>
        <v/>
      </c>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1603</v>
      </c>
      <c r="B15" s="109" t="s">
        <v>1604</v>
      </c>
      <c r="C15" s="110" t="s">
        <v>1605</v>
      </c>
      <c r="D15" s="110" t="s">
        <v>1606</v>
      </c>
      <c r="E15" s="110" t="s">
        <v>21</v>
      </c>
      <c r="F15" s="111" t="s">
        <v>1607</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1608</v>
      </c>
      <c r="B16" s="109" t="s">
        <v>1609</v>
      </c>
      <c r="C16" s="110" t="s">
        <v>1610</v>
      </c>
      <c r="D16" s="110" t="s">
        <v>1611</v>
      </c>
      <c r="E16" s="110" t="s">
        <v>21</v>
      </c>
      <c r="F16" s="111" t="s">
        <v>1612</v>
      </c>
      <c r="G16" s="112" t="str">
        <f>IF(COUNTIF(H16:AU16,"&lt;&gt;")=0,"",SUMPRODUCT(((Recommendations[ImplStatus]="Implemented")+(Recommendations[ImplStatus]="Compensated"))*ISNUMBER(MATCH(Recommendations[Id],H16:AU16,0)))/COUNTIF(H16:AU16,"&lt;&gt;"))</f>
        <v/>
      </c>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1613</v>
      </c>
      <c r="B17" s="109" t="s">
        <v>1614</v>
      </c>
      <c r="C17" s="110" t="s">
        <v>1615</v>
      </c>
      <c r="D17" s="110" t="s">
        <v>1616</v>
      </c>
      <c r="E17" s="110" t="s">
        <v>21</v>
      </c>
      <c r="F17" s="111" t="s">
        <v>1617</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1618</v>
      </c>
      <c r="B18" s="109" t="s">
        <v>1619</v>
      </c>
      <c r="C18" s="110" t="s">
        <v>1620</v>
      </c>
      <c r="D18" s="110" t="s">
        <v>1621</v>
      </c>
      <c r="E18" s="110" t="s">
        <v>21</v>
      </c>
      <c r="F18" s="111" t="s">
        <v>1622</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1623</v>
      </c>
      <c r="B19" s="109" t="s">
        <v>1624</v>
      </c>
      <c r="C19" s="110" t="s">
        <v>1625</v>
      </c>
      <c r="D19" s="110" t="s">
        <v>1626</v>
      </c>
      <c r="E19" s="110" t="s">
        <v>21</v>
      </c>
      <c r="F19" s="111" t="s">
        <v>1627</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1628</v>
      </c>
      <c r="B20" s="109" t="s">
        <v>1629</v>
      </c>
      <c r="C20" s="110" t="s">
        <v>1630</v>
      </c>
      <c r="D20" s="110" t="s">
        <v>1631</v>
      </c>
      <c r="E20" s="110" t="s">
        <v>21</v>
      </c>
      <c r="F20" s="111" t="s">
        <v>1632</v>
      </c>
      <c r="G20" s="112">
        <f>IF(COUNTIF(H20:AU20,"&lt;&gt;")=0,"",SUMPRODUCT(((Recommendations[ImplStatus]="Implemented")+(Recommendations[ImplStatus]="Compensated"))*ISNUMBER(MATCH(Recommendations[Id],H20:AU20,0)))/COUNTIF(H20:AU20,"&lt;&gt;"))</f>
        <v>0</v>
      </c>
      <c r="H20" s="113" t="s">
        <v>25</v>
      </c>
      <c r="I20" s="113" t="s">
        <v>87</v>
      </c>
      <c r="J20" s="113" t="s">
        <v>119</v>
      </c>
      <c r="K20" s="113" t="s">
        <v>124</v>
      </c>
      <c r="L20" s="113" t="s">
        <v>154</v>
      </c>
      <c r="M20" s="113" t="s">
        <v>246</v>
      </c>
      <c r="N20" s="113" t="s">
        <v>276</v>
      </c>
      <c r="O20" s="113" t="s">
        <v>307</v>
      </c>
      <c r="P20" s="113" t="s">
        <v>362</v>
      </c>
      <c r="Q20" s="113" t="s">
        <v>367</v>
      </c>
      <c r="R20" s="113" t="s">
        <v>387</v>
      </c>
      <c r="S20" s="113" t="s">
        <v>407</v>
      </c>
      <c r="T20" s="113" t="s">
        <v>412</v>
      </c>
      <c r="U20" s="113" t="s">
        <v>427</v>
      </c>
      <c r="V20" s="113" t="s">
        <v>461</v>
      </c>
      <c r="W20" s="113" t="s">
        <v>466</v>
      </c>
      <c r="X20" s="113" t="s">
        <v>471</v>
      </c>
      <c r="Y20" s="113" t="s">
        <v>485</v>
      </c>
      <c r="Z20" s="113" t="s">
        <v>490</v>
      </c>
      <c r="AA20" s="113" t="s">
        <v>500</v>
      </c>
      <c r="AB20" s="113" t="s">
        <v>525</v>
      </c>
      <c r="AC20" s="113" t="s">
        <v>545</v>
      </c>
      <c r="AD20" s="113" t="s">
        <v>555</v>
      </c>
      <c r="AE20" s="113" t="s">
        <v>560</v>
      </c>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1633</v>
      </c>
      <c r="B21" s="109" t="s">
        <v>1634</v>
      </c>
      <c r="C21" s="110" t="s">
        <v>1635</v>
      </c>
      <c r="D21" s="110" t="s">
        <v>1636</v>
      </c>
      <c r="E21" s="110" t="s">
        <v>1637</v>
      </c>
      <c r="F21" s="111" t="s">
        <v>1638</v>
      </c>
      <c r="G21" s="112">
        <f>IF(COUNTIF(H21:AU21,"&lt;&gt;")=0,"",SUMPRODUCT(((Recommendations[ImplStatus]="Implemented")+(Recommendations[ImplStatus]="Compensated"))*ISNUMBER(MATCH(Recommendations[Id],H21:AU21,0)))/COUNTIF(H21:AU21,"&lt;&gt;"))</f>
        <v>0</v>
      </c>
      <c r="H21" s="113" t="s">
        <v>52</v>
      </c>
      <c r="I21" s="113" t="s">
        <v>216</v>
      </c>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1639</v>
      </c>
      <c r="B22" s="109" t="s">
        <v>1640</v>
      </c>
      <c r="C22" s="110" t="s">
        <v>1641</v>
      </c>
      <c r="D22" s="110" t="s">
        <v>1642</v>
      </c>
      <c r="E22" s="110" t="s">
        <v>1643</v>
      </c>
      <c r="F22" s="111" t="s">
        <v>1644</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1645</v>
      </c>
      <c r="B23" s="109" t="s">
        <v>1646</v>
      </c>
      <c r="C23" s="110" t="s">
        <v>1647</v>
      </c>
      <c r="D23" s="110" t="s">
        <v>1648</v>
      </c>
      <c r="E23" s="110" t="s">
        <v>1649</v>
      </c>
      <c r="F23" s="111" t="s">
        <v>1650</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1651</v>
      </c>
      <c r="B24" s="109" t="s">
        <v>1652</v>
      </c>
      <c r="C24" s="110" t="s">
        <v>1653</v>
      </c>
      <c r="D24" s="110" t="s">
        <v>1654</v>
      </c>
      <c r="E24" s="110" t="s">
        <v>21</v>
      </c>
      <c r="F24" s="111" t="s">
        <v>1655</v>
      </c>
      <c r="G24" s="112">
        <f>IF(COUNTIF(H24:AU24,"&lt;&gt;")=0,"",SUMPRODUCT(((Recommendations[ImplStatus]="Implemented")+(Recommendations[ImplStatus]="Compensated"))*ISNUMBER(MATCH(Recommendations[Id],H24:AU24,0)))/COUNTIF(H24:AU24,"&lt;&gt;"))</f>
        <v>0</v>
      </c>
      <c r="H24" s="113" t="s">
        <v>261</v>
      </c>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1656</v>
      </c>
      <c r="B25" s="109" t="s">
        <v>1657</v>
      </c>
      <c r="C25" s="110" t="s">
        <v>1658</v>
      </c>
      <c r="D25" s="110" t="s">
        <v>21</v>
      </c>
      <c r="E25" s="110" t="s">
        <v>21</v>
      </c>
      <c r="F25" s="111" t="s">
        <v>1659</v>
      </c>
      <c r="G25" s="112">
        <f>IF(COUNTIF(H25:AU25,"&lt;&gt;")=0,"",SUMPRODUCT(((Recommendations[ImplStatus]="Implemented")+(Recommendations[ImplStatus]="Compensated"))*ISNUMBER(MATCH(Recommendations[Id],H25:AU25,0)))/COUNTIF(H25:AU25,"&lt;&gt;"))</f>
        <v>0</v>
      </c>
      <c r="H25" s="113" t="s">
        <v>520</v>
      </c>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1660</v>
      </c>
      <c r="B26" s="109" t="s">
        <v>1661</v>
      </c>
      <c r="C26" s="110" t="s">
        <v>1662</v>
      </c>
      <c r="D26" s="110" t="s">
        <v>1663</v>
      </c>
      <c r="E26" s="110" t="s">
        <v>21</v>
      </c>
      <c r="F26" s="111" t="s">
        <v>1664</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1665</v>
      </c>
      <c r="B27" s="109" t="s">
        <v>1666</v>
      </c>
      <c r="C27" s="110" t="s">
        <v>1667</v>
      </c>
      <c r="D27" s="110" t="s">
        <v>1668</v>
      </c>
      <c r="E27" s="110" t="s">
        <v>1669</v>
      </c>
      <c r="F27" s="111" t="s">
        <v>1670</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1671</v>
      </c>
      <c r="B28" s="109" t="s">
        <v>1672</v>
      </c>
      <c r="C28" s="110" t="s">
        <v>1673</v>
      </c>
      <c r="D28" s="110" t="s">
        <v>21</v>
      </c>
      <c r="E28" s="110" t="s">
        <v>21</v>
      </c>
      <c r="F28" s="111" t="s">
        <v>1674</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1675</v>
      </c>
      <c r="B29" s="109" t="s">
        <v>1676</v>
      </c>
      <c r="C29" s="110" t="s">
        <v>1677</v>
      </c>
      <c r="D29" s="110" t="s">
        <v>1678</v>
      </c>
      <c r="E29" s="110" t="s">
        <v>1679</v>
      </c>
      <c r="F29" s="111" t="s">
        <v>1680</v>
      </c>
      <c r="G29" s="112">
        <f>IF(COUNTIF(H29:AU29,"&lt;&gt;")=0,"",SUMPRODUCT(((Recommendations[ImplStatus]="Implemented")+(Recommendations[ImplStatus]="Compensated"))*ISNUMBER(MATCH(Recommendations[Id],H29:AU29,0)))/COUNTIF(H29:AU29,"&lt;&gt;"))</f>
        <v>0</v>
      </c>
      <c r="H29" s="113" t="s">
        <v>31</v>
      </c>
      <c r="I29" s="113" t="s">
        <v>139</v>
      </c>
      <c r="J29" s="113" t="s">
        <v>159</v>
      </c>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1681</v>
      </c>
      <c r="B30" s="109" t="s">
        <v>1682</v>
      </c>
      <c r="C30" s="110" t="s">
        <v>1683</v>
      </c>
      <c r="D30" s="110" t="s">
        <v>1684</v>
      </c>
      <c r="E30" s="110" t="s">
        <v>21</v>
      </c>
      <c r="F30" s="111" t="s">
        <v>1685</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1686</v>
      </c>
      <c r="B31" s="109" t="s">
        <v>1687</v>
      </c>
      <c r="C31" s="110" t="s">
        <v>1688</v>
      </c>
      <c r="D31" s="110" t="s">
        <v>1689</v>
      </c>
      <c r="E31" s="110" t="s">
        <v>1690</v>
      </c>
      <c r="F31" s="111" t="s">
        <v>1691</v>
      </c>
      <c r="G31" s="112">
        <f>IF(COUNTIF(H31:AU31,"&lt;&gt;")=0,"",SUMPRODUCT(((Recommendations[ImplStatus]="Implemented")+(Recommendations[ImplStatus]="Compensated"))*ISNUMBER(MATCH(Recommendations[Id],H31:AU31,0)))/COUNTIF(H31:AU31,"&lt;&gt;"))</f>
        <v>0</v>
      </c>
      <c r="H31" s="113" t="s">
        <v>72</v>
      </c>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1692</v>
      </c>
      <c r="B32" s="109" t="s">
        <v>1693</v>
      </c>
      <c r="C32" s="110" t="s">
        <v>1694</v>
      </c>
      <c r="D32" s="110" t="s">
        <v>1695</v>
      </c>
      <c r="E32" s="110" t="s">
        <v>1696</v>
      </c>
      <c r="F32" s="111" t="s">
        <v>1697</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1698</v>
      </c>
      <c r="B33" s="109" t="s">
        <v>1699</v>
      </c>
      <c r="C33" s="110" t="s">
        <v>1700</v>
      </c>
      <c r="D33" s="110" t="s">
        <v>1701</v>
      </c>
      <c r="E33" s="110" t="s">
        <v>21</v>
      </c>
      <c r="F33" s="111" t="s">
        <v>1702</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1703</v>
      </c>
      <c r="B34" s="109" t="s">
        <v>1704</v>
      </c>
      <c r="C34" s="110" t="s">
        <v>1705</v>
      </c>
      <c r="D34" s="110" t="s">
        <v>1706</v>
      </c>
      <c r="E34" s="110" t="s">
        <v>21</v>
      </c>
      <c r="F34" s="111" t="s">
        <v>1707</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1708</v>
      </c>
      <c r="B35" s="109" t="s">
        <v>1709</v>
      </c>
      <c r="C35" s="110" t="s">
        <v>1710</v>
      </c>
      <c r="D35" s="110" t="s">
        <v>1711</v>
      </c>
      <c r="E35" s="110" t="s">
        <v>1712</v>
      </c>
      <c r="F35" s="111" t="s">
        <v>1713</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1714</v>
      </c>
      <c r="B36" s="109" t="s">
        <v>1715</v>
      </c>
      <c r="C36" s="110" t="s">
        <v>1716</v>
      </c>
      <c r="D36" s="110" t="s">
        <v>1717</v>
      </c>
      <c r="E36" s="110" t="s">
        <v>1718</v>
      </c>
      <c r="F36" s="111" t="s">
        <v>1719</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1720</v>
      </c>
      <c r="B37" s="109" t="s">
        <v>1721</v>
      </c>
      <c r="C37" s="110" t="s">
        <v>1722</v>
      </c>
      <c r="D37" s="110" t="s">
        <v>1723</v>
      </c>
      <c r="E37" s="110" t="s">
        <v>21</v>
      </c>
      <c r="F37" s="111" t="s">
        <v>1724</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1725</v>
      </c>
      <c r="B38" s="109" t="s">
        <v>1726</v>
      </c>
      <c r="C38" s="110" t="s">
        <v>1727</v>
      </c>
      <c r="D38" s="110" t="s">
        <v>1728</v>
      </c>
      <c r="E38" s="110" t="s">
        <v>1729</v>
      </c>
      <c r="F38" s="111" t="s">
        <v>1730</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1731</v>
      </c>
      <c r="B39" s="109" t="s">
        <v>1732</v>
      </c>
      <c r="C39" s="110" t="s">
        <v>1733</v>
      </c>
      <c r="D39" s="110" t="s">
        <v>1734</v>
      </c>
      <c r="E39" s="110" t="s">
        <v>21</v>
      </c>
      <c r="F39" s="111" t="s">
        <v>1735</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1736</v>
      </c>
      <c r="B40" s="109" t="s">
        <v>1737</v>
      </c>
      <c r="C40" s="110" t="s">
        <v>1738</v>
      </c>
      <c r="D40" s="110" t="s">
        <v>1739</v>
      </c>
      <c r="E40" s="110" t="s">
        <v>1740</v>
      </c>
      <c r="F40" s="111" t="s">
        <v>1741</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1742</v>
      </c>
      <c r="B41" s="109" t="s">
        <v>1743</v>
      </c>
      <c r="C41" s="110" t="s">
        <v>1744</v>
      </c>
      <c r="D41" s="110" t="s">
        <v>1745</v>
      </c>
      <c r="E41" s="110" t="s">
        <v>1746</v>
      </c>
      <c r="F41" s="111" t="s">
        <v>1747</v>
      </c>
      <c r="G41" s="112">
        <f>IF(COUNTIF(H41:AU41,"&lt;&gt;")=0,"",SUMPRODUCT(((Recommendations[ImplStatus]="Implemented")+(Recommendations[ImplStatus]="Compensated"))*ISNUMBER(MATCH(Recommendations[Id],H41:AU41,0)))/COUNTIF(H41:AU41,"&lt;&gt;"))</f>
        <v>0</v>
      </c>
      <c r="H41" s="113" t="s">
        <v>144</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1748</v>
      </c>
      <c r="B42" s="109" t="s">
        <v>1749</v>
      </c>
      <c r="C42" s="110" t="s">
        <v>1750</v>
      </c>
      <c r="D42" s="110" t="s">
        <v>1751</v>
      </c>
      <c r="E42" s="110" t="s">
        <v>1752</v>
      </c>
      <c r="F42" s="111" t="s">
        <v>1753</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1754</v>
      </c>
      <c r="B43" s="109" t="s">
        <v>1755</v>
      </c>
      <c r="C43" s="110" t="s">
        <v>1756</v>
      </c>
      <c r="D43" s="110" t="s">
        <v>1757</v>
      </c>
      <c r="E43" s="110" t="s">
        <v>1758</v>
      </c>
      <c r="F43" s="111" t="s">
        <v>1759</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1760</v>
      </c>
      <c r="B44" s="109" t="s">
        <v>1761</v>
      </c>
      <c r="C44" s="110" t="s">
        <v>1762</v>
      </c>
      <c r="D44" s="110" t="s">
        <v>1763</v>
      </c>
      <c r="E44" s="110" t="s">
        <v>21</v>
      </c>
      <c r="F44" s="111" t="s">
        <v>1764</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1765</v>
      </c>
      <c r="B45" s="114" t="s">
        <v>1766</v>
      </c>
      <c r="C45" s="115" t="s">
        <v>1767</v>
      </c>
      <c r="D45" s="115" t="s">
        <v>1768</v>
      </c>
      <c r="E45" s="115" t="s">
        <v>1769</v>
      </c>
      <c r="F45" s="116" t="s">
        <v>1770</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575</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IFERROR(INDEX('Recommendations'!$H$2:$H$111, MATCH(H2,'Recommendations'!$A$2:$A$111,0))="Implemented", FALSE))</xm:f>
            <x14:dxf>
              <font>
                <color rgb="FF000000"/>
              </font>
              <fill>
                <patternFill>
                  <bgColor rgb="FF3C7D22"/>
                </patternFill>
              </fill>
            </x14:dxf>
          </x14:cfRule>
          <x14:cfRule type="expression" priority="2" id="{00000000-000E-0000-0500-000002000000}">
            <xm:f>AND(H2&lt;&gt;"", IFERROR(INDEX('Recommendations'!$H$2:$H$111, MATCH(H2,'Recommendations'!$A$2:$A$111,0))="Compensated", FALSE))</xm:f>
            <x14:dxf>
              <font>
                <color rgb="FF000000"/>
              </font>
              <fill>
                <patternFill>
                  <bgColor rgb="FFC6E0B4"/>
                </patternFill>
              </fill>
            </x14:dxf>
          </x14:cfRule>
          <x14:cfRule type="expression" priority="3" id="{00000000-000E-0000-0500-000003000000}">
            <xm:f>AND(H2&lt;&gt;"", IFERROR(INDEX('Recommendations'!$H$2:$H$111, MATCH(H2,'Recommendations'!$A$2:$A$111,0))="Testing", FALSE))</xm:f>
            <x14:dxf>
              <font>
                <color rgb="FF000000"/>
              </font>
              <fill>
                <patternFill>
                  <bgColor rgb="FFFFC000"/>
                </patternFill>
              </fill>
            </x14:dxf>
          </x14:cfRule>
          <x14:cfRule type="expression" priority="4" id="{00000000-000E-0000-0500-000004000000}">
            <xm:f>AND(H2&lt;&gt;"", IFERROR(INDEX('Recommendations'!$H$2:$H$111, MATCH(H2,'Recommendations'!$A$2:$A$111,0))="Failed", FALSE))</xm:f>
            <x14:dxf>
              <font>
                <color rgb="FF000000"/>
              </font>
              <fill>
                <patternFill>
                  <bgColor rgb="FFD82891"/>
                </patternFill>
              </fill>
            </x14:dxf>
          </x14:cfRule>
          <x14:cfRule type="expression" priority="5" id="{00000000-000E-0000-0500-000005000000}">
            <xm:f>AND(H2&lt;&gt;"", IFERROR(INDEX('Recommendations'!$H$2:$H$111, MATCH(H2,'Recommendations'!$A$2:$A$111,0))="Risk Accepted", FALSE))</xm:f>
            <x14:dxf>
              <font>
                <color rgb="FF000000"/>
              </font>
              <fill>
                <patternFill>
                  <bgColor rgb="FFD9D9D9"/>
                </patternFill>
              </fill>
            </x14:dxf>
          </x14:cfRule>
          <x14:cfRule type="expression" priority="6" id="{00000000-000E-0000-0500-000006000000}">
            <xm:f>AND(H2&lt;&gt;"", IFERROR(INDEX('Recommendations'!$H$2:$H$111, MATCH(H2,'Recommendations'!$A$2:$A$111,0))="N/A",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1771</v>
      </c>
      <c r="B1" s="148" t="s">
        <v>825</v>
      </c>
      <c r="C1" s="148" t="s">
        <v>0</v>
      </c>
      <c r="D1" s="148" t="s">
        <v>826</v>
      </c>
      <c r="E1" s="148" t="s">
        <v>1772</v>
      </c>
      <c r="F1" s="148" t="s">
        <v>1773</v>
      </c>
      <c r="G1" s="148" t="s">
        <v>1774</v>
      </c>
      <c r="H1" s="148" t="s">
        <v>1775</v>
      </c>
      <c r="I1" s="148" t="s">
        <v>831</v>
      </c>
      <c r="J1" s="148" t="s">
        <v>832</v>
      </c>
      <c r="K1" s="148" t="s">
        <v>833</v>
      </c>
      <c r="L1" s="148" t="s">
        <v>834</v>
      </c>
      <c r="M1" s="148" t="s">
        <v>835</v>
      </c>
      <c r="N1" s="148" t="s">
        <v>836</v>
      </c>
      <c r="O1" s="148" t="s">
        <v>837</v>
      </c>
      <c r="P1" s="148" t="s">
        <v>838</v>
      </c>
      <c r="Q1" s="148" t="s">
        <v>839</v>
      </c>
      <c r="R1" s="148" t="s">
        <v>840</v>
      </c>
      <c r="S1" s="148" t="s">
        <v>841</v>
      </c>
      <c r="T1" s="148" t="s">
        <v>842</v>
      </c>
      <c r="U1" s="148" t="s">
        <v>843</v>
      </c>
      <c r="V1" s="148" t="s">
        <v>844</v>
      </c>
      <c r="W1" s="148" t="s">
        <v>845</v>
      </c>
      <c r="X1" s="148" t="s">
        <v>846</v>
      </c>
      <c r="Y1" s="148" t="s">
        <v>847</v>
      </c>
      <c r="Z1" s="148" t="s">
        <v>848</v>
      </c>
      <c r="AA1" s="148" t="s">
        <v>849</v>
      </c>
      <c r="AB1" s="148" t="s">
        <v>850</v>
      </c>
      <c r="AC1" s="148" t="s">
        <v>851</v>
      </c>
      <c r="AD1" s="148" t="s">
        <v>852</v>
      </c>
      <c r="AE1" s="148" t="s">
        <v>853</v>
      </c>
      <c r="AF1" s="148" t="s">
        <v>854</v>
      </c>
      <c r="AG1" s="148" t="s">
        <v>855</v>
      </c>
      <c r="AH1" s="148" t="s">
        <v>856</v>
      </c>
      <c r="AI1" s="148" t="s">
        <v>857</v>
      </c>
      <c r="AJ1" s="148" t="s">
        <v>858</v>
      </c>
      <c r="AK1" s="148" t="s">
        <v>859</v>
      </c>
      <c r="AL1" s="148" t="s">
        <v>860</v>
      </c>
      <c r="AM1" s="148" t="s">
        <v>861</v>
      </c>
      <c r="AN1" s="148" t="s">
        <v>862</v>
      </c>
      <c r="AO1" s="148" t="s">
        <v>863</v>
      </c>
      <c r="AP1" s="148" t="s">
        <v>864</v>
      </c>
      <c r="AQ1" s="148" t="s">
        <v>865</v>
      </c>
      <c r="AR1" s="148" t="s">
        <v>866</v>
      </c>
      <c r="AS1" s="148" t="s">
        <v>867</v>
      </c>
      <c r="AT1" s="148" t="s">
        <v>868</v>
      </c>
      <c r="AU1" s="148" t="s">
        <v>869</v>
      </c>
      <c r="AV1" s="148" t="s">
        <v>870</v>
      </c>
      <c r="AW1" s="149" t="s">
        <v>871</v>
      </c>
    </row>
    <row r="2" spans="1:49" ht="60" customHeight="1" outlineLevel="1" x14ac:dyDescent="0.35">
      <c r="A2" s="141" t="s">
        <v>1776</v>
      </c>
      <c r="B2" s="127"/>
      <c r="C2" s="126" t="s">
        <v>1777</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1776</v>
      </c>
      <c r="B3" s="128" t="s">
        <v>1042</v>
      </c>
      <c r="C3" s="129" t="s">
        <v>1778</v>
      </c>
      <c r="D3" s="131" t="s">
        <v>1779</v>
      </c>
      <c r="E3" s="131" t="s">
        <v>1780</v>
      </c>
      <c r="F3" s="131" t="s">
        <v>1781</v>
      </c>
      <c r="G3" s="131" t="s">
        <v>1782</v>
      </c>
      <c r="H3" s="131" t="s">
        <v>1783</v>
      </c>
      <c r="I3" s="133">
        <f>IF(COUNTIF(J3:AW3,"&lt;&gt;")=0,"",SUMPRODUCT(((Recommendations[ImplStatus]="Implemented")+(Recommendations[ImplStatus]="Compensated"))*ISNUMBER(MATCH(Recommendations[Id],J3:AW3,0)))/COUNTIF(J3:AW3,"&lt;&gt;"))</f>
        <v>0</v>
      </c>
      <c r="J3" s="135" t="s">
        <v>67</v>
      </c>
      <c r="K3" s="135" t="s">
        <v>77</v>
      </c>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1776</v>
      </c>
      <c r="B4" s="128" t="s">
        <v>1784</v>
      </c>
      <c r="C4" s="129" t="s">
        <v>1785</v>
      </c>
      <c r="D4" s="131" t="s">
        <v>1786</v>
      </c>
      <c r="E4" s="131" t="s">
        <v>1787</v>
      </c>
      <c r="F4" s="131" t="s">
        <v>1788</v>
      </c>
      <c r="G4" s="131" t="s">
        <v>1789</v>
      </c>
      <c r="H4" s="131" t="s">
        <v>1790</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1776</v>
      </c>
      <c r="B5" s="128" t="s">
        <v>1791</v>
      </c>
      <c r="C5" s="129" t="s">
        <v>1792</v>
      </c>
      <c r="D5" s="131" t="s">
        <v>1793</v>
      </c>
      <c r="E5" s="131" t="s">
        <v>1794</v>
      </c>
      <c r="F5" s="131" t="s">
        <v>1795</v>
      </c>
      <c r="G5" s="131" t="s">
        <v>1796</v>
      </c>
      <c r="H5" s="131" t="s">
        <v>1797</v>
      </c>
      <c r="I5" s="133">
        <f>IF(COUNTIF(J5:AW5,"&lt;&gt;")=0,"",SUMPRODUCT(((Recommendations[ImplStatus]="Implemented")+(Recommendations[ImplStatus]="Compensated"))*ISNUMBER(MATCH(Recommendations[Id],J5:AW5,0)))/COUNTIF(J5:AW5,"&lt;&gt;"))</f>
        <v>0</v>
      </c>
      <c r="J5" s="135" t="s">
        <v>52</v>
      </c>
      <c r="K5" s="135" t="s">
        <v>216</v>
      </c>
      <c r="L5" s="135" t="s">
        <v>505</v>
      </c>
      <c r="M5" s="135" t="s">
        <v>510</v>
      </c>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1776</v>
      </c>
      <c r="B6" s="128" t="s">
        <v>1798</v>
      </c>
      <c r="C6" s="129" t="s">
        <v>1799</v>
      </c>
      <c r="D6" s="131" t="s">
        <v>1800</v>
      </c>
      <c r="E6" s="131" t="s">
        <v>1801</v>
      </c>
      <c r="F6" s="131" t="s">
        <v>1802</v>
      </c>
      <c r="G6" s="131" t="s">
        <v>1803</v>
      </c>
      <c r="H6" s="131" t="s">
        <v>1804</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1776</v>
      </c>
      <c r="B7" s="128" t="s">
        <v>1805</v>
      </c>
      <c r="C7" s="129" t="s">
        <v>1806</v>
      </c>
      <c r="D7" s="131" t="s">
        <v>1807</v>
      </c>
      <c r="E7" s="131" t="s">
        <v>1808</v>
      </c>
      <c r="F7" s="131" t="s">
        <v>1809</v>
      </c>
      <c r="G7" s="131" t="s">
        <v>1810</v>
      </c>
      <c r="H7" s="131" t="s">
        <v>1811</v>
      </c>
      <c r="I7" s="133">
        <f>IF(COUNTIF(J7:AW7,"&lt;&gt;")=0,"",SUMPRODUCT(((Recommendations[ImplStatus]="Implemented")+(Recommendations[ImplStatus]="Compensated"))*ISNUMBER(MATCH(Recommendations[Id],J7:AW7,0)))/COUNTIF(J7:AW7,"&lt;&gt;"))</f>
        <v>0</v>
      </c>
      <c r="J7" s="135" t="s">
        <v>62</v>
      </c>
      <c r="K7" s="135" t="s">
        <v>72</v>
      </c>
      <c r="L7" s="135" t="s">
        <v>174</v>
      </c>
      <c r="M7" s="135" t="s">
        <v>382</v>
      </c>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1776</v>
      </c>
      <c r="B8" s="128" t="s">
        <v>1812</v>
      </c>
      <c r="C8" s="129" t="s">
        <v>1813</v>
      </c>
      <c r="D8" s="131" t="s">
        <v>1814</v>
      </c>
      <c r="E8" s="131" t="s">
        <v>1815</v>
      </c>
      <c r="F8" s="131" t="s">
        <v>1816</v>
      </c>
      <c r="G8" s="131" t="s">
        <v>1810</v>
      </c>
      <c r="H8" s="131" t="s">
        <v>1817</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1776</v>
      </c>
      <c r="B9" s="128" t="s">
        <v>1818</v>
      </c>
      <c r="C9" s="129" t="s">
        <v>1819</v>
      </c>
      <c r="D9" s="131" t="s">
        <v>1820</v>
      </c>
      <c r="E9" s="131" t="s">
        <v>1821</v>
      </c>
      <c r="F9" s="131" t="s">
        <v>1822</v>
      </c>
      <c r="G9" s="131" t="s">
        <v>1823</v>
      </c>
      <c r="H9" s="131" t="s">
        <v>1824</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1776</v>
      </c>
      <c r="B10" s="128" t="s">
        <v>1825</v>
      </c>
      <c r="C10" s="129" t="s">
        <v>1826</v>
      </c>
      <c r="D10" s="131" t="s">
        <v>1827</v>
      </c>
      <c r="E10" s="131" t="s">
        <v>1828</v>
      </c>
      <c r="F10" s="131" t="s">
        <v>1829</v>
      </c>
      <c r="G10" s="131" t="s">
        <v>1830</v>
      </c>
      <c r="H10" s="131" t="s">
        <v>1831</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1776</v>
      </c>
      <c r="B11" s="128" t="s">
        <v>1832</v>
      </c>
      <c r="C11" s="129" t="s">
        <v>1833</v>
      </c>
      <c r="D11" s="131" t="s">
        <v>1834</v>
      </c>
      <c r="E11" s="131" t="s">
        <v>1835</v>
      </c>
      <c r="F11" s="131" t="s">
        <v>1836</v>
      </c>
      <c r="G11" s="131" t="s">
        <v>1837</v>
      </c>
      <c r="H11" s="131" t="s">
        <v>1838</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1776</v>
      </c>
      <c r="B12" s="128" t="s">
        <v>1839</v>
      </c>
      <c r="C12" s="129" t="s">
        <v>1840</v>
      </c>
      <c r="D12" s="131" t="s">
        <v>1841</v>
      </c>
      <c r="E12" s="131" t="s">
        <v>1842</v>
      </c>
      <c r="F12" s="131" t="s">
        <v>1843</v>
      </c>
      <c r="G12" s="131" t="s">
        <v>1830</v>
      </c>
      <c r="H12" s="131" t="s">
        <v>1844</v>
      </c>
      <c r="I12" s="133">
        <f>IF(COUNTIF(J12:AW12,"&lt;&gt;")=0,"",SUMPRODUCT(((Recommendations[ImplStatus]="Implemented")+(Recommendations[ImplStatus]="Compensated"))*ISNUMBER(MATCH(Recommendations[Id],J12:AW12,0)))/COUNTIF(J12:AW12,"&lt;&gt;"))</f>
        <v>0</v>
      </c>
      <c r="J12" s="135" t="s">
        <v>42</v>
      </c>
      <c r="K12" s="135" t="s">
        <v>169</v>
      </c>
      <c r="L12" s="135" t="s">
        <v>221</v>
      </c>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1776</v>
      </c>
      <c r="B13" s="128" t="s">
        <v>1845</v>
      </c>
      <c r="C13" s="129" t="s">
        <v>1846</v>
      </c>
      <c r="D13" s="131" t="s">
        <v>1847</v>
      </c>
      <c r="E13" s="131" t="s">
        <v>1848</v>
      </c>
      <c r="F13" s="131" t="s">
        <v>1849</v>
      </c>
      <c r="G13" s="131" t="s">
        <v>1830</v>
      </c>
      <c r="H13" s="131" t="s">
        <v>1850</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1776</v>
      </c>
      <c r="B14" s="128" t="s">
        <v>1851</v>
      </c>
      <c r="C14" s="129" t="s">
        <v>1852</v>
      </c>
      <c r="D14" s="131" t="s">
        <v>1853</v>
      </c>
      <c r="E14" s="131" t="s">
        <v>1854</v>
      </c>
      <c r="F14" s="131" t="s">
        <v>1855</v>
      </c>
      <c r="G14" s="131" t="s">
        <v>1856</v>
      </c>
      <c r="H14" s="131" t="s">
        <v>1857</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1776</v>
      </c>
      <c r="B15" s="128" t="s">
        <v>1858</v>
      </c>
      <c r="C15" s="129" t="s">
        <v>1859</v>
      </c>
      <c r="D15" s="131" t="s">
        <v>1860</v>
      </c>
      <c r="E15" s="131" t="s">
        <v>1861</v>
      </c>
      <c r="F15" s="131" t="s">
        <v>1862</v>
      </c>
      <c r="G15" s="131" t="s">
        <v>1863</v>
      </c>
      <c r="H15" s="131" t="s">
        <v>1864</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1776</v>
      </c>
      <c r="B16" s="128" t="s">
        <v>1865</v>
      </c>
      <c r="C16" s="129" t="s">
        <v>1866</v>
      </c>
      <c r="D16" s="131" t="s">
        <v>1867</v>
      </c>
      <c r="E16" s="131" t="s">
        <v>1868</v>
      </c>
      <c r="F16" s="131" t="s">
        <v>1869</v>
      </c>
      <c r="G16" s="131" t="s">
        <v>1870</v>
      </c>
      <c r="H16" s="131" t="s">
        <v>1871</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1776</v>
      </c>
      <c r="B17" s="128" t="s">
        <v>1872</v>
      </c>
      <c r="C17" s="129" t="s">
        <v>1873</v>
      </c>
      <c r="D17" s="131" t="s">
        <v>1874</v>
      </c>
      <c r="E17" s="131" t="s">
        <v>1875</v>
      </c>
      <c r="F17" s="131" t="s">
        <v>1876</v>
      </c>
      <c r="G17" s="131" t="s">
        <v>1877</v>
      </c>
      <c r="H17" s="131" t="s">
        <v>1878</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1776</v>
      </c>
      <c r="B18" s="128" t="s">
        <v>1879</v>
      </c>
      <c r="C18" s="129" t="s">
        <v>1880</v>
      </c>
      <c r="D18" s="131" t="s">
        <v>1881</v>
      </c>
      <c r="E18" s="131" t="s">
        <v>1882</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1883</v>
      </c>
      <c r="B19" s="127"/>
      <c r="C19" s="126" t="s">
        <v>1884</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1883</v>
      </c>
      <c r="B20" s="128" t="s">
        <v>1885</v>
      </c>
      <c r="C20" s="129" t="s">
        <v>1886</v>
      </c>
      <c r="D20" s="131" t="s">
        <v>1887</v>
      </c>
      <c r="E20" s="131" t="s">
        <v>1888</v>
      </c>
      <c r="F20" s="131" t="s">
        <v>1889</v>
      </c>
      <c r="G20" s="131" t="s">
        <v>1890</v>
      </c>
      <c r="H20" s="131" t="s">
        <v>1891</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1883</v>
      </c>
      <c r="B21" s="128" t="s">
        <v>1892</v>
      </c>
      <c r="C21" s="129" t="s">
        <v>1893</v>
      </c>
      <c r="D21" s="131" t="s">
        <v>1894</v>
      </c>
      <c r="E21" s="131" t="s">
        <v>1895</v>
      </c>
      <c r="F21" s="131" t="s">
        <v>1896</v>
      </c>
      <c r="G21" s="131" t="s">
        <v>1897</v>
      </c>
      <c r="H21" s="131" t="s">
        <v>1898</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1899</v>
      </c>
      <c r="B22" s="127"/>
      <c r="C22" s="126" t="s">
        <v>1900</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1899</v>
      </c>
      <c r="B23" s="128" t="s">
        <v>1901</v>
      </c>
      <c r="C23" s="129" t="s">
        <v>1902</v>
      </c>
      <c r="D23" s="131" t="s">
        <v>1903</v>
      </c>
      <c r="E23" s="131" t="s">
        <v>1904</v>
      </c>
      <c r="F23" s="131" t="s">
        <v>1905</v>
      </c>
      <c r="G23" s="131" t="s">
        <v>1906</v>
      </c>
      <c r="H23" s="131" t="s">
        <v>1907</v>
      </c>
      <c r="I23" s="133">
        <f>IF(COUNTIF(J23:AW23,"&lt;&gt;")=0,"",SUMPRODUCT(((Recommendations[ImplStatus]="Implemented")+(Recommendations[ImplStatus]="Compensated"))*ISNUMBER(MATCH(Recommendations[Id],J23:AW23,0)))/COUNTIF(J23:AW23,"&lt;&gt;"))</f>
        <v>0</v>
      </c>
      <c r="J23" s="135" t="s">
        <v>14</v>
      </c>
      <c r="K23" s="135" t="s">
        <v>92</v>
      </c>
      <c r="L23" s="135" t="s">
        <v>211</v>
      </c>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1899</v>
      </c>
      <c r="B24" s="128" t="s">
        <v>1908</v>
      </c>
      <c r="C24" s="129" t="s">
        <v>1909</v>
      </c>
      <c r="D24" s="131" t="s">
        <v>1910</v>
      </c>
      <c r="E24" s="131" t="s">
        <v>1911</v>
      </c>
      <c r="F24" s="131" t="s">
        <v>1912</v>
      </c>
      <c r="G24" s="131" t="s">
        <v>1913</v>
      </c>
      <c r="H24" s="131" t="s">
        <v>1914</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1899</v>
      </c>
      <c r="B25" s="128" t="s">
        <v>1915</v>
      </c>
      <c r="C25" s="129" t="s">
        <v>1916</v>
      </c>
      <c r="D25" s="131" t="s">
        <v>1917</v>
      </c>
      <c r="E25" s="131" t="s">
        <v>1918</v>
      </c>
      <c r="F25" s="131" t="s">
        <v>1919</v>
      </c>
      <c r="G25" s="131" t="s">
        <v>1920</v>
      </c>
      <c r="H25" s="131" t="s">
        <v>1921</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1899</v>
      </c>
      <c r="B26" s="128" t="s">
        <v>1922</v>
      </c>
      <c r="C26" s="129" t="s">
        <v>1923</v>
      </c>
      <c r="D26" s="131" t="s">
        <v>1924</v>
      </c>
      <c r="E26" s="131" t="s">
        <v>1925</v>
      </c>
      <c r="F26" s="131" t="s">
        <v>1926</v>
      </c>
      <c r="G26" s="131" t="s">
        <v>1913</v>
      </c>
      <c r="H26" s="131" t="s">
        <v>1927</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1899</v>
      </c>
      <c r="B27" s="128" t="s">
        <v>1928</v>
      </c>
      <c r="C27" s="129" t="s">
        <v>1929</v>
      </c>
      <c r="D27" s="131" t="s">
        <v>1930</v>
      </c>
      <c r="E27" s="131" t="s">
        <v>1931</v>
      </c>
      <c r="F27" s="131" t="s">
        <v>1932</v>
      </c>
      <c r="G27" s="131" t="s">
        <v>1933</v>
      </c>
      <c r="H27" s="131" t="s">
        <v>1934</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1899</v>
      </c>
      <c r="B28" s="128" t="s">
        <v>1935</v>
      </c>
      <c r="C28" s="129" t="s">
        <v>1936</v>
      </c>
      <c r="D28" s="131" t="s">
        <v>1937</v>
      </c>
      <c r="E28" s="131" t="s">
        <v>1938</v>
      </c>
      <c r="F28" s="131" t="s">
        <v>1939</v>
      </c>
      <c r="G28" s="131" t="s">
        <v>1940</v>
      </c>
      <c r="H28" s="131" t="s">
        <v>1941</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1899</v>
      </c>
      <c r="B29" s="128" t="s">
        <v>1942</v>
      </c>
      <c r="C29" s="129" t="s">
        <v>1943</v>
      </c>
      <c r="D29" s="131" t="s">
        <v>1944</v>
      </c>
      <c r="E29" s="131" t="s">
        <v>1945</v>
      </c>
      <c r="F29" s="131" t="s">
        <v>1946</v>
      </c>
      <c r="G29" s="131" t="s">
        <v>1830</v>
      </c>
      <c r="H29" s="131" t="s">
        <v>1947</v>
      </c>
      <c r="I29" s="133">
        <f>IF(COUNTIF(J29:AW29,"&lt;&gt;")=0,"",SUMPRODUCT(((Recommendations[ImplStatus]="Implemented")+(Recommendations[ImplStatus]="Compensated"))*ISNUMBER(MATCH(Recommendations[Id],J29:AW29,0)))/COUNTIF(J29:AW29,"&lt;&gt;"))</f>
        <v>0</v>
      </c>
      <c r="J29" s="135" t="s">
        <v>312</v>
      </c>
      <c r="K29" s="135" t="s">
        <v>530</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1899</v>
      </c>
      <c r="B30" s="128" t="s">
        <v>1948</v>
      </c>
      <c r="C30" s="129" t="s">
        <v>1949</v>
      </c>
      <c r="D30" s="131" t="s">
        <v>1950</v>
      </c>
      <c r="E30" s="131" t="s">
        <v>1951</v>
      </c>
      <c r="F30" s="131" t="s">
        <v>1952</v>
      </c>
      <c r="G30" s="131" t="s">
        <v>1913</v>
      </c>
      <c r="H30" s="131" t="s">
        <v>1953</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1954</v>
      </c>
      <c r="B31" s="127"/>
      <c r="C31" s="126" t="s">
        <v>1955</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1954</v>
      </c>
      <c r="B32" s="128" t="s">
        <v>1956</v>
      </c>
      <c r="C32" s="129" t="s">
        <v>1957</v>
      </c>
      <c r="D32" s="131" t="s">
        <v>1958</v>
      </c>
      <c r="E32" s="131" t="s">
        <v>1959</v>
      </c>
      <c r="F32" s="131" t="s">
        <v>1960</v>
      </c>
      <c r="G32" s="131" t="s">
        <v>1961</v>
      </c>
      <c r="H32" s="131" t="s">
        <v>1962</v>
      </c>
      <c r="I32" s="133">
        <f>IF(COUNTIF(J32:AW32,"&lt;&gt;")=0,"",SUMPRODUCT(((Recommendations[ImplStatus]="Implemented")+(Recommendations[ImplStatus]="Compensated"))*ISNUMBER(MATCH(Recommendations[Id],J32:AW32,0)))/COUNTIF(J32:AW32,"&lt;&gt;"))</f>
        <v>0</v>
      </c>
      <c r="J32" s="135" t="s">
        <v>97</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1954</v>
      </c>
      <c r="B33" s="128" t="s">
        <v>1963</v>
      </c>
      <c r="C33" s="129" t="s">
        <v>1964</v>
      </c>
      <c r="D33" s="131" t="s">
        <v>1965</v>
      </c>
      <c r="E33" s="131" t="s">
        <v>1966</v>
      </c>
      <c r="F33" s="131" t="s">
        <v>1967</v>
      </c>
      <c r="G33" s="131" t="s">
        <v>1968</v>
      </c>
      <c r="H33" s="131" t="s">
        <v>1969</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1954</v>
      </c>
      <c r="B34" s="128" t="s">
        <v>1970</v>
      </c>
      <c r="C34" s="129" t="s">
        <v>1971</v>
      </c>
      <c r="D34" s="131" t="s">
        <v>1972</v>
      </c>
      <c r="E34" s="131" t="s">
        <v>1973</v>
      </c>
      <c r="F34" s="131" t="s">
        <v>1974</v>
      </c>
      <c r="G34" s="131" t="s">
        <v>1975</v>
      </c>
      <c r="H34" s="131" t="s">
        <v>1976</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1954</v>
      </c>
      <c r="B35" s="128" t="s">
        <v>1977</v>
      </c>
      <c r="C35" s="129" t="s">
        <v>1978</v>
      </c>
      <c r="D35" s="131" t="s">
        <v>1979</v>
      </c>
      <c r="E35" s="131" t="s">
        <v>1980</v>
      </c>
      <c r="F35" s="131" t="s">
        <v>1981</v>
      </c>
      <c r="G35" s="131" t="s">
        <v>1982</v>
      </c>
      <c r="H35" s="131" t="s">
        <v>1983</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1954</v>
      </c>
      <c r="B36" s="128" t="s">
        <v>1984</v>
      </c>
      <c r="C36" s="129" t="s">
        <v>1985</v>
      </c>
      <c r="D36" s="131" t="s">
        <v>1986</v>
      </c>
      <c r="E36" s="131" t="s">
        <v>1987</v>
      </c>
      <c r="F36" s="131" t="s">
        <v>1988</v>
      </c>
      <c r="G36" s="131" t="s">
        <v>1989</v>
      </c>
      <c r="H36" s="131" t="s">
        <v>1990</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1954</v>
      </c>
      <c r="B37" s="128" t="s">
        <v>1991</v>
      </c>
      <c r="C37" s="129" t="s">
        <v>1992</v>
      </c>
      <c r="D37" s="131" t="s">
        <v>1993</v>
      </c>
      <c r="E37" s="131" t="s">
        <v>1994</v>
      </c>
      <c r="F37" s="131" t="s">
        <v>1995</v>
      </c>
      <c r="G37" s="131" t="s">
        <v>1996</v>
      </c>
      <c r="H37" s="131" t="s">
        <v>1997</v>
      </c>
      <c r="I37" s="133">
        <f>IF(COUNTIF(J37:AW37,"&lt;&gt;")=0,"",SUMPRODUCT(((Recommendations[ImplStatus]="Implemented")+(Recommendations[ImplStatus]="Compensated"))*ISNUMBER(MATCH(Recommendations[Id],J37:AW37,0)))/COUNTIF(J37:AW37,"&lt;&gt;"))</f>
        <v>0</v>
      </c>
      <c r="J37" s="135" t="s">
        <v>103</v>
      </c>
      <c r="K37" s="135" t="s">
        <v>109</v>
      </c>
      <c r="L37" s="135" t="s">
        <v>114</v>
      </c>
      <c r="M37" s="135" t="s">
        <v>119</v>
      </c>
      <c r="N37" s="135" t="s">
        <v>124</v>
      </c>
      <c r="O37" s="135" t="s">
        <v>129</v>
      </c>
      <c r="P37" s="135" t="s">
        <v>134</v>
      </c>
      <c r="Q37" s="135" t="s">
        <v>231</v>
      </c>
      <c r="R37" s="135" t="s">
        <v>241</v>
      </c>
      <c r="S37" s="135" t="s">
        <v>246</v>
      </c>
      <c r="T37" s="135" t="s">
        <v>256</v>
      </c>
      <c r="U37" s="135" t="s">
        <v>286</v>
      </c>
      <c r="V37" s="135" t="s">
        <v>296</v>
      </c>
      <c r="W37" s="135" t="s">
        <v>302</v>
      </c>
      <c r="X37" s="135" t="s">
        <v>307</v>
      </c>
      <c r="Y37" s="135" t="s">
        <v>535</v>
      </c>
      <c r="Z37" s="135" t="s">
        <v>540</v>
      </c>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1954</v>
      </c>
      <c r="B38" s="128" t="s">
        <v>1998</v>
      </c>
      <c r="C38" s="129" t="s">
        <v>1999</v>
      </c>
      <c r="D38" s="131" t="s">
        <v>2000</v>
      </c>
      <c r="E38" s="131" t="s">
        <v>2001</v>
      </c>
      <c r="F38" s="131" t="s">
        <v>2002</v>
      </c>
      <c r="G38" s="131" t="s">
        <v>2003</v>
      </c>
      <c r="H38" s="131" t="s">
        <v>2004</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1954</v>
      </c>
      <c r="B39" s="128" t="s">
        <v>2005</v>
      </c>
      <c r="C39" s="129" t="s">
        <v>2006</v>
      </c>
      <c r="D39" s="131" t="s">
        <v>2007</v>
      </c>
      <c r="E39" s="131" t="s">
        <v>2008</v>
      </c>
      <c r="F39" s="131" t="s">
        <v>2009</v>
      </c>
      <c r="G39" s="131" t="s">
        <v>2010</v>
      </c>
      <c r="H39" s="131" t="s">
        <v>2011</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1954</v>
      </c>
      <c r="B40" s="128" t="s">
        <v>2012</v>
      </c>
      <c r="C40" s="129" t="s">
        <v>2013</v>
      </c>
      <c r="D40" s="131" t="s">
        <v>2014</v>
      </c>
      <c r="E40" s="131" t="s">
        <v>2015</v>
      </c>
      <c r="F40" s="131" t="s">
        <v>2016</v>
      </c>
      <c r="G40" s="131" t="s">
        <v>2017</v>
      </c>
      <c r="H40" s="131" t="s">
        <v>2018</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1954</v>
      </c>
      <c r="B41" s="128" t="s">
        <v>2019</v>
      </c>
      <c r="C41" s="129" t="s">
        <v>2020</v>
      </c>
      <c r="D41" s="131" t="s">
        <v>2021</v>
      </c>
      <c r="E41" s="131" t="s">
        <v>2022</v>
      </c>
      <c r="F41" s="131" t="s">
        <v>2023</v>
      </c>
      <c r="G41" s="131" t="s">
        <v>1961</v>
      </c>
      <c r="H41" s="131" t="s">
        <v>2024</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2025</v>
      </c>
      <c r="B42" s="127"/>
      <c r="C42" s="126" t="s">
        <v>2026</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2025</v>
      </c>
      <c r="B43" s="128" t="s">
        <v>2027</v>
      </c>
      <c r="C43" s="129" t="s">
        <v>2028</v>
      </c>
      <c r="D43" s="131" t="s">
        <v>2029</v>
      </c>
      <c r="E43" s="131" t="s">
        <v>2030</v>
      </c>
      <c r="F43" s="131" t="s">
        <v>2031</v>
      </c>
      <c r="G43" s="131" t="s">
        <v>2032</v>
      </c>
      <c r="H43" s="131" t="s">
        <v>2033</v>
      </c>
      <c r="I43" s="133">
        <f>IF(COUNTIF(J43:AW43,"&lt;&gt;")=0,"",SUMPRODUCT(((Recommendations[ImplStatus]="Implemented")+(Recommendations[ImplStatus]="Compensated"))*ISNUMBER(MATCH(Recommendations[Id],J43:AW43,0)))/COUNTIF(J43:AW43,"&lt;&gt;"))</f>
        <v>0</v>
      </c>
      <c r="J43" s="135" t="s">
        <v>31</v>
      </c>
      <c r="K43" s="135" t="s">
        <v>82</v>
      </c>
      <c r="L43" s="135" t="s">
        <v>139</v>
      </c>
      <c r="M43" s="135" t="s">
        <v>149</v>
      </c>
      <c r="N43" s="135" t="s">
        <v>159</v>
      </c>
      <c r="O43" s="135" t="s">
        <v>164</v>
      </c>
      <c r="P43" s="135" t="s">
        <v>200</v>
      </c>
      <c r="Q43" s="135" t="s">
        <v>205</v>
      </c>
      <c r="R43" s="135" t="s">
        <v>377</v>
      </c>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2025</v>
      </c>
      <c r="B44" s="128" t="s">
        <v>2034</v>
      </c>
      <c r="C44" s="129" t="s">
        <v>2035</v>
      </c>
      <c r="D44" s="131" t="s">
        <v>2036</v>
      </c>
      <c r="E44" s="131" t="s">
        <v>2037</v>
      </c>
      <c r="F44" s="131" t="s">
        <v>2038</v>
      </c>
      <c r="G44" s="131" t="s">
        <v>2039</v>
      </c>
      <c r="H44" s="131" t="s">
        <v>2040</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2025</v>
      </c>
      <c r="B45" s="128" t="s">
        <v>2041</v>
      </c>
      <c r="C45" s="129" t="s">
        <v>2042</v>
      </c>
      <c r="D45" s="131" t="s">
        <v>2043</v>
      </c>
      <c r="E45" s="131" t="s">
        <v>2044</v>
      </c>
      <c r="F45" s="131" t="s">
        <v>2045</v>
      </c>
      <c r="G45" s="131" t="s">
        <v>2046</v>
      </c>
      <c r="H45" s="131" t="s">
        <v>2047</v>
      </c>
      <c r="I45" s="133">
        <f>IF(COUNTIF(J45:AW45,"&lt;&gt;")=0,"",SUMPRODUCT(((Recommendations[ImplStatus]="Implemented")+(Recommendations[ImplStatus]="Compensated"))*ISNUMBER(MATCH(Recommendations[Id],J45:AW45,0)))/COUNTIF(J45:AW45,"&lt;&gt;"))</f>
        <v>0</v>
      </c>
      <c r="J45" s="135" t="s">
        <v>261</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2025</v>
      </c>
      <c r="B46" s="128" t="s">
        <v>2048</v>
      </c>
      <c r="C46" s="129" t="s">
        <v>2049</v>
      </c>
      <c r="D46" s="131" t="s">
        <v>2050</v>
      </c>
      <c r="E46" s="131" t="s">
        <v>2051</v>
      </c>
      <c r="F46" s="131" t="s">
        <v>2052</v>
      </c>
      <c r="G46" s="131" t="s">
        <v>2046</v>
      </c>
      <c r="H46" s="131" t="s">
        <v>2053</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2025</v>
      </c>
      <c r="B47" s="128" t="s">
        <v>2054</v>
      </c>
      <c r="C47" s="129" t="s">
        <v>2055</v>
      </c>
      <c r="D47" s="131" t="s">
        <v>2056</v>
      </c>
      <c r="E47" s="131" t="s">
        <v>2057</v>
      </c>
      <c r="F47" s="131" t="s">
        <v>2058</v>
      </c>
      <c r="G47" s="131" t="s">
        <v>2059</v>
      </c>
      <c r="H47" s="131" t="s">
        <v>2060</v>
      </c>
      <c r="I47" s="133">
        <f>IF(COUNTIF(J47:AW47,"&lt;&gt;")=0,"",SUMPRODUCT(((Recommendations[ImplStatus]="Implemented")+(Recommendations[ImplStatus]="Compensated"))*ISNUMBER(MATCH(Recommendations[Id],J47:AW47,0)))/COUNTIF(J47:AW47,"&lt;&gt;"))</f>
        <v>0</v>
      </c>
      <c r="J47" s="135" t="s">
        <v>226</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2025</v>
      </c>
      <c r="B48" s="128" t="s">
        <v>2061</v>
      </c>
      <c r="C48" s="129" t="s">
        <v>2062</v>
      </c>
      <c r="D48" s="131" t="s">
        <v>2063</v>
      </c>
      <c r="E48" s="131" t="s">
        <v>2064</v>
      </c>
      <c r="F48" s="131" t="s">
        <v>2065</v>
      </c>
      <c r="G48" s="131" t="s">
        <v>2066</v>
      </c>
      <c r="H48" s="131" t="s">
        <v>2067</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2025</v>
      </c>
      <c r="B49" s="128" t="s">
        <v>2068</v>
      </c>
      <c r="C49" s="129" t="s">
        <v>2069</v>
      </c>
      <c r="D49" s="131" t="s">
        <v>2070</v>
      </c>
      <c r="E49" s="131" t="s">
        <v>2071</v>
      </c>
      <c r="F49" s="131" t="s">
        <v>2072</v>
      </c>
      <c r="G49" s="131" t="s">
        <v>1830</v>
      </c>
      <c r="H49" s="131" t="s">
        <v>2073</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2025</v>
      </c>
      <c r="B50" s="128" t="s">
        <v>2074</v>
      </c>
      <c r="C50" s="129" t="s">
        <v>2075</v>
      </c>
      <c r="D50" s="131" t="s">
        <v>2076</v>
      </c>
      <c r="E50" s="131" t="s">
        <v>2077</v>
      </c>
      <c r="F50" s="131" t="s">
        <v>2078</v>
      </c>
      <c r="G50" s="131" t="s">
        <v>2079</v>
      </c>
      <c r="H50" s="131" t="s">
        <v>2080</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2081</v>
      </c>
      <c r="B51" s="127"/>
      <c r="C51" s="126" t="s">
        <v>2082</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2081</v>
      </c>
      <c r="B52" s="128" t="s">
        <v>2083</v>
      </c>
      <c r="C52" s="129" t="s">
        <v>2084</v>
      </c>
      <c r="D52" s="131" t="s">
        <v>2085</v>
      </c>
      <c r="E52" s="131" t="s">
        <v>2086</v>
      </c>
      <c r="F52" s="131" t="s">
        <v>2087</v>
      </c>
      <c r="G52" s="131" t="s">
        <v>2088</v>
      </c>
      <c r="H52" s="131" t="s">
        <v>2089</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2081</v>
      </c>
      <c r="B53" s="128" t="s">
        <v>2090</v>
      </c>
      <c r="C53" s="129" t="s">
        <v>2091</v>
      </c>
      <c r="D53" s="131" t="s">
        <v>2092</v>
      </c>
      <c r="E53" s="131" t="s">
        <v>2093</v>
      </c>
      <c r="F53" s="131" t="s">
        <v>2094</v>
      </c>
      <c r="G53" s="131" t="s">
        <v>2095</v>
      </c>
      <c r="H53" s="131" t="s">
        <v>2096</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2081</v>
      </c>
      <c r="B54" s="128" t="s">
        <v>2097</v>
      </c>
      <c r="C54" s="129" t="s">
        <v>2098</v>
      </c>
      <c r="D54" s="131" t="s">
        <v>2099</v>
      </c>
      <c r="E54" s="131" t="s">
        <v>2100</v>
      </c>
      <c r="F54" s="131" t="s">
        <v>2101</v>
      </c>
      <c r="G54" s="131" t="s">
        <v>2102</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2081</v>
      </c>
      <c r="B55" s="128" t="s">
        <v>2103</v>
      </c>
      <c r="C55" s="129" t="s">
        <v>2104</v>
      </c>
      <c r="D55" s="131" t="s">
        <v>2105</v>
      </c>
      <c r="E55" s="131" t="s">
        <v>2106</v>
      </c>
      <c r="F55" s="131" t="s">
        <v>2107</v>
      </c>
      <c r="G55" s="131" t="s">
        <v>2108</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2081</v>
      </c>
      <c r="B56" s="128" t="s">
        <v>2109</v>
      </c>
      <c r="C56" s="129" t="s">
        <v>2110</v>
      </c>
      <c r="D56" s="131" t="s">
        <v>2111</v>
      </c>
      <c r="E56" s="131" t="s">
        <v>2112</v>
      </c>
      <c r="F56" s="131" t="s">
        <v>2113</v>
      </c>
      <c r="G56" s="131" t="s">
        <v>2114</v>
      </c>
      <c r="H56" s="131" t="s">
        <v>2115</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2116</v>
      </c>
      <c r="B57" s="127"/>
      <c r="C57" s="126" t="s">
        <v>2117</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2116</v>
      </c>
      <c r="B58" s="128" t="s">
        <v>2118</v>
      </c>
      <c r="C58" s="129" t="s">
        <v>2119</v>
      </c>
      <c r="D58" s="131" t="s">
        <v>2120</v>
      </c>
      <c r="E58" s="131" t="s">
        <v>2121</v>
      </c>
      <c r="F58" s="131" t="s">
        <v>2122</v>
      </c>
      <c r="G58" s="131" t="s">
        <v>2123</v>
      </c>
      <c r="H58" s="131" t="s">
        <v>2124</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2116</v>
      </c>
      <c r="B59" s="128" t="s">
        <v>2125</v>
      </c>
      <c r="C59" s="129" t="s">
        <v>2126</v>
      </c>
      <c r="D59" s="131" t="s">
        <v>2127</v>
      </c>
      <c r="E59" s="131" t="s">
        <v>2128</v>
      </c>
      <c r="F59" s="131" t="s">
        <v>2129</v>
      </c>
      <c r="G59" s="131" t="s">
        <v>2130</v>
      </c>
      <c r="H59" s="131" t="s">
        <v>2131</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2116</v>
      </c>
      <c r="B60" s="128" t="s">
        <v>2132</v>
      </c>
      <c r="C60" s="129" t="s">
        <v>2133</v>
      </c>
      <c r="D60" s="131" t="s">
        <v>2134</v>
      </c>
      <c r="E60" s="131" t="s">
        <v>2135</v>
      </c>
      <c r="F60" s="131" t="s">
        <v>2136</v>
      </c>
      <c r="G60" s="131" t="s">
        <v>2137</v>
      </c>
      <c r="H60" s="131" t="s">
        <v>2138</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2139</v>
      </c>
      <c r="B61" s="127"/>
      <c r="C61" s="126" t="s">
        <v>2140</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2139</v>
      </c>
      <c r="B62" s="128" t="s">
        <v>2141</v>
      </c>
      <c r="C62" s="129" t="s">
        <v>2142</v>
      </c>
      <c r="D62" s="131" t="s">
        <v>2143</v>
      </c>
      <c r="E62" s="131" t="s">
        <v>2144</v>
      </c>
      <c r="F62" s="131" t="s">
        <v>2145</v>
      </c>
      <c r="G62" s="131" t="s">
        <v>2146</v>
      </c>
      <c r="H62" s="131" t="s">
        <v>2147</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2139</v>
      </c>
      <c r="B63" s="128" t="s">
        <v>2148</v>
      </c>
      <c r="C63" s="129" t="s">
        <v>2149</v>
      </c>
      <c r="D63" s="131" t="s">
        <v>2150</v>
      </c>
      <c r="E63" s="131" t="s">
        <v>2151</v>
      </c>
      <c r="F63" s="131" t="s">
        <v>2152</v>
      </c>
      <c r="G63" s="131" t="s">
        <v>2153</v>
      </c>
      <c r="H63" s="131" t="s">
        <v>2154</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2139</v>
      </c>
      <c r="B64" s="128" t="s">
        <v>2155</v>
      </c>
      <c r="C64" s="129" t="s">
        <v>2156</v>
      </c>
      <c r="D64" s="131" t="s">
        <v>2157</v>
      </c>
      <c r="E64" s="131" t="s">
        <v>2158</v>
      </c>
      <c r="F64" s="131" t="s">
        <v>2159</v>
      </c>
      <c r="G64" s="131" t="s">
        <v>2160</v>
      </c>
      <c r="H64" s="131" t="s">
        <v>2161</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2139</v>
      </c>
      <c r="B65" s="128" t="s">
        <v>2162</v>
      </c>
      <c r="C65" s="129" t="s">
        <v>2163</v>
      </c>
      <c r="D65" s="131" t="s">
        <v>2164</v>
      </c>
      <c r="E65" s="131" t="s">
        <v>2165</v>
      </c>
      <c r="F65" s="131" t="s">
        <v>2166</v>
      </c>
      <c r="G65" s="131" t="s">
        <v>2167</v>
      </c>
      <c r="H65" s="131" t="s">
        <v>2168</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2139</v>
      </c>
      <c r="B66" s="128" t="s">
        <v>2169</v>
      </c>
      <c r="C66" s="129" t="s">
        <v>2170</v>
      </c>
      <c r="D66" s="131" t="s">
        <v>2171</v>
      </c>
      <c r="E66" s="131" t="s">
        <v>2172</v>
      </c>
      <c r="F66" s="131" t="s">
        <v>2173</v>
      </c>
      <c r="G66" s="131" t="s">
        <v>2174</v>
      </c>
      <c r="H66" s="131" t="s">
        <v>2175</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2139</v>
      </c>
      <c r="B67" s="128" t="s">
        <v>2176</v>
      </c>
      <c r="C67" s="129" t="s">
        <v>2177</v>
      </c>
      <c r="D67" s="131" t="s">
        <v>2178</v>
      </c>
      <c r="E67" s="131" t="s">
        <v>2179</v>
      </c>
      <c r="F67" s="131" t="s">
        <v>2180</v>
      </c>
      <c r="G67" s="131" t="s">
        <v>2181</v>
      </c>
      <c r="H67" s="131" t="s">
        <v>2182</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2139</v>
      </c>
      <c r="B68" s="128" t="s">
        <v>2183</v>
      </c>
      <c r="C68" s="129" t="s">
        <v>2184</v>
      </c>
      <c r="D68" s="131" t="s">
        <v>2185</v>
      </c>
      <c r="E68" s="131" t="s">
        <v>2186</v>
      </c>
      <c r="F68" s="131" t="s">
        <v>2187</v>
      </c>
      <c r="G68" s="131" t="s">
        <v>2188</v>
      </c>
      <c r="H68" s="131" t="s">
        <v>2189</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2190</v>
      </c>
      <c r="B69" s="127"/>
      <c r="C69" s="126" t="s">
        <v>2191</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2190</v>
      </c>
      <c r="B70" s="128" t="s">
        <v>2192</v>
      </c>
      <c r="C70" s="129" t="s">
        <v>2193</v>
      </c>
      <c r="D70" s="131" t="s">
        <v>2194</v>
      </c>
      <c r="E70" s="131" t="s">
        <v>2195</v>
      </c>
      <c r="F70" s="131" t="s">
        <v>2196</v>
      </c>
      <c r="G70" s="131" t="s">
        <v>2197</v>
      </c>
      <c r="H70" s="131" t="s">
        <v>2198</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2190</v>
      </c>
      <c r="B71" s="128" t="s">
        <v>2199</v>
      </c>
      <c r="C71" s="129" t="s">
        <v>2200</v>
      </c>
      <c r="D71" s="131" t="s">
        <v>2201</v>
      </c>
      <c r="E71" s="131" t="s">
        <v>2202</v>
      </c>
      <c r="F71" s="131" t="s">
        <v>2203</v>
      </c>
      <c r="G71" s="131" t="s">
        <v>2204</v>
      </c>
      <c r="H71" s="131" t="s">
        <v>2205</v>
      </c>
      <c r="I71" s="133">
        <f>IF(COUNTIF(J71:AW71,"&lt;&gt;")=0,"",SUMPRODUCT(((Recommendations[ImplStatus]="Implemented")+(Recommendations[ImplStatus]="Compensated"))*ISNUMBER(MATCH(Recommendations[Id],J71:AW71,0)))/COUNTIF(J71:AW71,"&lt;&gt;"))</f>
        <v>0</v>
      </c>
      <c r="J71" s="135" t="s">
        <v>37</v>
      </c>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2206</v>
      </c>
      <c r="B72" s="127"/>
      <c r="C72" s="126" t="s">
        <v>2207</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2206</v>
      </c>
      <c r="B73" s="128" t="s">
        <v>2208</v>
      </c>
      <c r="C73" s="129" t="s">
        <v>2209</v>
      </c>
      <c r="D73" s="131" t="s">
        <v>2210</v>
      </c>
      <c r="E73" s="131" t="s">
        <v>2211</v>
      </c>
      <c r="F73" s="131" t="s">
        <v>2212</v>
      </c>
      <c r="G73" s="131" t="s">
        <v>2213</v>
      </c>
      <c r="H73" s="131" t="s">
        <v>2214</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2206</v>
      </c>
      <c r="B74" s="128" t="s">
        <v>2215</v>
      </c>
      <c r="C74" s="129" t="s">
        <v>2216</v>
      </c>
      <c r="D74" s="131" t="s">
        <v>2217</v>
      </c>
      <c r="E74" s="131" t="s">
        <v>2218</v>
      </c>
      <c r="F74" s="131" t="s">
        <v>2219</v>
      </c>
      <c r="G74" s="131" t="s">
        <v>2220</v>
      </c>
      <c r="H74" s="131" t="s">
        <v>2221</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2206</v>
      </c>
      <c r="B75" s="128" t="s">
        <v>2222</v>
      </c>
      <c r="C75" s="129" t="s">
        <v>2223</v>
      </c>
      <c r="D75" s="131" t="s">
        <v>2224</v>
      </c>
      <c r="E75" s="131" t="s">
        <v>2225</v>
      </c>
      <c r="F75" s="131" t="s">
        <v>2226</v>
      </c>
      <c r="G75" s="131" t="s">
        <v>2227</v>
      </c>
      <c r="H75" s="131" t="s">
        <v>2228</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2206</v>
      </c>
      <c r="B76" s="128" t="s">
        <v>2229</v>
      </c>
      <c r="C76" s="129" t="s">
        <v>2230</v>
      </c>
      <c r="D76" s="131" t="s">
        <v>2231</v>
      </c>
      <c r="E76" s="131" t="s">
        <v>2232</v>
      </c>
      <c r="F76" s="131" t="s">
        <v>2233</v>
      </c>
      <c r="G76" s="131" t="s">
        <v>2234</v>
      </c>
      <c r="H76" s="131" t="s">
        <v>2235</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2206</v>
      </c>
      <c r="B77" s="128" t="s">
        <v>2236</v>
      </c>
      <c r="C77" s="129" t="s">
        <v>2237</v>
      </c>
      <c r="D77" s="131" t="s">
        <v>2238</v>
      </c>
      <c r="E77" s="131" t="s">
        <v>2239</v>
      </c>
      <c r="F77" s="131" t="s">
        <v>2240</v>
      </c>
      <c r="G77" s="131" t="s">
        <v>2234</v>
      </c>
      <c r="H77" s="131" t="s">
        <v>2241</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2242</v>
      </c>
      <c r="B78" s="127"/>
      <c r="C78" s="126" t="s">
        <v>2243</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2242</v>
      </c>
      <c r="B79" s="128" t="s">
        <v>2242</v>
      </c>
      <c r="C79" s="129" t="s">
        <v>2244</v>
      </c>
      <c r="D79" s="131" t="s">
        <v>2245</v>
      </c>
      <c r="E79" s="131" t="s">
        <v>2246</v>
      </c>
      <c r="F79" s="131" t="s">
        <v>2247</v>
      </c>
      <c r="G79" s="131" t="s">
        <v>2248</v>
      </c>
      <c r="H79" s="131" t="s">
        <v>2249</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2242</v>
      </c>
      <c r="B80" s="128" t="s">
        <v>2250</v>
      </c>
      <c r="C80" s="129" t="s">
        <v>2251</v>
      </c>
      <c r="D80" s="131" t="s">
        <v>2252</v>
      </c>
      <c r="E80" s="131" t="s">
        <v>2253</v>
      </c>
      <c r="F80" s="131" t="s">
        <v>2254</v>
      </c>
      <c r="G80" s="131" t="s">
        <v>2255</v>
      </c>
      <c r="H80" s="131" t="s">
        <v>2256</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2242</v>
      </c>
      <c r="B81" s="128" t="s">
        <v>2257</v>
      </c>
      <c r="C81" s="129" t="s">
        <v>2258</v>
      </c>
      <c r="D81" s="131" t="s">
        <v>2259</v>
      </c>
      <c r="E81" s="131" t="s">
        <v>2260</v>
      </c>
      <c r="F81" s="131" t="s">
        <v>2261</v>
      </c>
      <c r="G81" s="131" t="s">
        <v>2262</v>
      </c>
      <c r="H81" s="131" t="s">
        <v>2263</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2264</v>
      </c>
      <c r="B82" s="127"/>
      <c r="C82" s="126" t="s">
        <v>2265</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2264</v>
      </c>
      <c r="B83" s="128" t="s">
        <v>2266</v>
      </c>
      <c r="C83" s="129" t="s">
        <v>2267</v>
      </c>
      <c r="D83" s="131" t="s">
        <v>2268</v>
      </c>
      <c r="E83" s="131" t="s">
        <v>2269</v>
      </c>
      <c r="F83" s="131" t="s">
        <v>2270</v>
      </c>
      <c r="G83" s="131" t="s">
        <v>2271</v>
      </c>
      <c r="H83" s="131" t="s">
        <v>2272</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2264</v>
      </c>
      <c r="B84" s="128" t="s">
        <v>2273</v>
      </c>
      <c r="C84" s="129" t="s">
        <v>2274</v>
      </c>
      <c r="D84" s="131" t="s">
        <v>2275</v>
      </c>
      <c r="E84" s="131" t="s">
        <v>2276</v>
      </c>
      <c r="F84" s="131" t="s">
        <v>2277</v>
      </c>
      <c r="G84" s="131" t="s">
        <v>2278</v>
      </c>
      <c r="H84" s="131" t="s">
        <v>2279</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2264</v>
      </c>
      <c r="B85" s="128" t="s">
        <v>2280</v>
      </c>
      <c r="C85" s="129" t="s">
        <v>2281</v>
      </c>
      <c r="D85" s="131" t="s">
        <v>2282</v>
      </c>
      <c r="E85" s="131" t="s">
        <v>2283</v>
      </c>
      <c r="F85" s="131" t="s">
        <v>2284</v>
      </c>
      <c r="G85" s="131" t="s">
        <v>2285</v>
      </c>
      <c r="H85" s="131" t="s">
        <v>2286</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2264</v>
      </c>
      <c r="B86" s="128" t="s">
        <v>2287</v>
      </c>
      <c r="C86" s="129" t="s">
        <v>2288</v>
      </c>
      <c r="D86" s="131" t="s">
        <v>2289</v>
      </c>
      <c r="E86" s="131" t="s">
        <v>2290</v>
      </c>
      <c r="F86" s="131" t="s">
        <v>2291</v>
      </c>
      <c r="G86" s="131" t="s">
        <v>2292</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2293</v>
      </c>
      <c r="B87" s="127"/>
      <c r="C87" s="126" t="s">
        <v>2294</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2293</v>
      </c>
      <c r="B88" s="128" t="s">
        <v>2295</v>
      </c>
      <c r="C88" s="129" t="s">
        <v>2296</v>
      </c>
      <c r="D88" s="131" t="s">
        <v>2297</v>
      </c>
      <c r="E88" s="131" t="s">
        <v>2298</v>
      </c>
      <c r="F88" s="131" t="s">
        <v>2299</v>
      </c>
      <c r="G88" s="131" t="s">
        <v>2300</v>
      </c>
      <c r="H88" s="131" t="s">
        <v>2301</v>
      </c>
      <c r="I88" s="133">
        <f>IF(COUNTIF(J88:AW88,"&lt;&gt;")=0,"",SUMPRODUCT(((Recommendations[ImplStatus]="Implemented")+(Recommendations[ImplStatus]="Compensated"))*ISNUMBER(MATCH(Recommendations[Id],J88:AW88,0)))/COUNTIF(J88:AW88,"&lt;&gt;"))</f>
        <v>0</v>
      </c>
      <c r="J88" s="135" t="s">
        <v>266</v>
      </c>
      <c r="K88" s="135" t="s">
        <v>317</v>
      </c>
      <c r="L88" s="135" t="s">
        <v>322</v>
      </c>
      <c r="M88" s="135" t="s">
        <v>327</v>
      </c>
      <c r="N88" s="135" t="s">
        <v>332</v>
      </c>
      <c r="O88" s="135" t="s">
        <v>337</v>
      </c>
      <c r="P88" s="135" t="s">
        <v>342</v>
      </c>
      <c r="Q88" s="135" t="s">
        <v>352</v>
      </c>
      <c r="R88" s="135" t="s">
        <v>362</v>
      </c>
      <c r="S88" s="135" t="s">
        <v>372</v>
      </c>
      <c r="T88" s="135" t="s">
        <v>387</v>
      </c>
      <c r="U88" s="135" t="s">
        <v>397</v>
      </c>
      <c r="V88" s="135" t="s">
        <v>407</v>
      </c>
      <c r="W88" s="135" t="s">
        <v>422</v>
      </c>
      <c r="X88" s="135" t="s">
        <v>427</v>
      </c>
      <c r="Y88" s="135" t="s">
        <v>432</v>
      </c>
      <c r="Z88" s="135" t="s">
        <v>437</v>
      </c>
      <c r="AA88" s="135" t="s">
        <v>442</v>
      </c>
      <c r="AB88" s="135" t="s">
        <v>456</v>
      </c>
      <c r="AC88" s="135" t="s">
        <v>461</v>
      </c>
      <c r="AD88" s="135" t="s">
        <v>466</v>
      </c>
      <c r="AE88" s="135" t="s">
        <v>471</v>
      </c>
      <c r="AF88" s="135" t="s">
        <v>485</v>
      </c>
      <c r="AG88" s="135" t="s">
        <v>515</v>
      </c>
      <c r="AH88" s="135" t="s">
        <v>520</v>
      </c>
      <c r="AI88" s="135" t="s">
        <v>525</v>
      </c>
      <c r="AJ88" s="135" t="s">
        <v>545</v>
      </c>
      <c r="AK88" s="135" t="s">
        <v>555</v>
      </c>
      <c r="AL88" s="135" t="s">
        <v>560</v>
      </c>
      <c r="AM88" s="135"/>
      <c r="AN88" s="135"/>
      <c r="AO88" s="135"/>
      <c r="AP88" s="135"/>
      <c r="AQ88" s="135"/>
      <c r="AR88" s="135"/>
      <c r="AS88" s="135"/>
      <c r="AT88" s="135"/>
      <c r="AU88" s="135"/>
      <c r="AV88" s="135"/>
      <c r="AW88" s="145"/>
    </row>
    <row r="89" spans="1:49" ht="60" customHeight="1" x14ac:dyDescent="0.35">
      <c r="A89" s="142" t="s">
        <v>2293</v>
      </c>
      <c r="B89" s="128" t="s">
        <v>2302</v>
      </c>
      <c r="C89" s="129" t="s">
        <v>2303</v>
      </c>
      <c r="D89" s="131" t="s">
        <v>2304</v>
      </c>
      <c r="E89" s="131" t="s">
        <v>2305</v>
      </c>
      <c r="F89" s="131" t="s">
        <v>2306</v>
      </c>
      <c r="G89" s="131" t="s">
        <v>1830</v>
      </c>
      <c r="H89" s="131" t="s">
        <v>2307</v>
      </c>
      <c r="I89" s="133">
        <f>IF(COUNTIF(J89:AW89,"&lt;&gt;")=0,"",SUMPRODUCT(((Recommendations[ImplStatus]="Implemented")+(Recommendations[ImplStatus]="Compensated"))*ISNUMBER(MATCH(Recommendations[Id],J89:AW89,0)))/COUNTIF(J89:AW89,"&lt;&gt;"))</f>
        <v>0</v>
      </c>
      <c r="J89" s="135" t="s">
        <v>179</v>
      </c>
      <c r="K89" s="135" t="s">
        <v>185</v>
      </c>
      <c r="L89" s="135" t="s">
        <v>190</v>
      </c>
      <c r="M89" s="135" t="s">
        <v>195</v>
      </c>
      <c r="N89" s="135" t="s">
        <v>251</v>
      </c>
      <c r="O89" s="135" t="s">
        <v>256</v>
      </c>
      <c r="P89" s="135" t="s">
        <v>402</v>
      </c>
      <c r="Q89" s="135" t="s">
        <v>412</v>
      </c>
      <c r="R89" s="135" t="s">
        <v>417</v>
      </c>
      <c r="S89" s="135" t="s">
        <v>447</v>
      </c>
      <c r="T89" s="135" t="s">
        <v>451</v>
      </c>
      <c r="U89" s="135" t="s">
        <v>490</v>
      </c>
      <c r="V89" s="135" t="s">
        <v>495</v>
      </c>
      <c r="W89" s="135" t="s">
        <v>500</v>
      </c>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2293</v>
      </c>
      <c r="B90" s="128" t="s">
        <v>2308</v>
      </c>
      <c r="C90" s="129" t="s">
        <v>2309</v>
      </c>
      <c r="D90" s="131" t="s">
        <v>2310</v>
      </c>
      <c r="E90" s="131" t="s">
        <v>2311</v>
      </c>
      <c r="F90" s="131" t="s">
        <v>2312</v>
      </c>
      <c r="G90" s="131" t="s">
        <v>2300</v>
      </c>
      <c r="H90" s="131" t="s">
        <v>2313</v>
      </c>
      <c r="I90" s="133">
        <f>IF(COUNTIF(J90:AW90,"&lt;&gt;")=0,"",SUMPRODUCT(((Recommendations[ImplStatus]="Implemented")+(Recommendations[ImplStatus]="Compensated"))*ISNUMBER(MATCH(Recommendations[Id],J90:AW90,0)))/COUNTIF(J90:AW90,"&lt;&gt;"))</f>
        <v>0</v>
      </c>
      <c r="J90" s="135" t="s">
        <v>276</v>
      </c>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2293</v>
      </c>
      <c r="B91" s="128" t="s">
        <v>2314</v>
      </c>
      <c r="C91" s="129" t="s">
        <v>2315</v>
      </c>
      <c r="D91" s="131" t="s">
        <v>2316</v>
      </c>
      <c r="E91" s="131" t="s">
        <v>2317</v>
      </c>
      <c r="F91" s="131" t="s">
        <v>2318</v>
      </c>
      <c r="G91" s="131" t="s">
        <v>1830</v>
      </c>
      <c r="H91" s="131" t="s">
        <v>2319</v>
      </c>
      <c r="I91" s="133">
        <f>IF(COUNTIF(J91:AW91,"&lt;&gt;")=0,"",SUMPRODUCT(((Recommendations[ImplStatus]="Implemented")+(Recommendations[ImplStatus]="Compensated"))*ISNUMBER(MATCH(Recommendations[Id],J91:AW91,0)))/COUNTIF(J91:AW91,"&lt;&gt;"))</f>
        <v>0</v>
      </c>
      <c r="J91" s="135" t="s">
        <v>25</v>
      </c>
      <c r="K91" s="135" t="s">
        <v>57</v>
      </c>
      <c r="L91" s="135" t="s">
        <v>87</v>
      </c>
      <c r="M91" s="135" t="s">
        <v>154</v>
      </c>
      <c r="N91" s="135" t="s">
        <v>281</v>
      </c>
      <c r="O91" s="135" t="s">
        <v>291</v>
      </c>
      <c r="P91" s="135" t="s">
        <v>347</v>
      </c>
      <c r="Q91" s="135" t="s">
        <v>367</v>
      </c>
      <c r="R91" s="135" t="s">
        <v>392</v>
      </c>
      <c r="S91" s="135" t="s">
        <v>565</v>
      </c>
      <c r="T91" s="135" t="s">
        <v>570</v>
      </c>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2293</v>
      </c>
      <c r="B92" s="128" t="s">
        <v>2320</v>
      </c>
      <c r="C92" s="129" t="s">
        <v>2321</v>
      </c>
      <c r="D92" s="131" t="s">
        <v>2322</v>
      </c>
      <c r="E92" s="131" t="s">
        <v>2323</v>
      </c>
      <c r="F92" s="131" t="s">
        <v>2324</v>
      </c>
      <c r="G92" s="131" t="s">
        <v>1830</v>
      </c>
      <c r="H92" s="131" t="s">
        <v>2325</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2293</v>
      </c>
      <c r="B93" s="128" t="s">
        <v>2326</v>
      </c>
      <c r="C93" s="129" t="s">
        <v>2327</v>
      </c>
      <c r="D93" s="131" t="s">
        <v>2328</v>
      </c>
      <c r="E93" s="131" t="s">
        <v>2329</v>
      </c>
      <c r="F93" s="131" t="s">
        <v>2330</v>
      </c>
      <c r="G93" s="131" t="s">
        <v>2331</v>
      </c>
      <c r="H93" s="131" t="s">
        <v>2332</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2293</v>
      </c>
      <c r="B94" s="128" t="s">
        <v>2333</v>
      </c>
      <c r="C94" s="129" t="s">
        <v>2334</v>
      </c>
      <c r="D94" s="131" t="s">
        <v>2335</v>
      </c>
      <c r="E94" s="131" t="s">
        <v>2336</v>
      </c>
      <c r="F94" s="131" t="s">
        <v>2337</v>
      </c>
      <c r="G94" s="131" t="s">
        <v>2338</v>
      </c>
      <c r="H94" s="131" t="s">
        <v>2339</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2293</v>
      </c>
      <c r="B95" s="128" t="s">
        <v>2340</v>
      </c>
      <c r="C95" s="129" t="s">
        <v>2341</v>
      </c>
      <c r="D95" s="131" t="s">
        <v>2342</v>
      </c>
      <c r="E95" s="131" t="s">
        <v>2343</v>
      </c>
      <c r="F95" s="131" t="s">
        <v>2344</v>
      </c>
      <c r="G95" s="131" t="s">
        <v>2345</v>
      </c>
      <c r="H95" s="131" t="s">
        <v>2346</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2293</v>
      </c>
      <c r="B96" s="128" t="s">
        <v>2347</v>
      </c>
      <c r="C96" s="129" t="s">
        <v>2348</v>
      </c>
      <c r="D96" s="131" t="s">
        <v>2349</v>
      </c>
      <c r="E96" s="131" t="s">
        <v>2350</v>
      </c>
      <c r="F96" s="131" t="s">
        <v>2351</v>
      </c>
      <c r="G96" s="131" t="s">
        <v>2352</v>
      </c>
      <c r="H96" s="131" t="s">
        <v>2353</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2293</v>
      </c>
      <c r="B97" s="128" t="s">
        <v>2354</v>
      </c>
      <c r="C97" s="129" t="s">
        <v>2355</v>
      </c>
      <c r="D97" s="131" t="s">
        <v>2356</v>
      </c>
      <c r="E97" s="131" t="s">
        <v>2357</v>
      </c>
      <c r="F97" s="131" t="s">
        <v>2358</v>
      </c>
      <c r="G97" s="131" t="s">
        <v>2359</v>
      </c>
      <c r="H97" s="131" t="s">
        <v>2360</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2361</v>
      </c>
      <c r="B98" s="127"/>
      <c r="C98" s="126" t="s">
        <v>2362</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2361</v>
      </c>
      <c r="B99" s="128" t="s">
        <v>2363</v>
      </c>
      <c r="C99" s="129" t="s">
        <v>2364</v>
      </c>
      <c r="D99" s="131" t="s">
        <v>2365</v>
      </c>
      <c r="E99" s="131" t="s">
        <v>2366</v>
      </c>
      <c r="F99" s="131" t="s">
        <v>2367</v>
      </c>
      <c r="G99" s="131" t="s">
        <v>2368</v>
      </c>
      <c r="H99" s="131" t="s">
        <v>2369</v>
      </c>
      <c r="I99" s="133">
        <f>IF(COUNTIF(J99:AW99,"&lt;&gt;")=0,"",SUMPRODUCT(((Recommendations[ImplStatus]="Implemented")+(Recommendations[ImplStatus]="Compensated"))*ISNUMBER(MATCH(Recommendations[Id],J99:AW99,0)))/COUNTIF(J99:AW99,"&lt;&gt;"))</f>
        <v>0</v>
      </c>
      <c r="J99" s="135" t="s">
        <v>144</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2361</v>
      </c>
      <c r="B100" s="128" t="s">
        <v>2370</v>
      </c>
      <c r="C100" s="129" t="s">
        <v>2371</v>
      </c>
      <c r="D100" s="131" t="s">
        <v>2372</v>
      </c>
      <c r="E100" s="131" t="s">
        <v>2373</v>
      </c>
      <c r="F100" s="131" t="s">
        <v>2374</v>
      </c>
      <c r="G100" s="131" t="s">
        <v>2375</v>
      </c>
      <c r="H100" s="131" t="s">
        <v>2376</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2361</v>
      </c>
      <c r="B101" s="128" t="s">
        <v>2377</v>
      </c>
      <c r="C101" s="129" t="s">
        <v>2378</v>
      </c>
      <c r="D101" s="131" t="s">
        <v>2379</v>
      </c>
      <c r="E101" s="131" t="s">
        <v>2380</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2361</v>
      </c>
      <c r="B102" s="128" t="s">
        <v>2381</v>
      </c>
      <c r="C102" s="129" t="s">
        <v>2382</v>
      </c>
      <c r="D102" s="131" t="s">
        <v>2383</v>
      </c>
      <c r="E102" s="131" t="s">
        <v>2384</v>
      </c>
      <c r="F102" s="131" t="s">
        <v>2385</v>
      </c>
      <c r="G102" s="131" t="s">
        <v>2386</v>
      </c>
      <c r="H102" s="131" t="s">
        <v>2387</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2361</v>
      </c>
      <c r="B103" s="128" t="s">
        <v>2388</v>
      </c>
      <c r="C103" s="129" t="s">
        <v>2389</v>
      </c>
      <c r="D103" s="131" t="s">
        <v>2390</v>
      </c>
      <c r="E103" s="131" t="s">
        <v>2391</v>
      </c>
      <c r="F103" s="131" t="s">
        <v>2392</v>
      </c>
      <c r="G103" s="131" t="s">
        <v>2393</v>
      </c>
      <c r="H103" s="131" t="s">
        <v>2394</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2395</v>
      </c>
      <c r="B104" s="127"/>
      <c r="C104" s="126" t="s">
        <v>2396</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2395</v>
      </c>
      <c r="B105" s="128" t="s">
        <v>2397</v>
      </c>
      <c r="C105" s="129" t="s">
        <v>2398</v>
      </c>
      <c r="D105" s="131" t="s">
        <v>2399</v>
      </c>
      <c r="E105" s="131" t="s">
        <v>2400</v>
      </c>
      <c r="F105" s="131" t="s">
        <v>2401</v>
      </c>
      <c r="G105" s="131" t="s">
        <v>2402</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2395</v>
      </c>
      <c r="B106" s="128" t="s">
        <v>2403</v>
      </c>
      <c r="C106" s="129" t="s">
        <v>2404</v>
      </c>
      <c r="D106" s="131" t="s">
        <v>2405</v>
      </c>
      <c r="E106" s="131" t="s">
        <v>2406</v>
      </c>
      <c r="F106" s="131" t="s">
        <v>2407</v>
      </c>
      <c r="G106" s="131" t="s">
        <v>2408</v>
      </c>
      <c r="H106" s="131" t="s">
        <v>2409</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2395</v>
      </c>
      <c r="B107" s="128" t="s">
        <v>2410</v>
      </c>
      <c r="C107" s="129" t="s">
        <v>2411</v>
      </c>
      <c r="D107" s="131" t="s">
        <v>2412</v>
      </c>
      <c r="E107" s="131" t="s">
        <v>2413</v>
      </c>
      <c r="F107" s="131" t="s">
        <v>2414</v>
      </c>
      <c r="G107" s="131" t="s">
        <v>2415</v>
      </c>
      <c r="H107" s="131" t="s">
        <v>2416</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2417</v>
      </c>
      <c r="B108" s="127"/>
      <c r="C108" s="126" t="s">
        <v>2418</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2417</v>
      </c>
      <c r="B109" s="128" t="s">
        <v>2419</v>
      </c>
      <c r="C109" s="129" t="s">
        <v>2420</v>
      </c>
      <c r="D109" s="131" t="s">
        <v>2421</v>
      </c>
      <c r="E109" s="131" t="s">
        <v>2422</v>
      </c>
      <c r="F109" s="131" t="s">
        <v>2423</v>
      </c>
      <c r="G109" s="131" t="s">
        <v>2424</v>
      </c>
      <c r="H109" s="131" t="s">
        <v>2425</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2417</v>
      </c>
      <c r="B110" s="128" t="s">
        <v>2426</v>
      </c>
      <c r="C110" s="129" t="s">
        <v>2427</v>
      </c>
      <c r="D110" s="131" t="s">
        <v>2428</v>
      </c>
      <c r="E110" s="131" t="s">
        <v>2429</v>
      </c>
      <c r="F110" s="131" t="s">
        <v>2430</v>
      </c>
      <c r="G110" s="131" t="s">
        <v>2431</v>
      </c>
      <c r="H110" s="131" t="s">
        <v>2432</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2417</v>
      </c>
      <c r="B111" s="128" t="s">
        <v>2433</v>
      </c>
      <c r="C111" s="129" t="s">
        <v>2434</v>
      </c>
      <c r="D111" s="131" t="s">
        <v>2435</v>
      </c>
      <c r="E111" s="131" t="s">
        <v>2436</v>
      </c>
      <c r="F111" s="131" t="s">
        <v>2437</v>
      </c>
      <c r="G111" s="131" t="s">
        <v>2438</v>
      </c>
      <c r="H111" s="131" t="s">
        <v>2439</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2440</v>
      </c>
      <c r="B112" s="127"/>
      <c r="C112" s="126" t="s">
        <v>2441</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2440</v>
      </c>
      <c r="B113" s="128" t="s">
        <v>2442</v>
      </c>
      <c r="C113" s="129" t="s">
        <v>2443</v>
      </c>
      <c r="D113" s="131" t="s">
        <v>2444</v>
      </c>
      <c r="E113" s="131" t="s">
        <v>2445</v>
      </c>
      <c r="F113" s="131" t="s">
        <v>2446</v>
      </c>
      <c r="G113" s="131" t="s">
        <v>2447</v>
      </c>
      <c r="H113" s="131" t="s">
        <v>2448</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2440</v>
      </c>
      <c r="B114" s="128" t="s">
        <v>2449</v>
      </c>
      <c r="C114" s="129" t="s">
        <v>2450</v>
      </c>
      <c r="D114" s="131" t="s">
        <v>2451</v>
      </c>
      <c r="E114" s="131" t="s">
        <v>2452</v>
      </c>
      <c r="F114" s="131" t="s">
        <v>2453</v>
      </c>
      <c r="G114" s="131" t="s">
        <v>2447</v>
      </c>
      <c r="H114" s="131" t="s">
        <v>2454</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2440</v>
      </c>
      <c r="B115" s="136" t="s">
        <v>2455</v>
      </c>
      <c r="C115" s="137" t="s">
        <v>2456</v>
      </c>
      <c r="D115" s="138" t="s">
        <v>2457</v>
      </c>
      <c r="E115" s="138" t="s">
        <v>2458</v>
      </c>
      <c r="F115" s="138" t="s">
        <v>2459</v>
      </c>
      <c r="G115" s="138" t="s">
        <v>2460</v>
      </c>
      <c r="H115" s="138" t="s">
        <v>2461</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575</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IFERROR(INDEX('Recommendations'!$H$2:$H$111, MATCH(J2,'Recommendations'!$A$2:$A$111,0))="Implemented", FALSE))</xm:f>
            <x14:dxf>
              <font>
                <color rgb="FF000000"/>
              </font>
              <fill>
                <patternFill>
                  <bgColor rgb="FF3C7D22"/>
                </patternFill>
              </fill>
            </x14:dxf>
          </x14:cfRule>
          <x14:cfRule type="expression" priority="2" id="{00000000-000E-0000-0600-000002000000}">
            <xm:f>AND(J2&lt;&gt;"", IFERROR(INDEX('Recommendations'!$H$2:$H$111, MATCH(J2,'Recommendations'!$A$2:$A$111,0))="Compensated", FALSE))</xm:f>
            <x14:dxf>
              <font>
                <color rgb="FF000000"/>
              </font>
              <fill>
                <patternFill>
                  <bgColor rgb="FFC6E0B4"/>
                </patternFill>
              </fill>
            </x14:dxf>
          </x14:cfRule>
          <x14:cfRule type="expression" priority="3" id="{00000000-000E-0000-0600-000003000000}">
            <xm:f>AND(J2&lt;&gt;"", IFERROR(INDEX('Recommendations'!$H$2:$H$111, MATCH(J2,'Recommendations'!$A$2:$A$111,0))="Testing", FALSE))</xm:f>
            <x14:dxf>
              <font>
                <color rgb="FF000000"/>
              </font>
              <fill>
                <patternFill>
                  <bgColor rgb="FFFFC000"/>
                </patternFill>
              </fill>
            </x14:dxf>
          </x14:cfRule>
          <x14:cfRule type="expression" priority="4" id="{00000000-000E-0000-0600-000004000000}">
            <xm:f>AND(J2&lt;&gt;"", IFERROR(INDEX('Recommendations'!$H$2:$H$111, MATCH(J2,'Recommendations'!$A$2:$A$111,0))="Failed", FALSE))</xm:f>
            <x14:dxf>
              <font>
                <color rgb="FF000000"/>
              </font>
              <fill>
                <patternFill>
                  <bgColor rgb="FFD82891"/>
                </patternFill>
              </fill>
            </x14:dxf>
          </x14:cfRule>
          <x14:cfRule type="expression" priority="5" id="{00000000-000E-0000-0600-000005000000}">
            <xm:f>AND(J2&lt;&gt;"", IFERROR(INDEX('Recommendations'!$H$2:$H$111, MATCH(J2,'Recommendations'!$A$2:$A$111,0))="Risk Accepted", FALSE))</xm:f>
            <x14:dxf>
              <font>
                <color rgb="FF000000"/>
              </font>
              <fill>
                <patternFill>
                  <bgColor rgb="FFD9D9D9"/>
                </patternFill>
              </fill>
            </x14:dxf>
          </x14:cfRule>
          <x14:cfRule type="expression" priority="6" id="{00000000-000E-0000-0600-000006000000}">
            <xm:f>AND(J2&lt;&gt;"", IFERROR(INDEX('Recommendations'!$H$2:$H$111, MATCH(J2,'Recommendations'!$A$2:$A$111,0))="N/A",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2462</v>
      </c>
      <c r="B1" s="187" t="s">
        <v>2463</v>
      </c>
      <c r="C1" s="187" t="s">
        <v>0</v>
      </c>
      <c r="D1" s="187" t="s">
        <v>2464</v>
      </c>
      <c r="E1" s="187" t="s">
        <v>2465</v>
      </c>
      <c r="F1" s="187" t="s">
        <v>2466</v>
      </c>
      <c r="G1" s="187" t="s">
        <v>831</v>
      </c>
      <c r="H1" s="187" t="s">
        <v>832</v>
      </c>
      <c r="I1" s="187" t="s">
        <v>833</v>
      </c>
      <c r="J1" s="187" t="s">
        <v>834</v>
      </c>
      <c r="K1" s="187" t="s">
        <v>835</v>
      </c>
      <c r="L1" s="187" t="s">
        <v>836</v>
      </c>
      <c r="M1" s="187" t="s">
        <v>837</v>
      </c>
      <c r="N1" s="187" t="s">
        <v>838</v>
      </c>
      <c r="O1" s="187" t="s">
        <v>839</v>
      </c>
      <c r="P1" s="187" t="s">
        <v>840</v>
      </c>
      <c r="Q1" s="187" t="s">
        <v>841</v>
      </c>
      <c r="R1" s="187" t="s">
        <v>842</v>
      </c>
      <c r="S1" s="187" t="s">
        <v>843</v>
      </c>
      <c r="T1" s="187" t="s">
        <v>844</v>
      </c>
      <c r="U1" s="187" t="s">
        <v>845</v>
      </c>
      <c r="V1" s="187" t="s">
        <v>846</v>
      </c>
      <c r="W1" s="187" t="s">
        <v>847</v>
      </c>
      <c r="X1" s="187" t="s">
        <v>848</v>
      </c>
      <c r="Y1" s="187" t="s">
        <v>849</v>
      </c>
      <c r="Z1" s="187" t="s">
        <v>850</v>
      </c>
      <c r="AA1" s="187" t="s">
        <v>851</v>
      </c>
      <c r="AB1" s="187" t="s">
        <v>852</v>
      </c>
      <c r="AC1" s="187" t="s">
        <v>853</v>
      </c>
      <c r="AD1" s="187" t="s">
        <v>854</v>
      </c>
      <c r="AE1" s="187" t="s">
        <v>855</v>
      </c>
      <c r="AF1" s="187" t="s">
        <v>856</v>
      </c>
      <c r="AG1" s="187" t="s">
        <v>857</v>
      </c>
      <c r="AH1" s="187" t="s">
        <v>858</v>
      </c>
      <c r="AI1" s="187" t="s">
        <v>859</v>
      </c>
      <c r="AJ1" s="187" t="s">
        <v>860</v>
      </c>
      <c r="AK1" s="187" t="s">
        <v>861</v>
      </c>
      <c r="AL1" s="187" t="s">
        <v>862</v>
      </c>
      <c r="AM1" s="187" t="s">
        <v>863</v>
      </c>
      <c r="AN1" s="187" t="s">
        <v>864</v>
      </c>
      <c r="AO1" s="187" t="s">
        <v>865</v>
      </c>
      <c r="AP1" s="187" t="s">
        <v>866</v>
      </c>
      <c r="AQ1" s="187" t="s">
        <v>867</v>
      </c>
      <c r="AR1" s="187" t="s">
        <v>868</v>
      </c>
      <c r="AS1" s="187" t="s">
        <v>869</v>
      </c>
      <c r="AT1" s="187" t="s">
        <v>870</v>
      </c>
      <c r="AU1" s="188" t="s">
        <v>871</v>
      </c>
    </row>
    <row r="2" spans="1:47" ht="60" customHeight="1" outlineLevel="1" x14ac:dyDescent="0.35">
      <c r="A2" s="178" t="s">
        <v>2467</v>
      </c>
      <c r="B2" s="152" t="s">
        <v>21</v>
      </c>
      <c r="C2" s="150" t="s">
        <v>2468</v>
      </c>
      <c r="D2" s="156" t="s">
        <v>2469</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2467</v>
      </c>
      <c r="B3" s="153" t="s">
        <v>2470</v>
      </c>
      <c r="C3" s="151" t="s">
        <v>2471</v>
      </c>
      <c r="D3" s="157" t="s">
        <v>2472</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2467</v>
      </c>
      <c r="B4" s="154" t="s">
        <v>2470</v>
      </c>
      <c r="C4" s="155" t="s">
        <v>2473</v>
      </c>
      <c r="D4" s="158" t="s">
        <v>2474</v>
      </c>
      <c r="E4" s="161" t="s">
        <v>2475</v>
      </c>
      <c r="F4" s="164" t="s">
        <v>2476</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2467</v>
      </c>
      <c r="B5" s="154" t="s">
        <v>2470</v>
      </c>
      <c r="C5" s="155" t="s">
        <v>2477</v>
      </c>
      <c r="D5" s="158" t="s">
        <v>2478</v>
      </c>
      <c r="E5" s="161" t="s">
        <v>2479</v>
      </c>
      <c r="F5" s="164" t="s">
        <v>2480</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2467</v>
      </c>
      <c r="B6" s="154" t="s">
        <v>2470</v>
      </c>
      <c r="C6" s="155" t="s">
        <v>2481</v>
      </c>
      <c r="D6" s="158" t="s">
        <v>2482</v>
      </c>
      <c r="E6" s="161" t="s">
        <v>2483</v>
      </c>
      <c r="F6" s="164" t="s">
        <v>2480</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2467</v>
      </c>
      <c r="B7" s="154" t="s">
        <v>2470</v>
      </c>
      <c r="C7" s="155" t="s">
        <v>2484</v>
      </c>
      <c r="D7" s="158" t="s">
        <v>2485</v>
      </c>
      <c r="E7" s="161" t="s">
        <v>2486</v>
      </c>
      <c r="F7" s="164" t="s">
        <v>2480</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2467</v>
      </c>
      <c r="B8" s="154" t="s">
        <v>2470</v>
      </c>
      <c r="C8" s="155" t="s">
        <v>2487</v>
      </c>
      <c r="D8" s="158" t="s">
        <v>2488</v>
      </c>
      <c r="E8" s="161" t="s">
        <v>2489</v>
      </c>
      <c r="F8" s="164" t="s">
        <v>2490</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2467</v>
      </c>
      <c r="B9" s="153" t="s">
        <v>2491</v>
      </c>
      <c r="C9" s="151" t="s">
        <v>2492</v>
      </c>
      <c r="D9" s="157" t="s">
        <v>2493</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2467</v>
      </c>
      <c r="B10" s="154" t="s">
        <v>2491</v>
      </c>
      <c r="C10" s="155" t="s">
        <v>2494</v>
      </c>
      <c r="D10" s="158" t="s">
        <v>2495</v>
      </c>
      <c r="E10" s="161" t="s">
        <v>2496</v>
      </c>
      <c r="F10" s="164" t="s">
        <v>2476</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2467</v>
      </c>
      <c r="B11" s="154" t="s">
        <v>2491</v>
      </c>
      <c r="C11" s="155" t="s">
        <v>2497</v>
      </c>
      <c r="D11" s="158" t="s">
        <v>2498</v>
      </c>
      <c r="E11" s="161" t="s">
        <v>2499</v>
      </c>
      <c r="F11" s="164" t="s">
        <v>2476</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2467</v>
      </c>
      <c r="B12" s="154" t="s">
        <v>2491</v>
      </c>
      <c r="C12" s="155" t="s">
        <v>2500</v>
      </c>
      <c r="D12" s="158" t="s">
        <v>2501</v>
      </c>
      <c r="E12" s="161" t="s">
        <v>2502</v>
      </c>
      <c r="F12" s="164" t="s">
        <v>2476</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2467</v>
      </c>
      <c r="B13" s="153" t="s">
        <v>2503</v>
      </c>
      <c r="C13" s="151" t="s">
        <v>2504</v>
      </c>
      <c r="D13" s="157" t="s">
        <v>2505</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2467</v>
      </c>
      <c r="B14" s="154" t="s">
        <v>2503</v>
      </c>
      <c r="C14" s="155" t="s">
        <v>2506</v>
      </c>
      <c r="D14" s="158" t="s">
        <v>2507</v>
      </c>
      <c r="E14" s="161" t="s">
        <v>2508</v>
      </c>
      <c r="F14" s="164" t="s">
        <v>2476</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2467</v>
      </c>
      <c r="B15" s="154" t="s">
        <v>2503</v>
      </c>
      <c r="C15" s="155" t="s">
        <v>2509</v>
      </c>
      <c r="D15" s="158" t="s">
        <v>2510</v>
      </c>
      <c r="E15" s="161" t="s">
        <v>2511</v>
      </c>
      <c r="F15" s="164" t="s">
        <v>2476</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2467</v>
      </c>
      <c r="B16" s="153" t="s">
        <v>2512</v>
      </c>
      <c r="C16" s="151" t="s">
        <v>2513</v>
      </c>
      <c r="D16" s="157" t="s">
        <v>2514</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2467</v>
      </c>
      <c r="B17" s="154" t="s">
        <v>2512</v>
      </c>
      <c r="C17" s="155" t="s">
        <v>2515</v>
      </c>
      <c r="D17" s="158" t="s">
        <v>2516</v>
      </c>
      <c r="E17" s="161" t="s">
        <v>2517</v>
      </c>
      <c r="F17" s="164" t="s">
        <v>2476</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2467</v>
      </c>
      <c r="B18" s="154" t="s">
        <v>2512</v>
      </c>
      <c r="C18" s="155" t="s">
        <v>2518</v>
      </c>
      <c r="D18" s="158" t="s">
        <v>2519</v>
      </c>
      <c r="E18" s="161" t="s">
        <v>2520</v>
      </c>
      <c r="F18" s="164" t="s">
        <v>2480</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2467</v>
      </c>
      <c r="B19" s="154" t="s">
        <v>2512</v>
      </c>
      <c r="C19" s="155" t="s">
        <v>2521</v>
      </c>
      <c r="D19" s="158" t="s">
        <v>2522</v>
      </c>
      <c r="E19" s="161" t="s">
        <v>2523</v>
      </c>
      <c r="F19" s="164" t="s">
        <v>2476</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2467</v>
      </c>
      <c r="B20" s="154" t="s">
        <v>2512</v>
      </c>
      <c r="C20" s="155" t="s">
        <v>2524</v>
      </c>
      <c r="D20" s="158" t="s">
        <v>2525</v>
      </c>
      <c r="E20" s="161" t="s">
        <v>2526</v>
      </c>
      <c r="F20" s="164" t="s">
        <v>2476</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2467</v>
      </c>
      <c r="B21" s="154" t="s">
        <v>2512</v>
      </c>
      <c r="C21" s="155" t="s">
        <v>2527</v>
      </c>
      <c r="D21" s="158" t="s">
        <v>2528</v>
      </c>
      <c r="E21" s="161" t="s">
        <v>2529</v>
      </c>
      <c r="F21" s="164" t="s">
        <v>2480</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2467</v>
      </c>
      <c r="B22" s="154" t="s">
        <v>2512</v>
      </c>
      <c r="C22" s="155" t="s">
        <v>2530</v>
      </c>
      <c r="D22" s="158" t="s">
        <v>2531</v>
      </c>
      <c r="E22" s="161" t="s">
        <v>2532</v>
      </c>
      <c r="F22" s="164" t="s">
        <v>2476</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2467</v>
      </c>
      <c r="B23" s="154" t="s">
        <v>2512</v>
      </c>
      <c r="C23" s="155" t="s">
        <v>2533</v>
      </c>
      <c r="D23" s="158" t="s">
        <v>2534</v>
      </c>
      <c r="E23" s="161" t="s">
        <v>2535</v>
      </c>
      <c r="F23" s="164" t="s">
        <v>2476</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2467</v>
      </c>
      <c r="B24" s="153" t="s">
        <v>2536</v>
      </c>
      <c r="C24" s="151" t="s">
        <v>2537</v>
      </c>
      <c r="D24" s="157" t="s">
        <v>2538</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2467</v>
      </c>
      <c r="B25" s="154" t="s">
        <v>2536</v>
      </c>
      <c r="C25" s="155" t="s">
        <v>2539</v>
      </c>
      <c r="D25" s="158" t="s">
        <v>2540</v>
      </c>
      <c r="E25" s="161" t="s">
        <v>2541</v>
      </c>
      <c r="F25" s="164" t="s">
        <v>2476</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2467</v>
      </c>
      <c r="B26" s="154" t="s">
        <v>2536</v>
      </c>
      <c r="C26" s="155" t="s">
        <v>2542</v>
      </c>
      <c r="D26" s="158" t="s">
        <v>2543</v>
      </c>
      <c r="E26" s="161" t="s">
        <v>2544</v>
      </c>
      <c r="F26" s="164" t="s">
        <v>2476</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2467</v>
      </c>
      <c r="B27" s="154" t="s">
        <v>2536</v>
      </c>
      <c r="C27" s="155" t="s">
        <v>2545</v>
      </c>
      <c r="D27" s="158" t="s">
        <v>2546</v>
      </c>
      <c r="E27" s="161" t="s">
        <v>2547</v>
      </c>
      <c r="F27" s="164" t="s">
        <v>2480</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2467</v>
      </c>
      <c r="B28" s="154" t="s">
        <v>2536</v>
      </c>
      <c r="C28" s="155" t="s">
        <v>2548</v>
      </c>
      <c r="D28" s="158" t="s">
        <v>2549</v>
      </c>
      <c r="E28" s="161" t="s">
        <v>2550</v>
      </c>
      <c r="F28" s="164" t="s">
        <v>2476</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2467</v>
      </c>
      <c r="B29" s="153" t="s">
        <v>2551</v>
      </c>
      <c r="C29" s="151" t="s">
        <v>2552</v>
      </c>
      <c r="D29" s="157" t="s">
        <v>2553</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2467</v>
      </c>
      <c r="B30" s="154" t="s">
        <v>2551</v>
      </c>
      <c r="C30" s="155" t="s">
        <v>2554</v>
      </c>
      <c r="D30" s="158" t="s">
        <v>2555</v>
      </c>
      <c r="E30" s="161" t="s">
        <v>2556</v>
      </c>
      <c r="F30" s="164" t="s">
        <v>2490</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2467</v>
      </c>
      <c r="B31" s="154" t="s">
        <v>2551</v>
      </c>
      <c r="C31" s="155" t="s">
        <v>2557</v>
      </c>
      <c r="D31" s="158" t="s">
        <v>2558</v>
      </c>
      <c r="E31" s="161" t="s">
        <v>2559</v>
      </c>
      <c r="F31" s="164" t="s">
        <v>2490</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2467</v>
      </c>
      <c r="B32" s="154" t="s">
        <v>2551</v>
      </c>
      <c r="C32" s="155" t="s">
        <v>2560</v>
      </c>
      <c r="D32" s="158" t="s">
        <v>2561</v>
      </c>
      <c r="E32" s="161" t="s">
        <v>2562</v>
      </c>
      <c r="F32" s="164" t="s">
        <v>2490</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2467</v>
      </c>
      <c r="B33" s="154" t="s">
        <v>2551</v>
      </c>
      <c r="C33" s="155" t="s">
        <v>2563</v>
      </c>
      <c r="D33" s="158" t="s">
        <v>2564</v>
      </c>
      <c r="E33" s="161" t="s">
        <v>2565</v>
      </c>
      <c r="F33" s="164" t="s">
        <v>2490</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2467</v>
      </c>
      <c r="B34" s="154" t="s">
        <v>2551</v>
      </c>
      <c r="C34" s="155" t="s">
        <v>2566</v>
      </c>
      <c r="D34" s="158" t="s">
        <v>2567</v>
      </c>
      <c r="E34" s="161" t="s">
        <v>2568</v>
      </c>
      <c r="F34" s="164" t="s">
        <v>2490</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2467</v>
      </c>
      <c r="B35" s="154" t="s">
        <v>2551</v>
      </c>
      <c r="C35" s="155" t="s">
        <v>2569</v>
      </c>
      <c r="D35" s="158" t="s">
        <v>2570</v>
      </c>
      <c r="E35" s="161" t="s">
        <v>2571</v>
      </c>
      <c r="F35" s="164" t="s">
        <v>2490</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2467</v>
      </c>
      <c r="B36" s="154" t="s">
        <v>2551</v>
      </c>
      <c r="C36" s="155" t="s">
        <v>2572</v>
      </c>
      <c r="D36" s="158" t="s">
        <v>2573</v>
      </c>
      <c r="E36" s="161" t="s">
        <v>2574</v>
      </c>
      <c r="F36" s="164" t="s">
        <v>2490</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2467</v>
      </c>
      <c r="B37" s="154" t="s">
        <v>2551</v>
      </c>
      <c r="C37" s="155" t="s">
        <v>2575</v>
      </c>
      <c r="D37" s="158" t="s">
        <v>2576</v>
      </c>
      <c r="E37" s="161" t="s">
        <v>2577</v>
      </c>
      <c r="F37" s="164" t="s">
        <v>2490</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2467</v>
      </c>
      <c r="B38" s="154" t="s">
        <v>2551</v>
      </c>
      <c r="C38" s="155" t="s">
        <v>2578</v>
      </c>
      <c r="D38" s="158" t="s">
        <v>2579</v>
      </c>
      <c r="E38" s="161" t="s">
        <v>2580</v>
      </c>
      <c r="F38" s="164" t="s">
        <v>2490</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2467</v>
      </c>
      <c r="B39" s="154" t="s">
        <v>2551</v>
      </c>
      <c r="C39" s="155" t="s">
        <v>2581</v>
      </c>
      <c r="D39" s="158" t="s">
        <v>2582</v>
      </c>
      <c r="E39" s="161" t="s">
        <v>2583</v>
      </c>
      <c r="F39" s="164" t="s">
        <v>2490</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2584</v>
      </c>
      <c r="B40" s="152" t="s">
        <v>21</v>
      </c>
      <c r="C40" s="150" t="s">
        <v>2585</v>
      </c>
      <c r="D40" s="156" t="s">
        <v>2586</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2584</v>
      </c>
      <c r="B41" s="153" t="s">
        <v>2587</v>
      </c>
      <c r="C41" s="151" t="s">
        <v>2588</v>
      </c>
      <c r="D41" s="157" t="s">
        <v>2589</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2584</v>
      </c>
      <c r="B42" s="154" t="s">
        <v>2587</v>
      </c>
      <c r="C42" s="155" t="s">
        <v>2590</v>
      </c>
      <c r="D42" s="158" t="s">
        <v>2591</v>
      </c>
      <c r="E42" s="161" t="s">
        <v>2592</v>
      </c>
      <c r="F42" s="164" t="s">
        <v>2476</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2584</v>
      </c>
      <c r="B43" s="154" t="s">
        <v>2587</v>
      </c>
      <c r="C43" s="155" t="s">
        <v>2593</v>
      </c>
      <c r="D43" s="158" t="s">
        <v>2594</v>
      </c>
      <c r="E43" s="161" t="s">
        <v>2595</v>
      </c>
      <c r="F43" s="164" t="s">
        <v>2476</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2584</v>
      </c>
      <c r="B44" s="154" t="s">
        <v>2587</v>
      </c>
      <c r="C44" s="155" t="s">
        <v>2596</v>
      </c>
      <c r="D44" s="158" t="s">
        <v>2597</v>
      </c>
      <c r="E44" s="161" t="s">
        <v>2598</v>
      </c>
      <c r="F44" s="164" t="s">
        <v>2480</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2584</v>
      </c>
      <c r="B45" s="154" t="s">
        <v>2587</v>
      </c>
      <c r="C45" s="155" t="s">
        <v>2599</v>
      </c>
      <c r="D45" s="158" t="s">
        <v>2600</v>
      </c>
      <c r="E45" s="161" t="s">
        <v>2601</v>
      </c>
      <c r="F45" s="164" t="s">
        <v>2490</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2584</v>
      </c>
      <c r="B46" s="154" t="s">
        <v>2587</v>
      </c>
      <c r="C46" s="155" t="s">
        <v>2602</v>
      </c>
      <c r="D46" s="158" t="s">
        <v>2603</v>
      </c>
      <c r="E46" s="161" t="s">
        <v>2604</v>
      </c>
      <c r="F46" s="164" t="s">
        <v>2476</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2584</v>
      </c>
      <c r="B47" s="154" t="s">
        <v>2587</v>
      </c>
      <c r="C47" s="155" t="s">
        <v>2605</v>
      </c>
      <c r="D47" s="158" t="s">
        <v>2606</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2584</v>
      </c>
      <c r="B48" s="154" t="s">
        <v>2587</v>
      </c>
      <c r="C48" s="155" t="s">
        <v>2607</v>
      </c>
      <c r="D48" s="158" t="s">
        <v>2608</v>
      </c>
      <c r="E48" s="161" t="s">
        <v>2609</v>
      </c>
      <c r="F48" s="164" t="s">
        <v>2476</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2584</v>
      </c>
      <c r="B49" s="154" t="s">
        <v>2587</v>
      </c>
      <c r="C49" s="155" t="s">
        <v>2610</v>
      </c>
      <c r="D49" s="158" t="s">
        <v>2611</v>
      </c>
      <c r="E49" s="161" t="s">
        <v>2612</v>
      </c>
      <c r="F49" s="164" t="s">
        <v>2480</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2584</v>
      </c>
      <c r="B50" s="153" t="s">
        <v>2613</v>
      </c>
      <c r="C50" s="151" t="s">
        <v>2614</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2584</v>
      </c>
      <c r="B51" s="154" t="s">
        <v>2613</v>
      </c>
      <c r="C51" s="155" t="s">
        <v>2615</v>
      </c>
      <c r="D51" s="158" t="s">
        <v>2616</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2584</v>
      </c>
      <c r="B52" s="154" t="s">
        <v>2613</v>
      </c>
      <c r="C52" s="155" t="s">
        <v>2617</v>
      </c>
      <c r="D52" s="158" t="s">
        <v>2618</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2584</v>
      </c>
      <c r="B53" s="154" t="s">
        <v>2613</v>
      </c>
      <c r="C53" s="155" t="s">
        <v>2619</v>
      </c>
      <c r="D53" s="158" t="s">
        <v>2620</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2584</v>
      </c>
      <c r="B54" s="154" t="s">
        <v>2613</v>
      </c>
      <c r="C54" s="155" t="s">
        <v>2621</v>
      </c>
      <c r="D54" s="158" t="s">
        <v>2622</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2584</v>
      </c>
      <c r="B55" s="154" t="s">
        <v>2613</v>
      </c>
      <c r="C55" s="155" t="s">
        <v>2623</v>
      </c>
      <c r="D55" s="158" t="s">
        <v>2624</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2584</v>
      </c>
      <c r="B56" s="153" t="s">
        <v>738</v>
      </c>
      <c r="C56" s="151" t="s">
        <v>2625</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2584</v>
      </c>
      <c r="B57" s="154" t="s">
        <v>738</v>
      </c>
      <c r="C57" s="155" t="s">
        <v>2626</v>
      </c>
      <c r="D57" s="158" t="s">
        <v>2627</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2584</v>
      </c>
      <c r="B58" s="154" t="s">
        <v>738</v>
      </c>
      <c r="C58" s="155" t="s">
        <v>2628</v>
      </c>
      <c r="D58" s="158" t="s">
        <v>2629</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2584</v>
      </c>
      <c r="B59" s="154" t="s">
        <v>738</v>
      </c>
      <c r="C59" s="155" t="s">
        <v>2630</v>
      </c>
      <c r="D59" s="158" t="s">
        <v>2631</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2584</v>
      </c>
      <c r="B60" s="154" t="s">
        <v>738</v>
      </c>
      <c r="C60" s="155" t="s">
        <v>2632</v>
      </c>
      <c r="D60" s="158" t="s">
        <v>2633</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2584</v>
      </c>
      <c r="B61" s="153" t="s">
        <v>2634</v>
      </c>
      <c r="C61" s="151" t="s">
        <v>2635</v>
      </c>
      <c r="D61" s="157" t="s">
        <v>2636</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2584</v>
      </c>
      <c r="B62" s="154" t="s">
        <v>2634</v>
      </c>
      <c r="C62" s="155" t="s">
        <v>2637</v>
      </c>
      <c r="D62" s="158" t="s">
        <v>2638</v>
      </c>
      <c r="E62" s="161" t="s">
        <v>2639</v>
      </c>
      <c r="F62" s="164" t="s">
        <v>2476</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2584</v>
      </c>
      <c r="B63" s="154" t="s">
        <v>2634</v>
      </c>
      <c r="C63" s="155" t="s">
        <v>2640</v>
      </c>
      <c r="D63" s="158" t="s">
        <v>2641</v>
      </c>
      <c r="E63" s="161" t="s">
        <v>2642</v>
      </c>
      <c r="F63" s="164" t="s">
        <v>2480</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2584</v>
      </c>
      <c r="B64" s="154" t="s">
        <v>2634</v>
      </c>
      <c r="C64" s="155" t="s">
        <v>2643</v>
      </c>
      <c r="D64" s="158" t="s">
        <v>2644</v>
      </c>
      <c r="E64" s="161" t="s">
        <v>2645</v>
      </c>
      <c r="F64" s="164" t="s">
        <v>2476</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2584</v>
      </c>
      <c r="B65" s="154" t="s">
        <v>2634</v>
      </c>
      <c r="C65" s="155" t="s">
        <v>2646</v>
      </c>
      <c r="D65" s="158" t="s">
        <v>2647</v>
      </c>
      <c r="E65" s="161" t="s">
        <v>2648</v>
      </c>
      <c r="F65" s="164" t="s">
        <v>2476</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2584</v>
      </c>
      <c r="B66" s="153" t="s">
        <v>2242</v>
      </c>
      <c r="C66" s="151" t="s">
        <v>2649</v>
      </c>
      <c r="D66" s="157" t="s">
        <v>2650</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2584</v>
      </c>
      <c r="B67" s="154" t="s">
        <v>2242</v>
      </c>
      <c r="C67" s="155" t="s">
        <v>2651</v>
      </c>
      <c r="D67" s="158" t="s">
        <v>2652</v>
      </c>
      <c r="E67" s="161" t="s">
        <v>2653</v>
      </c>
      <c r="F67" s="164" t="s">
        <v>2476</v>
      </c>
      <c r="G67" s="167">
        <f>IF(COUNTIF(H67:AU67,"&lt;&gt;")=0,"",SUMPRODUCT(((Recommendations[ImplStatus]="Implemented")+(Recommendations[ImplStatus]="Compensated"))*ISNUMBER(MATCH(Recommendations[Id],H67:AU67,0)))/COUNTIF(H67:AU67,"&lt;&gt;"))</f>
        <v>0</v>
      </c>
      <c r="H67" s="170" t="s">
        <v>144</v>
      </c>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2584</v>
      </c>
      <c r="B68" s="154" t="s">
        <v>2242</v>
      </c>
      <c r="C68" s="155" t="s">
        <v>2654</v>
      </c>
      <c r="D68" s="158" t="s">
        <v>2655</v>
      </c>
      <c r="E68" s="161" t="s">
        <v>2656</v>
      </c>
      <c r="F68" s="164" t="s">
        <v>2476</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2584</v>
      </c>
      <c r="B69" s="154" t="s">
        <v>2242</v>
      </c>
      <c r="C69" s="155" t="s">
        <v>2657</v>
      </c>
      <c r="D69" s="158" t="s">
        <v>2658</v>
      </c>
      <c r="E69" s="161" t="s">
        <v>2659</v>
      </c>
      <c r="F69" s="164" t="s">
        <v>2480</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2584</v>
      </c>
      <c r="B70" s="154" t="s">
        <v>2242</v>
      </c>
      <c r="C70" s="155" t="s">
        <v>2660</v>
      </c>
      <c r="D70" s="158" t="s">
        <v>2661</v>
      </c>
      <c r="E70" s="161" t="s">
        <v>2662</v>
      </c>
      <c r="F70" s="164" t="s">
        <v>2476</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2584</v>
      </c>
      <c r="B71" s="154" t="s">
        <v>2242</v>
      </c>
      <c r="C71" s="155" t="s">
        <v>2663</v>
      </c>
      <c r="D71" s="158" t="s">
        <v>2664</v>
      </c>
      <c r="E71" s="161" t="s">
        <v>2665</v>
      </c>
      <c r="F71" s="164" t="s">
        <v>2476</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2584</v>
      </c>
      <c r="B72" s="154" t="s">
        <v>2242</v>
      </c>
      <c r="C72" s="155" t="s">
        <v>2666</v>
      </c>
      <c r="D72" s="158" t="s">
        <v>2667</v>
      </c>
      <c r="E72" s="161" t="s">
        <v>2668</v>
      </c>
      <c r="F72" s="164" t="s">
        <v>2476</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2584</v>
      </c>
      <c r="B73" s="154" t="s">
        <v>2242</v>
      </c>
      <c r="C73" s="155" t="s">
        <v>2669</v>
      </c>
      <c r="D73" s="158" t="s">
        <v>2670</v>
      </c>
      <c r="E73" s="161" t="s">
        <v>2671</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2584</v>
      </c>
      <c r="B74" s="154" t="s">
        <v>2242</v>
      </c>
      <c r="C74" s="155" t="s">
        <v>2672</v>
      </c>
      <c r="D74" s="158" t="s">
        <v>2673</v>
      </c>
      <c r="E74" s="161" t="s">
        <v>2674</v>
      </c>
      <c r="F74" s="164" t="s">
        <v>2480</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2584</v>
      </c>
      <c r="B75" s="154" t="s">
        <v>2242</v>
      </c>
      <c r="C75" s="155" t="s">
        <v>2675</v>
      </c>
      <c r="D75" s="158" t="s">
        <v>2676</v>
      </c>
      <c r="E75" s="161" t="s">
        <v>2677</v>
      </c>
      <c r="F75" s="164" t="s">
        <v>2490</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2584</v>
      </c>
      <c r="B76" s="154" t="s">
        <v>2242</v>
      </c>
      <c r="C76" s="155" t="s">
        <v>2678</v>
      </c>
      <c r="D76" s="158" t="s">
        <v>2679</v>
      </c>
      <c r="E76" s="161" t="s">
        <v>2680</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2584</v>
      </c>
      <c r="B77" s="153" t="s">
        <v>2512</v>
      </c>
      <c r="C77" s="151" t="s">
        <v>2681</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2584</v>
      </c>
      <c r="B78" s="154" t="s">
        <v>2512</v>
      </c>
      <c r="C78" s="155" t="s">
        <v>2682</v>
      </c>
      <c r="D78" s="158" t="s">
        <v>2683</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2584</v>
      </c>
      <c r="B79" s="154" t="s">
        <v>2512</v>
      </c>
      <c r="C79" s="155" t="s">
        <v>2684</v>
      </c>
      <c r="D79" s="158" t="s">
        <v>2685</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2584</v>
      </c>
      <c r="B80" s="154" t="s">
        <v>2512</v>
      </c>
      <c r="C80" s="155" t="s">
        <v>2686</v>
      </c>
      <c r="D80" s="158" t="s">
        <v>2687</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2584</v>
      </c>
      <c r="B81" s="153" t="s">
        <v>2440</v>
      </c>
      <c r="C81" s="151" t="s">
        <v>2688</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2584</v>
      </c>
      <c r="B82" s="154" t="s">
        <v>2440</v>
      </c>
      <c r="C82" s="155" t="s">
        <v>2689</v>
      </c>
      <c r="D82" s="158" t="s">
        <v>2690</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2584</v>
      </c>
      <c r="B83" s="154" t="s">
        <v>2440</v>
      </c>
      <c r="C83" s="155" t="s">
        <v>2691</v>
      </c>
      <c r="D83" s="158" t="s">
        <v>2692</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2584</v>
      </c>
      <c r="B84" s="154" t="s">
        <v>2440</v>
      </c>
      <c r="C84" s="155" t="s">
        <v>2693</v>
      </c>
      <c r="D84" s="158" t="s">
        <v>2694</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2584</v>
      </c>
      <c r="B85" s="154" t="s">
        <v>2440</v>
      </c>
      <c r="C85" s="155" t="s">
        <v>2695</v>
      </c>
      <c r="D85" s="158" t="s">
        <v>2696</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2584</v>
      </c>
      <c r="B86" s="154" t="s">
        <v>2440</v>
      </c>
      <c r="C86" s="155" t="s">
        <v>2697</v>
      </c>
      <c r="D86" s="158" t="s">
        <v>2698</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2699</v>
      </c>
      <c r="B87" s="152" t="s">
        <v>21</v>
      </c>
      <c r="C87" s="150" t="s">
        <v>2700</v>
      </c>
      <c r="D87" s="156" t="s">
        <v>2701</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2699</v>
      </c>
      <c r="B88" s="153" t="s">
        <v>2702</v>
      </c>
      <c r="C88" s="151" t="s">
        <v>2703</v>
      </c>
      <c r="D88" s="157" t="s">
        <v>2704</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2699</v>
      </c>
      <c r="B89" s="154" t="s">
        <v>2702</v>
      </c>
      <c r="C89" s="155" t="s">
        <v>2705</v>
      </c>
      <c r="D89" s="158" t="s">
        <v>2706</v>
      </c>
      <c r="E89" s="161" t="s">
        <v>2707</v>
      </c>
      <c r="F89" s="164" t="s">
        <v>2476</v>
      </c>
      <c r="G89" s="167">
        <f>IF(COUNTIF(H89:AU89,"&lt;&gt;")=0,"",SUMPRODUCT(((Recommendations[ImplStatus]="Implemented")+(Recommendations[ImplStatus]="Compensated"))*ISNUMBER(MATCH(Recommendations[Id],H89:AU89,0)))/COUNTIF(H89:AU89,"&lt;&gt;"))</f>
        <v>0</v>
      </c>
      <c r="H89" s="170" t="s">
        <v>31</v>
      </c>
      <c r="I89" s="170" t="s">
        <v>67</v>
      </c>
      <c r="J89" s="170" t="s">
        <v>77</v>
      </c>
      <c r="K89" s="170" t="s">
        <v>139</v>
      </c>
      <c r="L89" s="170" t="s">
        <v>159</v>
      </c>
      <c r="M89" s="170" t="s">
        <v>164</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2699</v>
      </c>
      <c r="B90" s="154" t="s">
        <v>2702</v>
      </c>
      <c r="C90" s="155" t="s">
        <v>2708</v>
      </c>
      <c r="D90" s="158" t="s">
        <v>2709</v>
      </c>
      <c r="E90" s="161" t="s">
        <v>2710</v>
      </c>
      <c r="F90" s="164" t="s">
        <v>2480</v>
      </c>
      <c r="G90" s="167">
        <f>IF(COUNTIF(H90:AU90,"&lt;&gt;")=0,"",SUMPRODUCT(((Recommendations[ImplStatus]="Implemented")+(Recommendations[ImplStatus]="Compensated"))*ISNUMBER(MATCH(Recommendations[Id],H90:AU90,0)))/COUNTIF(H90:AU90,"&lt;&gt;"))</f>
        <v>0</v>
      </c>
      <c r="H90" s="170" t="s">
        <v>261</v>
      </c>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2699</v>
      </c>
      <c r="B91" s="154" t="s">
        <v>2702</v>
      </c>
      <c r="C91" s="155" t="s">
        <v>2711</v>
      </c>
      <c r="D91" s="158" t="s">
        <v>2712</v>
      </c>
      <c r="E91" s="161" t="s">
        <v>2713</v>
      </c>
      <c r="F91" s="164" t="s">
        <v>2476</v>
      </c>
      <c r="G91" s="167">
        <f>IF(COUNTIF(H91:AU91,"&lt;&gt;")=0,"",SUMPRODUCT(((Recommendations[ImplStatus]="Implemented")+(Recommendations[ImplStatus]="Compensated"))*ISNUMBER(MATCH(Recommendations[Id],H91:AU91,0)))/COUNTIF(H91:AU91,"&lt;&gt;"))</f>
        <v>0</v>
      </c>
      <c r="H91" s="170" t="s">
        <v>149</v>
      </c>
      <c r="I91" s="170" t="s">
        <v>200</v>
      </c>
      <c r="J91" s="170" t="s">
        <v>205</v>
      </c>
      <c r="K91" s="170" t="s">
        <v>377</v>
      </c>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2699</v>
      </c>
      <c r="B92" s="154" t="s">
        <v>2702</v>
      </c>
      <c r="C92" s="155" t="s">
        <v>2714</v>
      </c>
      <c r="D92" s="158" t="s">
        <v>2715</v>
      </c>
      <c r="E92" s="161" t="s">
        <v>2716</v>
      </c>
      <c r="F92" s="164" t="s">
        <v>2476</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2699</v>
      </c>
      <c r="B93" s="154" t="s">
        <v>2702</v>
      </c>
      <c r="C93" s="155" t="s">
        <v>2717</v>
      </c>
      <c r="D93" s="158" t="s">
        <v>2718</v>
      </c>
      <c r="E93" s="161" t="s">
        <v>2719</v>
      </c>
      <c r="F93" s="164" t="s">
        <v>2476</v>
      </c>
      <c r="G93" s="167">
        <f>IF(COUNTIF(H93:AU93,"&lt;&gt;")=0,"",SUMPRODUCT(((Recommendations[ImplStatus]="Implemented")+(Recommendations[ImplStatus]="Compensated"))*ISNUMBER(MATCH(Recommendations[Id],H93:AU93,0)))/COUNTIF(H93:AU93,"&lt;&gt;"))</f>
        <v>0</v>
      </c>
      <c r="H93" s="170" t="s">
        <v>42</v>
      </c>
      <c r="I93" s="170" t="s">
        <v>62</v>
      </c>
      <c r="J93" s="170" t="s">
        <v>72</v>
      </c>
      <c r="K93" s="170" t="s">
        <v>169</v>
      </c>
      <c r="L93" s="170" t="s">
        <v>174</v>
      </c>
      <c r="M93" s="170" t="s">
        <v>382</v>
      </c>
      <c r="N93" s="170" t="s">
        <v>505</v>
      </c>
      <c r="O93" s="170" t="s">
        <v>510</v>
      </c>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2699</v>
      </c>
      <c r="B94" s="154" t="s">
        <v>2702</v>
      </c>
      <c r="C94" s="155" t="s">
        <v>2720</v>
      </c>
      <c r="D94" s="158" t="s">
        <v>2721</v>
      </c>
      <c r="E94" s="161" t="s">
        <v>2722</v>
      </c>
      <c r="F94" s="164" t="s">
        <v>2480</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2699</v>
      </c>
      <c r="B95" s="153" t="s">
        <v>2723</v>
      </c>
      <c r="C95" s="151" t="s">
        <v>2724</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2699</v>
      </c>
      <c r="B96" s="154" t="s">
        <v>2723</v>
      </c>
      <c r="C96" s="155" t="s">
        <v>2725</v>
      </c>
      <c r="D96" s="158" t="s">
        <v>2726</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2699</v>
      </c>
      <c r="B97" s="154" t="s">
        <v>2723</v>
      </c>
      <c r="C97" s="155" t="s">
        <v>2727</v>
      </c>
      <c r="D97" s="158" t="s">
        <v>2728</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2699</v>
      </c>
      <c r="B98" s="154" t="s">
        <v>2723</v>
      </c>
      <c r="C98" s="155" t="s">
        <v>2729</v>
      </c>
      <c r="D98" s="158" t="s">
        <v>2730</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2699</v>
      </c>
      <c r="B99" s="154" t="s">
        <v>2723</v>
      </c>
      <c r="C99" s="155" t="s">
        <v>2731</v>
      </c>
      <c r="D99" s="158" t="s">
        <v>2732</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2699</v>
      </c>
      <c r="B100" s="154" t="s">
        <v>2723</v>
      </c>
      <c r="C100" s="155" t="s">
        <v>2733</v>
      </c>
      <c r="D100" s="158" t="s">
        <v>2734</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2699</v>
      </c>
      <c r="B101" s="154" t="s">
        <v>2723</v>
      </c>
      <c r="C101" s="155" t="s">
        <v>2735</v>
      </c>
      <c r="D101" s="158" t="s">
        <v>2736</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2699</v>
      </c>
      <c r="B102" s="154" t="s">
        <v>2723</v>
      </c>
      <c r="C102" s="155" t="s">
        <v>2737</v>
      </c>
      <c r="D102" s="158" t="s">
        <v>2738</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2699</v>
      </c>
      <c r="B103" s="153" t="s">
        <v>1883</v>
      </c>
      <c r="C103" s="151" t="s">
        <v>2739</v>
      </c>
      <c r="D103" s="157" t="s">
        <v>2740</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2699</v>
      </c>
      <c r="B104" s="154" t="s">
        <v>1883</v>
      </c>
      <c r="C104" s="155" t="s">
        <v>2741</v>
      </c>
      <c r="D104" s="158" t="s">
        <v>2742</v>
      </c>
      <c r="E104" s="161" t="s">
        <v>2743</v>
      </c>
      <c r="F104" s="164" t="s">
        <v>2476</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2699</v>
      </c>
      <c r="B105" s="154" t="s">
        <v>1883</v>
      </c>
      <c r="C105" s="155" t="s">
        <v>2744</v>
      </c>
      <c r="D105" s="158" t="s">
        <v>2745</v>
      </c>
      <c r="E105" s="161" t="s">
        <v>2746</v>
      </c>
      <c r="F105" s="164" t="s">
        <v>2480</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2699</v>
      </c>
      <c r="B106" s="154" t="s">
        <v>1883</v>
      </c>
      <c r="C106" s="155" t="s">
        <v>2747</v>
      </c>
      <c r="D106" s="158" t="s">
        <v>2748</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2699</v>
      </c>
      <c r="B107" s="154" t="s">
        <v>1883</v>
      </c>
      <c r="C107" s="155" t="s">
        <v>2749</v>
      </c>
      <c r="D107" s="158" t="s">
        <v>2750</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2699</v>
      </c>
      <c r="B108" s="154" t="s">
        <v>1883</v>
      </c>
      <c r="C108" s="155" t="s">
        <v>2751</v>
      </c>
      <c r="D108" s="158" t="s">
        <v>2752</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2699</v>
      </c>
      <c r="B109" s="153" t="s">
        <v>2753</v>
      </c>
      <c r="C109" s="151" t="s">
        <v>2754</v>
      </c>
      <c r="D109" s="157" t="s">
        <v>2755</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2699</v>
      </c>
      <c r="B110" s="154" t="s">
        <v>2753</v>
      </c>
      <c r="C110" s="155" t="s">
        <v>2756</v>
      </c>
      <c r="D110" s="158" t="s">
        <v>2757</v>
      </c>
      <c r="E110" s="161" t="s">
        <v>2758</v>
      </c>
      <c r="F110" s="164" t="s">
        <v>2476</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2699</v>
      </c>
      <c r="B111" s="154" t="s">
        <v>2753</v>
      </c>
      <c r="C111" s="155" t="s">
        <v>2759</v>
      </c>
      <c r="D111" s="158" t="s">
        <v>2760</v>
      </c>
      <c r="E111" s="161" t="s">
        <v>2761</v>
      </c>
      <c r="F111" s="164" t="s">
        <v>2476</v>
      </c>
      <c r="G111" s="167">
        <f>IF(COUNTIF(H111:AU111,"&lt;&gt;")=0,"",SUMPRODUCT(((Recommendations[ImplStatus]="Implemented")+(Recommendations[ImplStatus]="Compensated"))*ISNUMBER(MATCH(Recommendations[Id],H111:AU111,0)))/COUNTIF(H111:AU111,"&lt;&gt;"))</f>
        <v>0</v>
      </c>
      <c r="H111" s="170" t="s">
        <v>25</v>
      </c>
      <c r="I111" s="170" t="s">
        <v>57</v>
      </c>
      <c r="J111" s="170" t="s">
        <v>87</v>
      </c>
      <c r="K111" s="170" t="s">
        <v>154</v>
      </c>
      <c r="L111" s="170" t="s">
        <v>291</v>
      </c>
      <c r="M111" s="170" t="s">
        <v>312</v>
      </c>
      <c r="N111" s="170" t="s">
        <v>367</v>
      </c>
      <c r="O111" s="170" t="s">
        <v>565</v>
      </c>
      <c r="P111" s="170" t="s">
        <v>570</v>
      </c>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2699</v>
      </c>
      <c r="B112" s="154" t="s">
        <v>2753</v>
      </c>
      <c r="C112" s="155" t="s">
        <v>2762</v>
      </c>
      <c r="D112" s="158" t="s">
        <v>2763</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2699</v>
      </c>
      <c r="B113" s="154" t="s">
        <v>2753</v>
      </c>
      <c r="C113" s="155" t="s">
        <v>2764</v>
      </c>
      <c r="D113" s="158" t="s">
        <v>2765</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2699</v>
      </c>
      <c r="B114" s="154" t="s">
        <v>2753</v>
      </c>
      <c r="C114" s="155" t="s">
        <v>2766</v>
      </c>
      <c r="D114" s="158" t="s">
        <v>2767</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2699</v>
      </c>
      <c r="B115" s="154" t="s">
        <v>2753</v>
      </c>
      <c r="C115" s="155" t="s">
        <v>2768</v>
      </c>
      <c r="D115" s="158" t="s">
        <v>2769</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2699</v>
      </c>
      <c r="B116" s="154" t="s">
        <v>2753</v>
      </c>
      <c r="C116" s="155" t="s">
        <v>2770</v>
      </c>
      <c r="D116" s="158" t="s">
        <v>2771</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2699</v>
      </c>
      <c r="B117" s="154" t="s">
        <v>2753</v>
      </c>
      <c r="C117" s="155" t="s">
        <v>2772</v>
      </c>
      <c r="D117" s="158" t="s">
        <v>2773</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2699</v>
      </c>
      <c r="B118" s="154" t="s">
        <v>2753</v>
      </c>
      <c r="C118" s="155" t="s">
        <v>2774</v>
      </c>
      <c r="D118" s="158" t="s">
        <v>2775</v>
      </c>
      <c r="E118" s="161" t="s">
        <v>2776</v>
      </c>
      <c r="F118" s="164" t="s">
        <v>2476</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2699</v>
      </c>
      <c r="B119" s="154" t="s">
        <v>2753</v>
      </c>
      <c r="C119" s="155" t="s">
        <v>2777</v>
      </c>
      <c r="D119" s="158" t="s">
        <v>2778</v>
      </c>
      <c r="E119" s="161" t="s">
        <v>2779</v>
      </c>
      <c r="F119" s="164" t="s">
        <v>2476</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2699</v>
      </c>
      <c r="B120" s="153" t="s">
        <v>2780</v>
      </c>
      <c r="C120" s="151" t="s">
        <v>2781</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2699</v>
      </c>
      <c r="B121" s="154" t="s">
        <v>2780</v>
      </c>
      <c r="C121" s="155" t="s">
        <v>2782</v>
      </c>
      <c r="D121" s="158" t="s">
        <v>2783</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2699</v>
      </c>
      <c r="B122" s="154" t="s">
        <v>2780</v>
      </c>
      <c r="C122" s="155" t="s">
        <v>2784</v>
      </c>
      <c r="D122" s="158" t="s">
        <v>2785</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2699</v>
      </c>
      <c r="B123" s="154" t="s">
        <v>2780</v>
      </c>
      <c r="C123" s="155" t="s">
        <v>2786</v>
      </c>
      <c r="D123" s="158" t="s">
        <v>2787</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2699</v>
      </c>
      <c r="B124" s="154" t="s">
        <v>2780</v>
      </c>
      <c r="C124" s="155" t="s">
        <v>2788</v>
      </c>
      <c r="D124" s="158" t="s">
        <v>2789</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2699</v>
      </c>
      <c r="B125" s="154" t="s">
        <v>2780</v>
      </c>
      <c r="C125" s="155" t="s">
        <v>2790</v>
      </c>
      <c r="D125" s="158" t="s">
        <v>2791</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2699</v>
      </c>
      <c r="B126" s="154" t="s">
        <v>2780</v>
      </c>
      <c r="C126" s="155" t="s">
        <v>2792</v>
      </c>
      <c r="D126" s="158" t="s">
        <v>2793</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2699</v>
      </c>
      <c r="B127" s="154" t="s">
        <v>2780</v>
      </c>
      <c r="C127" s="155" t="s">
        <v>2794</v>
      </c>
      <c r="D127" s="158" t="s">
        <v>2795</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2699</v>
      </c>
      <c r="B128" s="154" t="s">
        <v>2780</v>
      </c>
      <c r="C128" s="155" t="s">
        <v>2796</v>
      </c>
      <c r="D128" s="158" t="s">
        <v>2797</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2699</v>
      </c>
      <c r="B129" s="154" t="s">
        <v>2780</v>
      </c>
      <c r="C129" s="155" t="s">
        <v>2798</v>
      </c>
      <c r="D129" s="158" t="s">
        <v>2799</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2699</v>
      </c>
      <c r="B130" s="154" t="s">
        <v>2780</v>
      </c>
      <c r="C130" s="155" t="s">
        <v>2800</v>
      </c>
      <c r="D130" s="158" t="s">
        <v>2801</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2699</v>
      </c>
      <c r="B131" s="154" t="s">
        <v>2780</v>
      </c>
      <c r="C131" s="155" t="s">
        <v>2802</v>
      </c>
      <c r="D131" s="158" t="s">
        <v>2803</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2699</v>
      </c>
      <c r="B132" s="154" t="s">
        <v>2780</v>
      </c>
      <c r="C132" s="155" t="s">
        <v>2804</v>
      </c>
      <c r="D132" s="158" t="s">
        <v>2805</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2699</v>
      </c>
      <c r="B133" s="153" t="s">
        <v>2806</v>
      </c>
      <c r="C133" s="151" t="s">
        <v>2807</v>
      </c>
      <c r="D133" s="157" t="s">
        <v>2808</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2699</v>
      </c>
      <c r="B134" s="154" t="s">
        <v>2806</v>
      </c>
      <c r="C134" s="155" t="s">
        <v>2809</v>
      </c>
      <c r="D134" s="158" t="s">
        <v>2810</v>
      </c>
      <c r="E134" s="161" t="s">
        <v>2811</v>
      </c>
      <c r="F134" s="164" t="s">
        <v>2480</v>
      </c>
      <c r="G134" s="167">
        <f>IF(COUNTIF(H134:AU134,"&lt;&gt;")=0,"",SUMPRODUCT(((Recommendations[ImplStatus]="Implemented")+(Recommendations[ImplStatus]="Compensated"))*ISNUMBER(MATCH(Recommendations[Id],H134:AU134,0)))/COUNTIF(H134:AU134,"&lt;&gt;"))</f>
        <v>0</v>
      </c>
      <c r="H134" s="170" t="s">
        <v>52</v>
      </c>
      <c r="I134" s="170" t="s">
        <v>179</v>
      </c>
      <c r="J134" s="170" t="s">
        <v>185</v>
      </c>
      <c r="K134" s="170" t="s">
        <v>190</v>
      </c>
      <c r="L134" s="170" t="s">
        <v>195</v>
      </c>
      <c r="M134" s="170" t="s">
        <v>216</v>
      </c>
      <c r="N134" s="170" t="s">
        <v>251</v>
      </c>
      <c r="O134" s="170" t="s">
        <v>266</v>
      </c>
      <c r="P134" s="170" t="s">
        <v>276</v>
      </c>
      <c r="Q134" s="170" t="s">
        <v>362</v>
      </c>
      <c r="R134" s="170" t="s">
        <v>387</v>
      </c>
      <c r="S134" s="170" t="s">
        <v>397</v>
      </c>
      <c r="T134" s="170" t="s">
        <v>402</v>
      </c>
      <c r="U134" s="170" t="s">
        <v>407</v>
      </c>
      <c r="V134" s="170" t="s">
        <v>412</v>
      </c>
      <c r="W134" s="170" t="s">
        <v>417</v>
      </c>
      <c r="X134" s="170" t="s">
        <v>422</v>
      </c>
      <c r="Y134" s="170" t="s">
        <v>427</v>
      </c>
      <c r="Z134" s="170" t="s">
        <v>437</v>
      </c>
      <c r="AA134" s="170" t="s">
        <v>447</v>
      </c>
      <c r="AB134" s="170" t="s">
        <v>451</v>
      </c>
      <c r="AC134" s="170" t="s">
        <v>461</v>
      </c>
      <c r="AD134" s="170" t="s">
        <v>466</v>
      </c>
      <c r="AE134" s="170" t="s">
        <v>471</v>
      </c>
      <c r="AF134" s="170" t="s">
        <v>485</v>
      </c>
      <c r="AG134" s="170" t="s">
        <v>490</v>
      </c>
      <c r="AH134" s="170" t="s">
        <v>495</v>
      </c>
      <c r="AI134" s="170" t="s">
        <v>500</v>
      </c>
      <c r="AJ134" s="170" t="s">
        <v>520</v>
      </c>
      <c r="AK134" s="170" t="s">
        <v>525</v>
      </c>
      <c r="AL134" s="170" t="s">
        <v>545</v>
      </c>
      <c r="AM134" s="170" t="s">
        <v>555</v>
      </c>
      <c r="AN134" s="170" t="s">
        <v>560</v>
      </c>
      <c r="AO134" s="170"/>
      <c r="AP134" s="170"/>
      <c r="AQ134" s="170"/>
      <c r="AR134" s="170"/>
      <c r="AS134" s="170"/>
      <c r="AT134" s="170"/>
      <c r="AU134" s="184"/>
    </row>
    <row r="135" spans="1:47" ht="60" customHeight="1" x14ac:dyDescent="0.35">
      <c r="A135" s="180" t="s">
        <v>2699</v>
      </c>
      <c r="B135" s="154" t="s">
        <v>2806</v>
      </c>
      <c r="C135" s="155" t="s">
        <v>2812</v>
      </c>
      <c r="D135" s="158" t="s">
        <v>2813</v>
      </c>
      <c r="E135" s="161" t="s">
        <v>2814</v>
      </c>
      <c r="F135" s="164" t="s">
        <v>2480</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2699</v>
      </c>
      <c r="B136" s="154" t="s">
        <v>2806</v>
      </c>
      <c r="C136" s="155" t="s">
        <v>2815</v>
      </c>
      <c r="D136" s="158" t="s">
        <v>2816</v>
      </c>
      <c r="E136" s="161" t="s">
        <v>2817</v>
      </c>
      <c r="F136" s="164" t="s">
        <v>2476</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2699</v>
      </c>
      <c r="B137" s="154" t="s">
        <v>2806</v>
      </c>
      <c r="C137" s="155" t="s">
        <v>2818</v>
      </c>
      <c r="D137" s="158" t="s">
        <v>2819</v>
      </c>
      <c r="E137" s="161" t="s">
        <v>2820</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2699</v>
      </c>
      <c r="B138" s="153" t="s">
        <v>2116</v>
      </c>
      <c r="C138" s="151" t="s">
        <v>2821</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2699</v>
      </c>
      <c r="B139" s="154" t="s">
        <v>2116</v>
      </c>
      <c r="C139" s="155" t="s">
        <v>2822</v>
      </c>
      <c r="D139" s="158" t="s">
        <v>2823</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2699</v>
      </c>
      <c r="B140" s="154" t="s">
        <v>2116</v>
      </c>
      <c r="C140" s="155" t="s">
        <v>2824</v>
      </c>
      <c r="D140" s="158" t="s">
        <v>2825</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2699</v>
      </c>
      <c r="B141" s="153" t="s">
        <v>2826</v>
      </c>
      <c r="C141" s="151" t="s">
        <v>2827</v>
      </c>
      <c r="D141" s="157" t="s">
        <v>2828</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2699</v>
      </c>
      <c r="B142" s="154" t="s">
        <v>2826</v>
      </c>
      <c r="C142" s="155" t="s">
        <v>2829</v>
      </c>
      <c r="D142" s="158" t="s">
        <v>2830</v>
      </c>
      <c r="E142" s="161" t="s">
        <v>2831</v>
      </c>
      <c r="F142" s="164" t="s">
        <v>2476</v>
      </c>
      <c r="G142" s="167">
        <f>IF(COUNTIF(H142:AU142,"&lt;&gt;")=0,"",SUMPRODUCT(((Recommendations[ImplStatus]="Implemented")+(Recommendations[ImplStatus]="Compensated"))*ISNUMBER(MATCH(Recommendations[Id],H142:AU142,0)))/COUNTIF(H142:AU142,"&lt;&gt;"))</f>
        <v>0</v>
      </c>
      <c r="H142" s="170" t="s">
        <v>97</v>
      </c>
      <c r="I142" s="170" t="s">
        <v>103</v>
      </c>
      <c r="J142" s="170" t="s">
        <v>109</v>
      </c>
      <c r="K142" s="170" t="s">
        <v>114</v>
      </c>
      <c r="L142" s="170" t="s">
        <v>119</v>
      </c>
      <c r="M142" s="170" t="s">
        <v>124</v>
      </c>
      <c r="N142" s="170" t="s">
        <v>129</v>
      </c>
      <c r="O142" s="170" t="s">
        <v>134</v>
      </c>
      <c r="P142" s="170" t="s">
        <v>231</v>
      </c>
      <c r="Q142" s="170" t="s">
        <v>241</v>
      </c>
      <c r="R142" s="170" t="s">
        <v>246</v>
      </c>
      <c r="S142" s="170" t="s">
        <v>256</v>
      </c>
      <c r="T142" s="170" t="s">
        <v>286</v>
      </c>
      <c r="U142" s="170" t="s">
        <v>296</v>
      </c>
      <c r="V142" s="170" t="s">
        <v>302</v>
      </c>
      <c r="W142" s="170" t="s">
        <v>307</v>
      </c>
      <c r="X142" s="170" t="s">
        <v>540</v>
      </c>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2699</v>
      </c>
      <c r="B143" s="154" t="s">
        <v>2826</v>
      </c>
      <c r="C143" s="155" t="s">
        <v>2832</v>
      </c>
      <c r="D143" s="158" t="s">
        <v>2833</v>
      </c>
      <c r="E143" s="161" t="s">
        <v>2834</v>
      </c>
      <c r="F143" s="164" t="s">
        <v>2476</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2699</v>
      </c>
      <c r="B144" s="154" t="s">
        <v>2826</v>
      </c>
      <c r="C144" s="155" t="s">
        <v>2835</v>
      </c>
      <c r="D144" s="158" t="s">
        <v>2836</v>
      </c>
      <c r="E144" s="161" t="s">
        <v>2837</v>
      </c>
      <c r="F144" s="164" t="s">
        <v>2480</v>
      </c>
      <c r="G144" s="167">
        <f>IF(COUNTIF(H144:AU144,"&lt;&gt;")=0,"",SUMPRODUCT(((Recommendations[ImplStatus]="Implemented")+(Recommendations[ImplStatus]="Compensated"))*ISNUMBER(MATCH(Recommendations[Id],H144:AU144,0)))/COUNTIF(H144:AU144,"&lt;&gt;"))</f>
        <v>0</v>
      </c>
      <c r="H144" s="170" t="s">
        <v>535</v>
      </c>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2699</v>
      </c>
      <c r="B145" s="154" t="s">
        <v>2826</v>
      </c>
      <c r="C145" s="155" t="s">
        <v>2838</v>
      </c>
      <c r="D145" s="158" t="s">
        <v>2839</v>
      </c>
      <c r="E145" s="161" t="s">
        <v>2840</v>
      </c>
      <c r="F145" s="164" t="s">
        <v>2476</v>
      </c>
      <c r="G145" s="167">
        <f>IF(COUNTIF(H145:AU145,"&lt;&gt;")=0,"",SUMPRODUCT(((Recommendations[ImplStatus]="Implemented")+(Recommendations[ImplStatus]="Compensated"))*ISNUMBER(MATCH(Recommendations[Id],H145:AU145,0)))/COUNTIF(H145:AU145,"&lt;&gt;"))</f>
        <v>0</v>
      </c>
      <c r="H145" s="170" t="s">
        <v>14</v>
      </c>
      <c r="I145" s="170" t="s">
        <v>92</v>
      </c>
      <c r="J145" s="170" t="s">
        <v>211</v>
      </c>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2699</v>
      </c>
      <c r="B146" s="154" t="s">
        <v>2826</v>
      </c>
      <c r="C146" s="155" t="s">
        <v>2841</v>
      </c>
      <c r="D146" s="158" t="s">
        <v>2842</v>
      </c>
      <c r="E146" s="161" t="s">
        <v>2843</v>
      </c>
      <c r="F146" s="164" t="s">
        <v>2476</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2699</v>
      </c>
      <c r="B147" s="154" t="s">
        <v>2826</v>
      </c>
      <c r="C147" s="155" t="s">
        <v>2844</v>
      </c>
      <c r="D147" s="158" t="s">
        <v>2845</v>
      </c>
      <c r="E147" s="161" t="s">
        <v>2846</v>
      </c>
      <c r="F147" s="164" t="s">
        <v>2476</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2699</v>
      </c>
      <c r="B148" s="153" t="s">
        <v>2847</v>
      </c>
      <c r="C148" s="151" t="s">
        <v>2848</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2699</v>
      </c>
      <c r="B149" s="154" t="s">
        <v>2847</v>
      </c>
      <c r="C149" s="155" t="s">
        <v>2849</v>
      </c>
      <c r="D149" s="158" t="s">
        <v>2850</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2699</v>
      </c>
      <c r="B150" s="154" t="s">
        <v>2847</v>
      </c>
      <c r="C150" s="155" t="s">
        <v>2851</v>
      </c>
      <c r="D150" s="158" t="s">
        <v>2852</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2699</v>
      </c>
      <c r="B151" s="154" t="s">
        <v>2847</v>
      </c>
      <c r="C151" s="155" t="s">
        <v>2853</v>
      </c>
      <c r="D151" s="158" t="s">
        <v>2854</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2699</v>
      </c>
      <c r="B152" s="154" t="s">
        <v>2847</v>
      </c>
      <c r="C152" s="155" t="s">
        <v>2855</v>
      </c>
      <c r="D152" s="158" t="s">
        <v>2856</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2699</v>
      </c>
      <c r="B153" s="154" t="s">
        <v>2847</v>
      </c>
      <c r="C153" s="155" t="s">
        <v>2857</v>
      </c>
      <c r="D153" s="158" t="s">
        <v>2858</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2859</v>
      </c>
      <c r="B154" s="152" t="s">
        <v>21</v>
      </c>
      <c r="C154" s="150" t="s">
        <v>2860</v>
      </c>
      <c r="D154" s="156" t="s">
        <v>2861</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2859</v>
      </c>
      <c r="B155" s="153" t="s">
        <v>2862</v>
      </c>
      <c r="C155" s="151" t="s">
        <v>2863</v>
      </c>
      <c r="D155" s="157" t="s">
        <v>2864</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2859</v>
      </c>
      <c r="B156" s="154" t="s">
        <v>2862</v>
      </c>
      <c r="C156" s="155" t="s">
        <v>2865</v>
      </c>
      <c r="D156" s="158" t="s">
        <v>2866</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2859</v>
      </c>
      <c r="B157" s="154" t="s">
        <v>2862</v>
      </c>
      <c r="C157" s="155" t="s">
        <v>2867</v>
      </c>
      <c r="D157" s="158" t="s">
        <v>2868</v>
      </c>
      <c r="E157" s="161" t="s">
        <v>2869</v>
      </c>
      <c r="F157" s="164" t="s">
        <v>2476</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2859</v>
      </c>
      <c r="B158" s="154" t="s">
        <v>2862</v>
      </c>
      <c r="C158" s="155" t="s">
        <v>2870</v>
      </c>
      <c r="D158" s="158" t="s">
        <v>2871</v>
      </c>
      <c r="E158" s="161" t="s">
        <v>2872</v>
      </c>
      <c r="F158" s="164" t="s">
        <v>2476</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2859</v>
      </c>
      <c r="B159" s="154" t="s">
        <v>2862</v>
      </c>
      <c r="C159" s="155" t="s">
        <v>2873</v>
      </c>
      <c r="D159" s="158" t="s">
        <v>2874</v>
      </c>
      <c r="E159" s="161" t="s">
        <v>2875</v>
      </c>
      <c r="F159" s="164" t="s">
        <v>2476</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2859</v>
      </c>
      <c r="B160" s="154" t="s">
        <v>2862</v>
      </c>
      <c r="C160" s="155" t="s">
        <v>2876</v>
      </c>
      <c r="D160" s="158" t="s">
        <v>2877</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2859</v>
      </c>
      <c r="B161" s="154" t="s">
        <v>2862</v>
      </c>
      <c r="C161" s="155" t="s">
        <v>2878</v>
      </c>
      <c r="D161" s="158" t="s">
        <v>2879</v>
      </c>
      <c r="E161" s="161" t="s">
        <v>2880</v>
      </c>
      <c r="F161" s="164" t="s">
        <v>2476</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2859</v>
      </c>
      <c r="B162" s="154" t="s">
        <v>2862</v>
      </c>
      <c r="C162" s="155" t="s">
        <v>2881</v>
      </c>
      <c r="D162" s="158" t="s">
        <v>2882</v>
      </c>
      <c r="E162" s="161" t="s">
        <v>2883</v>
      </c>
      <c r="F162" s="164" t="s">
        <v>2476</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2859</v>
      </c>
      <c r="B163" s="154" t="s">
        <v>2862</v>
      </c>
      <c r="C163" s="155" t="s">
        <v>2884</v>
      </c>
      <c r="D163" s="158" t="s">
        <v>2885</v>
      </c>
      <c r="E163" s="161" t="s">
        <v>2886</v>
      </c>
      <c r="F163" s="164" t="s">
        <v>2476</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2859</v>
      </c>
      <c r="B164" s="153" t="s">
        <v>2280</v>
      </c>
      <c r="C164" s="151" t="s">
        <v>2887</v>
      </c>
      <c r="D164" s="157" t="s">
        <v>2888</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2859</v>
      </c>
      <c r="B165" s="154" t="s">
        <v>2280</v>
      </c>
      <c r="C165" s="155" t="s">
        <v>2889</v>
      </c>
      <c r="D165" s="158" t="s">
        <v>2890</v>
      </c>
      <c r="E165" s="161" t="s">
        <v>2891</v>
      </c>
      <c r="F165" s="164" t="s">
        <v>2476</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2859</v>
      </c>
      <c r="B166" s="154" t="s">
        <v>2280</v>
      </c>
      <c r="C166" s="155" t="s">
        <v>2892</v>
      </c>
      <c r="D166" s="158" t="s">
        <v>2893</v>
      </c>
      <c r="E166" s="161" t="s">
        <v>2894</v>
      </c>
      <c r="F166" s="164" t="s">
        <v>2476</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2859</v>
      </c>
      <c r="B167" s="154" t="s">
        <v>2280</v>
      </c>
      <c r="C167" s="155" t="s">
        <v>2895</v>
      </c>
      <c r="D167" s="158" t="s">
        <v>2896</v>
      </c>
      <c r="E167" s="161" t="s">
        <v>2897</v>
      </c>
      <c r="F167" s="164" t="s">
        <v>2476</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2859</v>
      </c>
      <c r="B168" s="154" t="s">
        <v>2280</v>
      </c>
      <c r="C168" s="155" t="s">
        <v>2898</v>
      </c>
      <c r="D168" s="158" t="s">
        <v>2899</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2859</v>
      </c>
      <c r="B169" s="154" t="s">
        <v>2280</v>
      </c>
      <c r="C169" s="155" t="s">
        <v>2900</v>
      </c>
      <c r="D169" s="158" t="s">
        <v>2901</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2859</v>
      </c>
      <c r="B170" s="154" t="s">
        <v>2280</v>
      </c>
      <c r="C170" s="155" t="s">
        <v>2902</v>
      </c>
      <c r="D170" s="158" t="s">
        <v>2903</v>
      </c>
      <c r="E170" s="161" t="s">
        <v>2904</v>
      </c>
      <c r="F170" s="164" t="s">
        <v>2490</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2859</v>
      </c>
      <c r="B171" s="154" t="s">
        <v>2280</v>
      </c>
      <c r="C171" s="155" t="s">
        <v>2905</v>
      </c>
      <c r="D171" s="158" t="s">
        <v>2906</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2859</v>
      </c>
      <c r="B172" s="154" t="s">
        <v>2280</v>
      </c>
      <c r="C172" s="155" t="s">
        <v>2907</v>
      </c>
      <c r="D172" s="158" t="s">
        <v>2908</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2859</v>
      </c>
      <c r="B173" s="154" t="s">
        <v>2280</v>
      </c>
      <c r="C173" s="155" t="s">
        <v>2909</v>
      </c>
      <c r="D173" s="158" t="s">
        <v>2910</v>
      </c>
      <c r="E173" s="161" t="s">
        <v>2911</v>
      </c>
      <c r="F173" s="164" t="s">
        <v>2476</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2859</v>
      </c>
      <c r="B174" s="153" t="s">
        <v>2912</v>
      </c>
      <c r="C174" s="151" t="s">
        <v>2913</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2859</v>
      </c>
      <c r="B175" s="154" t="s">
        <v>2912</v>
      </c>
      <c r="C175" s="155" t="s">
        <v>2914</v>
      </c>
      <c r="D175" s="158" t="s">
        <v>2915</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2859</v>
      </c>
      <c r="B176" s="154" t="s">
        <v>2912</v>
      </c>
      <c r="C176" s="155" t="s">
        <v>2916</v>
      </c>
      <c r="D176" s="158" t="s">
        <v>2917</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2859</v>
      </c>
      <c r="B177" s="154" t="s">
        <v>2912</v>
      </c>
      <c r="C177" s="155" t="s">
        <v>2918</v>
      </c>
      <c r="D177" s="158" t="s">
        <v>2919</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2859</v>
      </c>
      <c r="B178" s="154" t="s">
        <v>2912</v>
      </c>
      <c r="C178" s="155" t="s">
        <v>2920</v>
      </c>
      <c r="D178" s="158" t="s">
        <v>2921</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2859</v>
      </c>
      <c r="B179" s="154" t="s">
        <v>2912</v>
      </c>
      <c r="C179" s="155" t="s">
        <v>2922</v>
      </c>
      <c r="D179" s="158" t="s">
        <v>2923</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2924</v>
      </c>
      <c r="B180" s="152" t="s">
        <v>21</v>
      </c>
      <c r="C180" s="150" t="s">
        <v>2925</v>
      </c>
      <c r="D180" s="156" t="s">
        <v>2926</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2924</v>
      </c>
      <c r="B181" s="153" t="s">
        <v>2927</v>
      </c>
      <c r="C181" s="151" t="s">
        <v>2928</v>
      </c>
      <c r="D181" s="157" t="s">
        <v>2929</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2924</v>
      </c>
      <c r="B182" s="154" t="s">
        <v>2927</v>
      </c>
      <c r="C182" s="155" t="s">
        <v>2930</v>
      </c>
      <c r="D182" s="158" t="s">
        <v>2931</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2924</v>
      </c>
      <c r="B183" s="154" t="s">
        <v>2927</v>
      </c>
      <c r="C183" s="155" t="s">
        <v>2932</v>
      </c>
      <c r="D183" s="158" t="s">
        <v>2933</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2924</v>
      </c>
      <c r="B184" s="154" t="s">
        <v>2927</v>
      </c>
      <c r="C184" s="155" t="s">
        <v>2934</v>
      </c>
      <c r="D184" s="158" t="s">
        <v>2935</v>
      </c>
      <c r="E184" s="161" t="s">
        <v>2936</v>
      </c>
      <c r="F184" s="164" t="s">
        <v>2476</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2924</v>
      </c>
      <c r="B185" s="154" t="s">
        <v>2927</v>
      </c>
      <c r="C185" s="155" t="s">
        <v>2937</v>
      </c>
      <c r="D185" s="158" t="s">
        <v>2938</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2924</v>
      </c>
      <c r="B186" s="154" t="s">
        <v>2927</v>
      </c>
      <c r="C186" s="155" t="s">
        <v>2939</v>
      </c>
      <c r="D186" s="158" t="s">
        <v>2940</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2924</v>
      </c>
      <c r="B187" s="154" t="s">
        <v>2927</v>
      </c>
      <c r="C187" s="155" t="s">
        <v>2941</v>
      </c>
      <c r="D187" s="158" t="s">
        <v>2942</v>
      </c>
      <c r="E187" s="161" t="s">
        <v>2943</v>
      </c>
      <c r="F187" s="164" t="s">
        <v>2476</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2924</v>
      </c>
      <c r="B188" s="154" t="s">
        <v>2927</v>
      </c>
      <c r="C188" s="155" t="s">
        <v>2944</v>
      </c>
      <c r="D188" s="158" t="s">
        <v>2945</v>
      </c>
      <c r="E188" s="161" t="s">
        <v>2946</v>
      </c>
      <c r="F188" s="164" t="s">
        <v>2476</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2924</v>
      </c>
      <c r="B189" s="154" t="s">
        <v>2927</v>
      </c>
      <c r="C189" s="155" t="s">
        <v>2947</v>
      </c>
      <c r="D189" s="158" t="s">
        <v>2948</v>
      </c>
      <c r="E189" s="161" t="s">
        <v>2949</v>
      </c>
      <c r="F189" s="164" t="s">
        <v>2476</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2924</v>
      </c>
      <c r="B190" s="153" t="s">
        <v>2950</v>
      </c>
      <c r="C190" s="151" t="s">
        <v>2951</v>
      </c>
      <c r="D190" s="157" t="s">
        <v>2952</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2924</v>
      </c>
      <c r="B191" s="154" t="s">
        <v>2950</v>
      </c>
      <c r="C191" s="155" t="s">
        <v>2953</v>
      </c>
      <c r="D191" s="158" t="s">
        <v>2954</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2924</v>
      </c>
      <c r="B192" s="154" t="s">
        <v>2950</v>
      </c>
      <c r="C192" s="155" t="s">
        <v>2955</v>
      </c>
      <c r="D192" s="158" t="s">
        <v>2956</v>
      </c>
      <c r="E192" s="161" t="s">
        <v>2957</v>
      </c>
      <c r="F192" s="164" t="s">
        <v>2480</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2924</v>
      </c>
      <c r="B193" s="154" t="s">
        <v>2950</v>
      </c>
      <c r="C193" s="155" t="s">
        <v>2958</v>
      </c>
      <c r="D193" s="158" t="s">
        <v>2959</v>
      </c>
      <c r="E193" s="161" t="s">
        <v>2960</v>
      </c>
      <c r="F193" s="164" t="s">
        <v>2480</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2924</v>
      </c>
      <c r="B194" s="154" t="s">
        <v>2950</v>
      </c>
      <c r="C194" s="155" t="s">
        <v>2961</v>
      </c>
      <c r="D194" s="158" t="s">
        <v>2962</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2924</v>
      </c>
      <c r="B195" s="154" t="s">
        <v>2950</v>
      </c>
      <c r="C195" s="155" t="s">
        <v>2963</v>
      </c>
      <c r="D195" s="158" t="s">
        <v>2964</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2924</v>
      </c>
      <c r="B196" s="153" t="s">
        <v>2965</v>
      </c>
      <c r="C196" s="151" t="s">
        <v>2966</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2924</v>
      </c>
      <c r="B197" s="154" t="s">
        <v>2965</v>
      </c>
      <c r="C197" s="155" t="s">
        <v>2967</v>
      </c>
      <c r="D197" s="158" t="s">
        <v>2968</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2924</v>
      </c>
      <c r="B198" s="154" t="s">
        <v>2965</v>
      </c>
      <c r="C198" s="155" t="s">
        <v>2969</v>
      </c>
      <c r="D198" s="158" t="s">
        <v>2970</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2924</v>
      </c>
      <c r="B199" s="153" t="s">
        <v>2971</v>
      </c>
      <c r="C199" s="151" t="s">
        <v>2972</v>
      </c>
      <c r="D199" s="157" t="s">
        <v>2973</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2924</v>
      </c>
      <c r="B200" s="154" t="s">
        <v>2971</v>
      </c>
      <c r="C200" s="155" t="s">
        <v>2974</v>
      </c>
      <c r="D200" s="158" t="s">
        <v>2975</v>
      </c>
      <c r="E200" s="161" t="s">
        <v>2976</v>
      </c>
      <c r="F200" s="164" t="s">
        <v>2490</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2924</v>
      </c>
      <c r="B201" s="154" t="s">
        <v>2971</v>
      </c>
      <c r="C201" s="155" t="s">
        <v>2977</v>
      </c>
      <c r="D201" s="158" t="s">
        <v>2978</v>
      </c>
      <c r="E201" s="161" t="s">
        <v>2979</v>
      </c>
      <c r="F201" s="164" t="s">
        <v>2476</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2924</v>
      </c>
      <c r="B202" s="154" t="s">
        <v>2971</v>
      </c>
      <c r="C202" s="155" t="s">
        <v>2980</v>
      </c>
      <c r="D202" s="158" t="s">
        <v>2981</v>
      </c>
      <c r="E202" s="161" t="s">
        <v>2982</v>
      </c>
      <c r="F202" s="164" t="s">
        <v>2476</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2924</v>
      </c>
      <c r="B203" s="154" t="s">
        <v>2971</v>
      </c>
      <c r="C203" s="155" t="s">
        <v>2983</v>
      </c>
      <c r="D203" s="158" t="s">
        <v>2984</v>
      </c>
      <c r="E203" s="161" t="s">
        <v>2985</v>
      </c>
      <c r="F203" s="164" t="s">
        <v>2476</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2924</v>
      </c>
      <c r="B204" s="154" t="s">
        <v>2971</v>
      </c>
      <c r="C204" s="155" t="s">
        <v>2986</v>
      </c>
      <c r="D204" s="158" t="s">
        <v>2987</v>
      </c>
      <c r="E204" s="161" t="s">
        <v>2988</v>
      </c>
      <c r="F204" s="164" t="s">
        <v>2476</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2924</v>
      </c>
      <c r="B205" s="153" t="s">
        <v>2989</v>
      </c>
      <c r="C205" s="151" t="s">
        <v>2990</v>
      </c>
      <c r="D205" s="157" t="s">
        <v>2991</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2924</v>
      </c>
      <c r="B206" s="154" t="s">
        <v>2989</v>
      </c>
      <c r="C206" s="155" t="s">
        <v>2992</v>
      </c>
      <c r="D206" s="158" t="s">
        <v>2993</v>
      </c>
      <c r="E206" s="161" t="s">
        <v>2994</v>
      </c>
      <c r="F206" s="164" t="s">
        <v>2480</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2924</v>
      </c>
      <c r="B207" s="154" t="s">
        <v>2989</v>
      </c>
      <c r="C207" s="155" t="s">
        <v>2995</v>
      </c>
      <c r="D207" s="158" t="s">
        <v>2996</v>
      </c>
      <c r="E207" s="161" t="s">
        <v>2997</v>
      </c>
      <c r="F207" s="164" t="s">
        <v>2480</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2924</v>
      </c>
      <c r="B208" s="154" t="s">
        <v>2989</v>
      </c>
      <c r="C208" s="155" t="s">
        <v>2998</v>
      </c>
      <c r="D208" s="158" t="s">
        <v>2999</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2924</v>
      </c>
      <c r="B209" s="153" t="s">
        <v>3000</v>
      </c>
      <c r="C209" s="151" t="s">
        <v>3001</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2924</v>
      </c>
      <c r="B210" s="154" t="s">
        <v>3000</v>
      </c>
      <c r="C210" s="155" t="s">
        <v>3002</v>
      </c>
      <c r="D210" s="158" t="s">
        <v>3003</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3004</v>
      </c>
      <c r="B211" s="152" t="s">
        <v>21</v>
      </c>
      <c r="C211" s="150" t="s">
        <v>3005</v>
      </c>
      <c r="D211" s="156" t="s">
        <v>3006</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3004</v>
      </c>
      <c r="B212" s="153" t="s">
        <v>3007</v>
      </c>
      <c r="C212" s="151" t="s">
        <v>3008</v>
      </c>
      <c r="D212" s="157" t="s">
        <v>3009</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3004</v>
      </c>
      <c r="B213" s="154" t="s">
        <v>3007</v>
      </c>
      <c r="C213" s="155" t="s">
        <v>3010</v>
      </c>
      <c r="D213" s="158" t="s">
        <v>3011</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3004</v>
      </c>
      <c r="B214" s="154" t="s">
        <v>3007</v>
      </c>
      <c r="C214" s="155" t="s">
        <v>3012</v>
      </c>
      <c r="D214" s="158" t="s">
        <v>3013</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3004</v>
      </c>
      <c r="B215" s="154" t="s">
        <v>3007</v>
      </c>
      <c r="C215" s="155" t="s">
        <v>3014</v>
      </c>
      <c r="D215" s="158" t="s">
        <v>3015</v>
      </c>
      <c r="E215" s="161" t="s">
        <v>3016</v>
      </c>
      <c r="F215" s="164" t="s">
        <v>2480</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3004</v>
      </c>
      <c r="B216" s="154" t="s">
        <v>3007</v>
      </c>
      <c r="C216" s="155" t="s">
        <v>3017</v>
      </c>
      <c r="D216" s="158" t="s">
        <v>3018</v>
      </c>
      <c r="E216" s="161" t="s">
        <v>3019</v>
      </c>
      <c r="F216" s="164" t="s">
        <v>2476</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3004</v>
      </c>
      <c r="B217" s="153" t="s">
        <v>2965</v>
      </c>
      <c r="C217" s="151" t="s">
        <v>3020</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3004</v>
      </c>
      <c r="B218" s="154" t="s">
        <v>2965</v>
      </c>
      <c r="C218" s="155" t="s">
        <v>3021</v>
      </c>
      <c r="D218" s="158" t="s">
        <v>3022</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3004</v>
      </c>
      <c r="B219" s="154" t="s">
        <v>2965</v>
      </c>
      <c r="C219" s="155" t="s">
        <v>3023</v>
      </c>
      <c r="D219" s="158" t="s">
        <v>3024</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3004</v>
      </c>
      <c r="B220" s="153" t="s">
        <v>3025</v>
      </c>
      <c r="C220" s="151" t="s">
        <v>3026</v>
      </c>
      <c r="D220" s="157" t="s">
        <v>3027</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3004</v>
      </c>
      <c r="B221" s="154" t="s">
        <v>3025</v>
      </c>
      <c r="C221" s="155" t="s">
        <v>3028</v>
      </c>
      <c r="D221" s="158" t="s">
        <v>3029</v>
      </c>
      <c r="E221" s="161" t="s">
        <v>3030</v>
      </c>
      <c r="F221" s="164" t="s">
        <v>2476</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3004</v>
      </c>
      <c r="B222" s="154" t="s">
        <v>3025</v>
      </c>
      <c r="C222" s="155" t="s">
        <v>3031</v>
      </c>
      <c r="D222" s="158" t="s">
        <v>3032</v>
      </c>
      <c r="E222" s="161" t="s">
        <v>3033</v>
      </c>
      <c r="F222" s="164" t="s">
        <v>2476</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3004</v>
      </c>
      <c r="B223" s="154" t="s">
        <v>3025</v>
      </c>
      <c r="C223" s="155" t="s">
        <v>3034</v>
      </c>
      <c r="D223" s="158" t="s">
        <v>3035</v>
      </c>
      <c r="E223" s="161" t="s">
        <v>3036</v>
      </c>
      <c r="F223" s="164" t="s">
        <v>2476</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3004</v>
      </c>
      <c r="B224" s="154" t="s">
        <v>3025</v>
      </c>
      <c r="C224" s="155" t="s">
        <v>3037</v>
      </c>
      <c r="D224" s="158" t="s">
        <v>3038</v>
      </c>
      <c r="E224" s="161" t="s">
        <v>3039</v>
      </c>
      <c r="F224" s="164" t="s">
        <v>2476</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3004</v>
      </c>
      <c r="B225" s="154" t="s">
        <v>3025</v>
      </c>
      <c r="C225" s="155" t="s">
        <v>3040</v>
      </c>
      <c r="D225" s="158" t="s">
        <v>3041</v>
      </c>
      <c r="E225" s="161" t="s">
        <v>3042</v>
      </c>
      <c r="F225" s="164" t="s">
        <v>2476</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3004</v>
      </c>
      <c r="B226" s="171" t="s">
        <v>3025</v>
      </c>
      <c r="C226" s="172" t="s">
        <v>3043</v>
      </c>
      <c r="D226" s="173" t="s">
        <v>3044</v>
      </c>
      <c r="E226" s="174" t="s">
        <v>3045</v>
      </c>
      <c r="F226" s="175" t="s">
        <v>2476</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575</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IFERROR(INDEX('Recommendations'!$H$2:$H$111, MATCH(H2,'Recommendations'!$A$2:$A$111,0))="Implemented", FALSE))</xm:f>
            <x14:dxf>
              <font>
                <color rgb="FF000000"/>
              </font>
              <fill>
                <patternFill>
                  <bgColor rgb="FF3C7D22"/>
                </patternFill>
              </fill>
            </x14:dxf>
          </x14:cfRule>
          <x14:cfRule type="expression" priority="2" id="{00000000-000E-0000-0700-000002000000}">
            <xm:f>AND(H2&lt;&gt;"", IFERROR(INDEX('Recommendations'!$H$2:$H$111, MATCH(H2,'Recommendations'!$A$2:$A$111,0))="Compensated", FALSE))</xm:f>
            <x14:dxf>
              <font>
                <color rgb="FF000000"/>
              </font>
              <fill>
                <patternFill>
                  <bgColor rgb="FFC6E0B4"/>
                </patternFill>
              </fill>
            </x14:dxf>
          </x14:cfRule>
          <x14:cfRule type="expression" priority="3" id="{00000000-000E-0000-0700-000003000000}">
            <xm:f>AND(H2&lt;&gt;"", IFERROR(INDEX('Recommendations'!$H$2:$H$111, MATCH(H2,'Recommendations'!$A$2:$A$111,0))="Testing", FALSE))</xm:f>
            <x14:dxf>
              <font>
                <color rgb="FF000000"/>
              </font>
              <fill>
                <patternFill>
                  <bgColor rgb="FFFFC000"/>
                </patternFill>
              </fill>
            </x14:dxf>
          </x14:cfRule>
          <x14:cfRule type="expression" priority="4" id="{00000000-000E-0000-0700-000004000000}">
            <xm:f>AND(H2&lt;&gt;"", IFERROR(INDEX('Recommendations'!$H$2:$H$111, MATCH(H2,'Recommendations'!$A$2:$A$111,0))="Failed", FALSE))</xm:f>
            <x14:dxf>
              <font>
                <color rgb="FF000000"/>
              </font>
              <fill>
                <patternFill>
                  <bgColor rgb="FFD82891"/>
                </patternFill>
              </fill>
            </x14:dxf>
          </x14:cfRule>
          <x14:cfRule type="expression" priority="5" id="{00000000-000E-0000-0700-000005000000}">
            <xm:f>AND(H2&lt;&gt;"", IFERROR(INDEX('Recommendations'!$H$2:$H$111, MATCH(H2,'Recommendations'!$A$2:$A$111,0))="Risk Accepted", FALSE))</xm:f>
            <x14:dxf>
              <font>
                <color rgb="FF000000"/>
              </font>
              <fill>
                <patternFill>
                  <bgColor rgb="FFD9D9D9"/>
                </patternFill>
              </fill>
            </x14:dxf>
          </x14:cfRule>
          <x14:cfRule type="expression" priority="6" id="{00000000-000E-0000-0700-000006000000}">
            <xm:f>AND(H2&lt;&gt;"", IFERROR(INDEX('Recommendations'!$H$2:$H$111, MATCH(H2,'Recommendations'!$A$2:$A$111,0))="N/A",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2463</v>
      </c>
      <c r="B1" s="210" t="s">
        <v>3046</v>
      </c>
      <c r="C1" s="210" t="s">
        <v>3047</v>
      </c>
      <c r="D1" s="210" t="s">
        <v>3048</v>
      </c>
      <c r="E1" s="210" t="s">
        <v>1772</v>
      </c>
      <c r="F1" s="210" t="s">
        <v>831</v>
      </c>
      <c r="G1" s="210" t="s">
        <v>832</v>
      </c>
      <c r="H1" s="210" t="s">
        <v>833</v>
      </c>
      <c r="I1" s="210" t="s">
        <v>834</v>
      </c>
      <c r="J1" s="210" t="s">
        <v>835</v>
      </c>
      <c r="K1" s="210" t="s">
        <v>836</v>
      </c>
      <c r="L1" s="210" t="s">
        <v>837</v>
      </c>
      <c r="M1" s="210" t="s">
        <v>838</v>
      </c>
      <c r="N1" s="210" t="s">
        <v>839</v>
      </c>
      <c r="O1" s="210" t="s">
        <v>840</v>
      </c>
      <c r="P1" s="210" t="s">
        <v>841</v>
      </c>
      <c r="Q1" s="210" t="s">
        <v>842</v>
      </c>
      <c r="R1" s="210" t="s">
        <v>843</v>
      </c>
      <c r="S1" s="210" t="s">
        <v>844</v>
      </c>
      <c r="T1" s="210" t="s">
        <v>845</v>
      </c>
      <c r="U1" s="210" t="s">
        <v>846</v>
      </c>
      <c r="V1" s="210" t="s">
        <v>847</v>
      </c>
      <c r="W1" s="210" t="s">
        <v>848</v>
      </c>
      <c r="X1" s="210" t="s">
        <v>849</v>
      </c>
      <c r="Y1" s="210" t="s">
        <v>850</v>
      </c>
      <c r="Z1" s="210" t="s">
        <v>851</v>
      </c>
      <c r="AA1" s="210" t="s">
        <v>852</v>
      </c>
      <c r="AB1" s="210" t="s">
        <v>853</v>
      </c>
      <c r="AC1" s="210" t="s">
        <v>854</v>
      </c>
      <c r="AD1" s="210" t="s">
        <v>855</v>
      </c>
      <c r="AE1" s="210" t="s">
        <v>856</v>
      </c>
      <c r="AF1" s="210" t="s">
        <v>857</v>
      </c>
      <c r="AG1" s="210" t="s">
        <v>858</v>
      </c>
      <c r="AH1" s="210" t="s">
        <v>859</v>
      </c>
      <c r="AI1" s="210" t="s">
        <v>860</v>
      </c>
      <c r="AJ1" s="210" t="s">
        <v>861</v>
      </c>
      <c r="AK1" s="210" t="s">
        <v>862</v>
      </c>
      <c r="AL1" s="210" t="s">
        <v>863</v>
      </c>
      <c r="AM1" s="210" t="s">
        <v>864</v>
      </c>
      <c r="AN1" s="210" t="s">
        <v>865</v>
      </c>
      <c r="AO1" s="210" t="s">
        <v>866</v>
      </c>
      <c r="AP1" s="210" t="s">
        <v>867</v>
      </c>
      <c r="AQ1" s="210" t="s">
        <v>868</v>
      </c>
      <c r="AR1" s="210" t="s">
        <v>869</v>
      </c>
      <c r="AS1" s="210" t="s">
        <v>870</v>
      </c>
      <c r="AT1" s="211" t="s">
        <v>871</v>
      </c>
    </row>
    <row r="2" spans="1:46" ht="60" customHeight="1" outlineLevel="1" x14ac:dyDescent="0.35">
      <c r="A2" s="203" t="s">
        <v>672</v>
      </c>
      <c r="B2" s="189" t="s">
        <v>3049</v>
      </c>
      <c r="C2" s="189"/>
      <c r="D2" s="192" t="s">
        <v>3050</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672</v>
      </c>
      <c r="B3" s="190" t="s">
        <v>3049</v>
      </c>
      <c r="C3" s="191" t="s">
        <v>3051</v>
      </c>
      <c r="D3" s="193" t="s">
        <v>3052</v>
      </c>
      <c r="E3" s="193" t="s">
        <v>3053</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672</v>
      </c>
      <c r="B4" s="190" t="s">
        <v>3049</v>
      </c>
      <c r="C4" s="191" t="s">
        <v>3054</v>
      </c>
      <c r="D4" s="193" t="s">
        <v>3055</v>
      </c>
      <c r="E4" s="193" t="s">
        <v>3056</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672</v>
      </c>
      <c r="B5" s="190" t="s">
        <v>3049</v>
      </c>
      <c r="C5" s="191" t="s">
        <v>3057</v>
      </c>
      <c r="D5" s="193" t="s">
        <v>3058</v>
      </c>
      <c r="E5" s="193" t="s">
        <v>3059</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672</v>
      </c>
      <c r="B6" s="190" t="s">
        <v>3049</v>
      </c>
      <c r="C6" s="191" t="s">
        <v>3060</v>
      </c>
      <c r="D6" s="193" t="s">
        <v>3061</v>
      </c>
      <c r="E6" s="193" t="s">
        <v>3062</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672</v>
      </c>
      <c r="B7" s="190" t="s">
        <v>3049</v>
      </c>
      <c r="C7" s="191" t="s">
        <v>3063</v>
      </c>
      <c r="D7" s="193" t="s">
        <v>3064</v>
      </c>
      <c r="E7" s="193" t="s">
        <v>3065</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672</v>
      </c>
      <c r="B8" s="190" t="s">
        <v>3049</v>
      </c>
      <c r="C8" s="191" t="s">
        <v>3066</v>
      </c>
      <c r="D8" s="193" t="s">
        <v>3067</v>
      </c>
      <c r="E8" s="193" t="s">
        <v>3068</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672</v>
      </c>
      <c r="B9" s="190" t="s">
        <v>3049</v>
      </c>
      <c r="C9" s="191" t="s">
        <v>3069</v>
      </c>
      <c r="D9" s="193" t="s">
        <v>3070</v>
      </c>
      <c r="E9" s="193" t="s">
        <v>3071</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672</v>
      </c>
      <c r="B10" s="190" t="s">
        <v>3049</v>
      </c>
      <c r="C10" s="191" t="s">
        <v>3072</v>
      </c>
      <c r="D10" s="193" t="s">
        <v>3073</v>
      </c>
      <c r="E10" s="193" t="s">
        <v>3074</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672</v>
      </c>
      <c r="B11" s="190" t="s">
        <v>3049</v>
      </c>
      <c r="C11" s="191" t="s">
        <v>3075</v>
      </c>
      <c r="D11" s="193" t="s">
        <v>3076</v>
      </c>
      <c r="E11" s="193" t="s">
        <v>3077</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672</v>
      </c>
      <c r="B12" s="190" t="s">
        <v>3049</v>
      </c>
      <c r="C12" s="191" t="s">
        <v>3078</v>
      </c>
      <c r="D12" s="193" t="s">
        <v>3079</v>
      </c>
      <c r="E12" s="193" t="s">
        <v>3080</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672</v>
      </c>
      <c r="B13" s="190" t="s">
        <v>3049</v>
      </c>
      <c r="C13" s="191" t="s">
        <v>3081</v>
      </c>
      <c r="D13" s="193" t="s">
        <v>3082</v>
      </c>
      <c r="E13" s="193" t="s">
        <v>3083</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672</v>
      </c>
      <c r="B14" s="190" t="s">
        <v>3049</v>
      </c>
      <c r="C14" s="191" t="s">
        <v>3084</v>
      </c>
      <c r="D14" s="193" t="s">
        <v>3085</v>
      </c>
      <c r="E14" s="193" t="s">
        <v>3086</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672</v>
      </c>
      <c r="B15" s="190" t="s">
        <v>3049</v>
      </c>
      <c r="C15" s="191" t="s">
        <v>3087</v>
      </c>
      <c r="D15" s="193" t="s">
        <v>3088</v>
      </c>
      <c r="E15" s="193" t="s">
        <v>3089</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672</v>
      </c>
      <c r="B16" s="190" t="s">
        <v>3049</v>
      </c>
      <c r="C16" s="191" t="s">
        <v>3090</v>
      </c>
      <c r="D16" s="193" t="s">
        <v>3091</v>
      </c>
      <c r="E16" s="193" t="s">
        <v>3092</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672</v>
      </c>
      <c r="B17" s="190" t="s">
        <v>3049</v>
      </c>
      <c r="C17" s="191" t="s">
        <v>3093</v>
      </c>
      <c r="D17" s="193" t="s">
        <v>3094</v>
      </c>
      <c r="E17" s="193" t="s">
        <v>3095</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672</v>
      </c>
      <c r="B18" s="190" t="s">
        <v>3049</v>
      </c>
      <c r="C18" s="191" t="s">
        <v>3096</v>
      </c>
      <c r="D18" s="193" t="s">
        <v>3097</v>
      </c>
      <c r="E18" s="193" t="s">
        <v>3098</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672</v>
      </c>
      <c r="B19" s="189" t="s">
        <v>3099</v>
      </c>
      <c r="C19" s="189"/>
      <c r="D19" s="192" t="s">
        <v>3100</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672</v>
      </c>
      <c r="B20" s="190" t="s">
        <v>3099</v>
      </c>
      <c r="C20" s="191" t="s">
        <v>3101</v>
      </c>
      <c r="D20" s="193" t="s">
        <v>3102</v>
      </c>
      <c r="E20" s="193" t="s">
        <v>3103</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672</v>
      </c>
      <c r="B21" s="190" t="s">
        <v>3099</v>
      </c>
      <c r="C21" s="191" t="s">
        <v>3104</v>
      </c>
      <c r="D21" s="193" t="s">
        <v>3105</v>
      </c>
      <c r="E21" s="193" t="s">
        <v>3106</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672</v>
      </c>
      <c r="B22" s="190" t="s">
        <v>3099</v>
      </c>
      <c r="C22" s="191" t="s">
        <v>3107</v>
      </c>
      <c r="D22" s="193" t="s">
        <v>3108</v>
      </c>
      <c r="E22" s="193" t="s">
        <v>3109</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672</v>
      </c>
      <c r="B23" s="190" t="s">
        <v>3099</v>
      </c>
      <c r="C23" s="191" t="s">
        <v>3110</v>
      </c>
      <c r="D23" s="193" t="s">
        <v>3111</v>
      </c>
      <c r="E23" s="193" t="s">
        <v>3112</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672</v>
      </c>
      <c r="B24" s="190" t="s">
        <v>3099</v>
      </c>
      <c r="C24" s="191" t="s">
        <v>3113</v>
      </c>
      <c r="D24" s="193" t="s">
        <v>3114</v>
      </c>
      <c r="E24" s="193" t="s">
        <v>3115</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672</v>
      </c>
      <c r="B25" s="190" t="s">
        <v>3099</v>
      </c>
      <c r="C25" s="191" t="s">
        <v>3116</v>
      </c>
      <c r="D25" s="193" t="s">
        <v>3117</v>
      </c>
      <c r="E25" s="193" t="s">
        <v>3118</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672</v>
      </c>
      <c r="B26" s="190" t="s">
        <v>3099</v>
      </c>
      <c r="C26" s="191" t="s">
        <v>3119</v>
      </c>
      <c r="D26" s="193" t="s">
        <v>3120</v>
      </c>
      <c r="E26" s="193" t="s">
        <v>3121</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672</v>
      </c>
      <c r="B27" s="190" t="s">
        <v>3099</v>
      </c>
      <c r="C27" s="191" t="s">
        <v>3122</v>
      </c>
      <c r="D27" s="193" t="s">
        <v>3123</v>
      </c>
      <c r="E27" s="193" t="s">
        <v>3124</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672</v>
      </c>
      <c r="B28" s="190" t="s">
        <v>3099</v>
      </c>
      <c r="C28" s="191" t="s">
        <v>3125</v>
      </c>
      <c r="D28" s="193" t="s">
        <v>3126</v>
      </c>
      <c r="E28" s="193" t="s">
        <v>3127</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672</v>
      </c>
      <c r="B29" s="190" t="s">
        <v>3099</v>
      </c>
      <c r="C29" s="191" t="s">
        <v>3128</v>
      </c>
      <c r="D29" s="193" t="s">
        <v>3129</v>
      </c>
      <c r="E29" s="193" t="s">
        <v>3130</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672</v>
      </c>
      <c r="B30" s="190" t="s">
        <v>3099</v>
      </c>
      <c r="C30" s="191" t="s">
        <v>3131</v>
      </c>
      <c r="D30" s="193" t="s">
        <v>3132</v>
      </c>
      <c r="E30" s="193" t="s">
        <v>3133</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672</v>
      </c>
      <c r="B31" s="190" t="s">
        <v>3099</v>
      </c>
      <c r="C31" s="191" t="s">
        <v>3134</v>
      </c>
      <c r="D31" s="193" t="s">
        <v>3135</v>
      </c>
      <c r="E31" s="193" t="s">
        <v>3136</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3137</v>
      </c>
      <c r="B32" s="189"/>
      <c r="C32" s="189"/>
      <c r="D32" s="192" t="s">
        <v>3138</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3137</v>
      </c>
      <c r="B33" s="190"/>
      <c r="C33" s="191" t="s">
        <v>3139</v>
      </c>
      <c r="D33" s="193" t="s">
        <v>3140</v>
      </c>
      <c r="E33" s="193" t="s">
        <v>3141</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3137</v>
      </c>
      <c r="B34" s="190"/>
      <c r="C34" s="191" t="s">
        <v>3142</v>
      </c>
      <c r="D34" s="193" t="s">
        <v>3143</v>
      </c>
      <c r="E34" s="193" t="s">
        <v>3144</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3137</v>
      </c>
      <c r="B35" s="190"/>
      <c r="C35" s="191" t="s">
        <v>3145</v>
      </c>
      <c r="D35" s="193" t="s">
        <v>3146</v>
      </c>
      <c r="E35" s="193" t="s">
        <v>3147</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3137</v>
      </c>
      <c r="B36" s="189" t="s">
        <v>3148</v>
      </c>
      <c r="C36" s="189"/>
      <c r="D36" s="192" t="s">
        <v>3149</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3137</v>
      </c>
      <c r="B37" s="190" t="s">
        <v>3148</v>
      </c>
      <c r="C37" s="191" t="s">
        <v>3150</v>
      </c>
      <c r="D37" s="193" t="s">
        <v>3151</v>
      </c>
      <c r="E37" s="193" t="s">
        <v>3152</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3137</v>
      </c>
      <c r="B38" s="190" t="s">
        <v>3148</v>
      </c>
      <c r="C38" s="191" t="s">
        <v>3153</v>
      </c>
      <c r="D38" s="193" t="s">
        <v>3154</v>
      </c>
      <c r="E38" s="193" t="s">
        <v>3155</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3137</v>
      </c>
      <c r="B39" s="190" t="s">
        <v>3148</v>
      </c>
      <c r="C39" s="191" t="s">
        <v>3156</v>
      </c>
      <c r="D39" s="193" t="s">
        <v>3157</v>
      </c>
      <c r="E39" s="193" t="s">
        <v>3158</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3137</v>
      </c>
      <c r="B40" s="190" t="s">
        <v>3148</v>
      </c>
      <c r="C40" s="191" t="s">
        <v>3159</v>
      </c>
      <c r="D40" s="193" t="s">
        <v>3160</v>
      </c>
      <c r="E40" s="193" t="s">
        <v>3161</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3137</v>
      </c>
      <c r="B41" s="190" t="s">
        <v>3148</v>
      </c>
      <c r="C41" s="191" t="s">
        <v>3162</v>
      </c>
      <c r="D41" s="193" t="s">
        <v>3163</v>
      </c>
      <c r="E41" s="193" t="s">
        <v>3164</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3137</v>
      </c>
      <c r="B42" s="190" t="s">
        <v>3148</v>
      </c>
      <c r="C42" s="191" t="s">
        <v>3165</v>
      </c>
      <c r="D42" s="193" t="s">
        <v>3166</v>
      </c>
      <c r="E42" s="193" t="s">
        <v>3167</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3137</v>
      </c>
      <c r="B43" s="190" t="s">
        <v>3148</v>
      </c>
      <c r="C43" s="191" t="s">
        <v>3168</v>
      </c>
      <c r="D43" s="193" t="s">
        <v>3169</v>
      </c>
      <c r="E43" s="193" t="s">
        <v>3170</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3137</v>
      </c>
      <c r="B44" s="190" t="s">
        <v>3148</v>
      </c>
      <c r="C44" s="191" t="s">
        <v>3171</v>
      </c>
      <c r="D44" s="193" t="s">
        <v>3172</v>
      </c>
      <c r="E44" s="193" t="s">
        <v>3173</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3137</v>
      </c>
      <c r="B45" s="190" t="s">
        <v>3148</v>
      </c>
      <c r="C45" s="191" t="s">
        <v>3174</v>
      </c>
      <c r="D45" s="193" t="s">
        <v>3175</v>
      </c>
      <c r="E45" s="193" t="s">
        <v>3176</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3137</v>
      </c>
      <c r="B46" s="190" t="s">
        <v>3148</v>
      </c>
      <c r="C46" s="191" t="s">
        <v>3177</v>
      </c>
      <c r="D46" s="193" t="s">
        <v>3178</v>
      </c>
      <c r="E46" s="193" t="s">
        <v>3179</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3137</v>
      </c>
      <c r="B47" s="190" t="s">
        <v>3148</v>
      </c>
      <c r="C47" s="191" t="s">
        <v>3180</v>
      </c>
      <c r="D47" s="193" t="s">
        <v>3181</v>
      </c>
      <c r="E47" s="193" t="s">
        <v>3182</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3137</v>
      </c>
      <c r="B48" s="190" t="s">
        <v>3148</v>
      </c>
      <c r="C48" s="191" t="s">
        <v>3183</v>
      </c>
      <c r="D48" s="193" t="s">
        <v>3184</v>
      </c>
      <c r="E48" s="193" t="s">
        <v>3185</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3137</v>
      </c>
      <c r="B49" s="190" t="s">
        <v>3148</v>
      </c>
      <c r="C49" s="191" t="s">
        <v>3186</v>
      </c>
      <c r="D49" s="193" t="s">
        <v>3187</v>
      </c>
      <c r="E49" s="193" t="s">
        <v>3188</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3137</v>
      </c>
      <c r="B50" s="190" t="s">
        <v>3148</v>
      </c>
      <c r="C50" s="191" t="s">
        <v>3189</v>
      </c>
      <c r="D50" s="193" t="s">
        <v>3190</v>
      </c>
      <c r="E50" s="193" t="s">
        <v>3191</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3137</v>
      </c>
      <c r="B51" s="189" t="s">
        <v>3192</v>
      </c>
      <c r="C51" s="189"/>
      <c r="D51" s="192" t="s">
        <v>3193</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3137</v>
      </c>
      <c r="B52" s="190" t="s">
        <v>3192</v>
      </c>
      <c r="C52" s="191" t="s">
        <v>3194</v>
      </c>
      <c r="D52" s="193" t="s">
        <v>3195</v>
      </c>
      <c r="E52" s="193" t="s">
        <v>3196</v>
      </c>
      <c r="F52" s="195">
        <f>IF(COUNTIF(G52:AT52,"&lt;&gt;")=0,"",SUMPRODUCT(((Recommendations[ImplStatus]="Implemented")+(Recommendations[ImplStatus]="Compensated"))*ISNUMBER(MATCH(Recommendations[Id],G52:AT52,0)))/COUNTIF(G52:AT52,"&lt;&gt;"))</f>
        <v>0</v>
      </c>
      <c r="G52" s="197" t="s">
        <v>67</v>
      </c>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3137</v>
      </c>
      <c r="B53" s="190" t="s">
        <v>3192</v>
      </c>
      <c r="C53" s="191" t="s">
        <v>3197</v>
      </c>
      <c r="D53" s="193" t="s">
        <v>3198</v>
      </c>
      <c r="E53" s="193" t="s">
        <v>3199</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3137</v>
      </c>
      <c r="B54" s="190" t="s">
        <v>3192</v>
      </c>
      <c r="C54" s="191" t="s">
        <v>3200</v>
      </c>
      <c r="D54" s="193" t="s">
        <v>3201</v>
      </c>
      <c r="E54" s="193" t="s">
        <v>3202</v>
      </c>
      <c r="F54" s="195">
        <f>IF(COUNTIF(G54:AT54,"&lt;&gt;")=0,"",SUMPRODUCT(((Recommendations[ImplStatus]="Implemented")+(Recommendations[ImplStatus]="Compensated"))*ISNUMBER(MATCH(Recommendations[Id],G54:AT54,0)))/COUNTIF(G54:AT54,"&lt;&gt;"))</f>
        <v>0</v>
      </c>
      <c r="G54" s="197" t="s">
        <v>72</v>
      </c>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3137</v>
      </c>
      <c r="B55" s="190" t="s">
        <v>3192</v>
      </c>
      <c r="C55" s="191" t="s">
        <v>3203</v>
      </c>
      <c r="D55" s="193" t="s">
        <v>3204</v>
      </c>
      <c r="E55" s="193" t="s">
        <v>3205</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3137</v>
      </c>
      <c r="B56" s="190" t="s">
        <v>3192</v>
      </c>
      <c r="C56" s="191" t="s">
        <v>3206</v>
      </c>
      <c r="D56" s="193" t="s">
        <v>3207</v>
      </c>
      <c r="E56" s="193" t="s">
        <v>3208</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3137</v>
      </c>
      <c r="B57" s="190" t="s">
        <v>3192</v>
      </c>
      <c r="C57" s="191" t="s">
        <v>3209</v>
      </c>
      <c r="D57" s="193" t="s">
        <v>3210</v>
      </c>
      <c r="E57" s="193" t="s">
        <v>3211</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3137</v>
      </c>
      <c r="B58" s="190" t="s">
        <v>3192</v>
      </c>
      <c r="C58" s="191" t="s">
        <v>3212</v>
      </c>
      <c r="D58" s="193" t="s">
        <v>3213</v>
      </c>
      <c r="E58" s="193" t="s">
        <v>3214</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3137</v>
      </c>
      <c r="B59" s="190" t="s">
        <v>3192</v>
      </c>
      <c r="C59" s="191" t="s">
        <v>3215</v>
      </c>
      <c r="D59" s="193" t="s">
        <v>3216</v>
      </c>
      <c r="E59" s="193" t="s">
        <v>3217</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3137</v>
      </c>
      <c r="B60" s="190" t="s">
        <v>3218</v>
      </c>
      <c r="C60" s="191" t="s">
        <v>3219</v>
      </c>
      <c r="D60" s="193" t="s">
        <v>3220</v>
      </c>
      <c r="E60" s="193" t="s">
        <v>3221</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3137</v>
      </c>
      <c r="B61" s="190" t="s">
        <v>3218</v>
      </c>
      <c r="C61" s="191" t="s">
        <v>3222</v>
      </c>
      <c r="D61" s="193" t="s">
        <v>3223</v>
      </c>
      <c r="E61" s="193" t="s">
        <v>3224</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3137</v>
      </c>
      <c r="B62" s="189" t="s">
        <v>3225</v>
      </c>
      <c r="C62" s="189"/>
      <c r="D62" s="192" t="s">
        <v>3226</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3137</v>
      </c>
      <c r="B63" s="190" t="s">
        <v>3225</v>
      </c>
      <c r="C63" s="191" t="s">
        <v>3227</v>
      </c>
      <c r="D63" s="193" t="s">
        <v>3228</v>
      </c>
      <c r="E63" s="193" t="s">
        <v>3229</v>
      </c>
      <c r="F63" s="195">
        <f>IF(COUNTIF(G63:AT63,"&lt;&gt;")=0,"",SUMPRODUCT(((Recommendations[ImplStatus]="Implemented")+(Recommendations[ImplStatus]="Compensated"))*ISNUMBER(MATCH(Recommendations[Id],G63:AT63,0)))/COUNTIF(G63:AT63,"&lt;&gt;"))</f>
        <v>0</v>
      </c>
      <c r="G63" s="197" t="s">
        <v>31</v>
      </c>
      <c r="H63" s="197" t="s">
        <v>139</v>
      </c>
      <c r="I63" s="197" t="s">
        <v>149</v>
      </c>
      <c r="J63" s="197" t="s">
        <v>200</v>
      </c>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3137</v>
      </c>
      <c r="B64" s="190" t="s">
        <v>3225</v>
      </c>
      <c r="C64" s="191" t="s">
        <v>3230</v>
      </c>
      <c r="D64" s="193" t="s">
        <v>3231</v>
      </c>
      <c r="E64" s="193" t="s">
        <v>3232</v>
      </c>
      <c r="F64" s="195">
        <f>IF(COUNTIF(G64:AT64,"&lt;&gt;")=0,"",SUMPRODUCT(((Recommendations[ImplStatus]="Implemented")+(Recommendations[ImplStatus]="Compensated"))*ISNUMBER(MATCH(Recommendations[Id],G64:AT64,0)))/COUNTIF(G64:AT64,"&lt;&gt;"))</f>
        <v>0</v>
      </c>
      <c r="G64" s="197" t="s">
        <v>261</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3137</v>
      </c>
      <c r="B65" s="190" t="s">
        <v>3225</v>
      </c>
      <c r="C65" s="191" t="s">
        <v>3233</v>
      </c>
      <c r="D65" s="193" t="s">
        <v>3234</v>
      </c>
      <c r="E65" s="193" t="s">
        <v>3235</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3137</v>
      </c>
      <c r="B66" s="190" t="s">
        <v>3225</v>
      </c>
      <c r="C66" s="191" t="s">
        <v>3236</v>
      </c>
      <c r="D66" s="193" t="s">
        <v>3237</v>
      </c>
      <c r="E66" s="193" t="s">
        <v>3238</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3137</v>
      </c>
      <c r="B67" s="190" t="s">
        <v>3225</v>
      </c>
      <c r="C67" s="191" t="s">
        <v>3239</v>
      </c>
      <c r="D67" s="193" t="s">
        <v>3240</v>
      </c>
      <c r="E67" s="193" t="s">
        <v>3241</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3137</v>
      </c>
      <c r="B68" s="190" t="s">
        <v>3225</v>
      </c>
      <c r="C68" s="191" t="s">
        <v>3242</v>
      </c>
      <c r="D68" s="193" t="s">
        <v>3243</v>
      </c>
      <c r="E68" s="193" t="s">
        <v>3244</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3137</v>
      </c>
      <c r="B69" s="190" t="s">
        <v>3225</v>
      </c>
      <c r="C69" s="191" t="s">
        <v>3245</v>
      </c>
      <c r="D69" s="193" t="s">
        <v>3246</v>
      </c>
      <c r="E69" s="193" t="s">
        <v>3247</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3137</v>
      </c>
      <c r="B70" s="190" t="s">
        <v>3225</v>
      </c>
      <c r="C70" s="191" t="s">
        <v>3248</v>
      </c>
      <c r="D70" s="193" t="s">
        <v>3249</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3137</v>
      </c>
      <c r="B71" s="190" t="s">
        <v>3225</v>
      </c>
      <c r="C71" s="191" t="s">
        <v>3250</v>
      </c>
      <c r="D71" s="193" t="s">
        <v>3251</v>
      </c>
      <c r="E71" s="193" t="s">
        <v>3252</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3137</v>
      </c>
      <c r="B72" s="190" t="s">
        <v>3225</v>
      </c>
      <c r="C72" s="191" t="s">
        <v>3253</v>
      </c>
      <c r="D72" s="193" t="s">
        <v>3254</v>
      </c>
      <c r="E72" s="193" t="s">
        <v>3255</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3137</v>
      </c>
      <c r="B73" s="190" t="s">
        <v>3225</v>
      </c>
      <c r="C73" s="191" t="s">
        <v>3256</v>
      </c>
      <c r="D73" s="193" t="s">
        <v>3257</v>
      </c>
      <c r="E73" s="193" t="s">
        <v>3258</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3137</v>
      </c>
      <c r="B74" s="190" t="s">
        <v>3225</v>
      </c>
      <c r="C74" s="191" t="s">
        <v>3259</v>
      </c>
      <c r="D74" s="193" t="s">
        <v>3260</v>
      </c>
      <c r="E74" s="193" t="s">
        <v>3261</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3137</v>
      </c>
      <c r="B75" s="190" t="s">
        <v>3225</v>
      </c>
      <c r="C75" s="191" t="s">
        <v>3262</v>
      </c>
      <c r="D75" s="193" t="s">
        <v>3263</v>
      </c>
      <c r="E75" s="193" t="s">
        <v>3264</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3137</v>
      </c>
      <c r="B76" s="190" t="s">
        <v>3225</v>
      </c>
      <c r="C76" s="191" t="s">
        <v>3265</v>
      </c>
      <c r="D76" s="193" t="s">
        <v>3266</v>
      </c>
      <c r="E76" s="193" t="s">
        <v>3267</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3137</v>
      </c>
      <c r="B77" s="190" t="s">
        <v>3225</v>
      </c>
      <c r="C77" s="191" t="s">
        <v>3268</v>
      </c>
      <c r="D77" s="193" t="s">
        <v>3269</v>
      </c>
      <c r="E77" s="193" t="s">
        <v>3270</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3137</v>
      </c>
      <c r="B78" s="190" t="s">
        <v>3225</v>
      </c>
      <c r="C78" s="191" t="s">
        <v>3271</v>
      </c>
      <c r="D78" s="193" t="s">
        <v>3272</v>
      </c>
      <c r="E78" s="193" t="s">
        <v>3273</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3137</v>
      </c>
      <c r="B79" s="189" t="s">
        <v>3225</v>
      </c>
      <c r="C79" s="189"/>
      <c r="D79" s="192" t="s">
        <v>3274</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3275</v>
      </c>
      <c r="B80" s="190"/>
      <c r="C80" s="191" t="s">
        <v>3276</v>
      </c>
      <c r="D80" s="193" t="s">
        <v>3277</v>
      </c>
      <c r="E80" s="193" t="s">
        <v>3278</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3275</v>
      </c>
      <c r="B81" s="190"/>
      <c r="C81" s="191" t="s">
        <v>3279</v>
      </c>
      <c r="D81" s="193" t="s">
        <v>3280</v>
      </c>
      <c r="E81" s="193" t="s">
        <v>3281</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3275</v>
      </c>
      <c r="B82" s="190"/>
      <c r="C82" s="191" t="s">
        <v>3282</v>
      </c>
      <c r="D82" s="193" t="s">
        <v>3283</v>
      </c>
      <c r="E82" s="193" t="s">
        <v>3284</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3275</v>
      </c>
      <c r="B83" s="190"/>
      <c r="C83" s="191" t="s">
        <v>3285</v>
      </c>
      <c r="D83" s="193" t="s">
        <v>3286</v>
      </c>
      <c r="E83" s="193" t="s">
        <v>3287</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3275</v>
      </c>
      <c r="B84" s="189"/>
      <c r="C84" s="189"/>
      <c r="D84" s="192" t="s">
        <v>3288</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3289</v>
      </c>
      <c r="B85" s="190"/>
      <c r="C85" s="191" t="s">
        <v>3290</v>
      </c>
      <c r="D85" s="193" t="s">
        <v>3291</v>
      </c>
      <c r="E85" s="193" t="s">
        <v>3292</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3289</v>
      </c>
      <c r="B86" s="190"/>
      <c r="C86" s="191" t="s">
        <v>3293</v>
      </c>
      <c r="D86" s="193" t="s">
        <v>3294</v>
      </c>
      <c r="E86" s="193" t="s">
        <v>3295</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3289</v>
      </c>
      <c r="B87" s="190"/>
      <c r="C87" s="191" t="s">
        <v>3296</v>
      </c>
      <c r="D87" s="193" t="s">
        <v>3297</v>
      </c>
      <c r="E87" s="193" t="s">
        <v>3298</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3289</v>
      </c>
      <c r="B88" s="190"/>
      <c r="C88" s="191" t="s">
        <v>3299</v>
      </c>
      <c r="D88" s="193" t="s">
        <v>3300</v>
      </c>
      <c r="E88" s="193" t="s">
        <v>3301</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3289</v>
      </c>
      <c r="B89" s="190"/>
      <c r="C89" s="191" t="s">
        <v>3302</v>
      </c>
      <c r="D89" s="193" t="s">
        <v>3303</v>
      </c>
      <c r="E89" s="193" t="s">
        <v>3304</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3289</v>
      </c>
      <c r="B90" s="189" t="s">
        <v>3305</v>
      </c>
      <c r="C90" s="189"/>
      <c r="D90" s="192" t="s">
        <v>3306</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3289</v>
      </c>
      <c r="B91" s="190" t="s">
        <v>3305</v>
      </c>
      <c r="C91" s="191" t="s">
        <v>3307</v>
      </c>
      <c r="D91" s="193" t="s">
        <v>3308</v>
      </c>
      <c r="E91" s="193" t="s">
        <v>3309</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3289</v>
      </c>
      <c r="B92" s="190" t="s">
        <v>3305</v>
      </c>
      <c r="C92" s="191" t="s">
        <v>3310</v>
      </c>
      <c r="D92" s="193" t="s">
        <v>3311</v>
      </c>
      <c r="E92" s="193" t="s">
        <v>3312</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3305</v>
      </c>
      <c r="C93" s="191" t="s">
        <v>3313</v>
      </c>
      <c r="D93" s="193" t="s">
        <v>3314</v>
      </c>
      <c r="E93" s="193" t="s">
        <v>3315</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3305</v>
      </c>
      <c r="C94" s="191" t="s">
        <v>3316</v>
      </c>
      <c r="D94" s="193" t="s">
        <v>3317</v>
      </c>
      <c r="E94" s="193" t="s">
        <v>3318</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3305</v>
      </c>
      <c r="C95" s="191" t="s">
        <v>3319</v>
      </c>
      <c r="D95" s="193" t="s">
        <v>3320</v>
      </c>
      <c r="E95" s="193" t="s">
        <v>3321</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3305</v>
      </c>
      <c r="C96" s="191" t="s">
        <v>3322</v>
      </c>
      <c r="D96" s="193" t="s">
        <v>3323</v>
      </c>
      <c r="E96" s="193" t="s">
        <v>3324</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3305</v>
      </c>
      <c r="C97" s="191" t="s">
        <v>3325</v>
      </c>
      <c r="D97" s="193" t="s">
        <v>3326</v>
      </c>
      <c r="E97" s="193" t="s">
        <v>3327</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3305</v>
      </c>
      <c r="C98" s="191" t="s">
        <v>3328</v>
      </c>
      <c r="D98" s="193" t="s">
        <v>3329</v>
      </c>
      <c r="E98" s="193" t="s">
        <v>3330</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3331</v>
      </c>
      <c r="C99" s="189"/>
      <c r="D99" s="192" t="s">
        <v>3332</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3331</v>
      </c>
      <c r="C100" s="191" t="s">
        <v>3333</v>
      </c>
      <c r="D100" s="193" t="s">
        <v>3334</v>
      </c>
      <c r="E100" s="193" t="s">
        <v>3335</v>
      </c>
      <c r="F100" s="195">
        <f>IF(COUNTIF(G100:AT100,"&lt;&gt;")=0,"",SUMPRODUCT(((Recommendations[ImplStatus]="Implemented")+(Recommendations[ImplStatus]="Compensated"))*ISNUMBER(MATCH(Recommendations[Id],G100:AT100,0)))/COUNTIF(G100:AT100,"&lt;&gt;"))</f>
        <v>0</v>
      </c>
      <c r="G100" s="197" t="s">
        <v>144</v>
      </c>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3331</v>
      </c>
      <c r="C101" s="191" t="s">
        <v>3336</v>
      </c>
      <c r="D101" s="193" t="s">
        <v>3337</v>
      </c>
      <c r="E101" s="193" t="s">
        <v>3338</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3331</v>
      </c>
      <c r="C102" s="191" t="s">
        <v>3339</v>
      </c>
      <c r="D102" s="193" t="s">
        <v>3340</v>
      </c>
      <c r="E102" s="193" t="s">
        <v>3341</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3331</v>
      </c>
      <c r="C103" s="191" t="s">
        <v>3342</v>
      </c>
      <c r="D103" s="193" t="s">
        <v>3343</v>
      </c>
      <c r="E103" s="193" t="s">
        <v>3344</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3331</v>
      </c>
      <c r="C104" s="199" t="s">
        <v>3345</v>
      </c>
      <c r="D104" s="200" t="s">
        <v>3346</v>
      </c>
      <c r="E104" s="200" t="s">
        <v>3347</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575</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IFERROR(INDEX('Recommendations'!$H$2:$H$111, MATCH(G2,'Recommendations'!$A$2:$A$111,0))="Implemented", FALSE))</xm:f>
            <x14:dxf>
              <font>
                <color rgb="FF000000"/>
              </font>
              <fill>
                <patternFill>
                  <bgColor rgb="FF3C7D22"/>
                </patternFill>
              </fill>
            </x14:dxf>
          </x14:cfRule>
          <x14:cfRule type="expression" priority="2" id="{00000000-000E-0000-0800-000002000000}">
            <xm:f>AND(G2&lt;&gt;"", IFERROR(INDEX('Recommendations'!$H$2:$H$111, MATCH(G2,'Recommendations'!$A$2:$A$111,0))="Compensated", FALSE))</xm:f>
            <x14:dxf>
              <font>
                <color rgb="FF000000"/>
              </font>
              <fill>
                <patternFill>
                  <bgColor rgb="FFC6E0B4"/>
                </patternFill>
              </fill>
            </x14:dxf>
          </x14:cfRule>
          <x14:cfRule type="expression" priority="3" id="{00000000-000E-0000-0800-000003000000}">
            <xm:f>AND(G2&lt;&gt;"", IFERROR(INDEX('Recommendations'!$H$2:$H$111, MATCH(G2,'Recommendations'!$A$2:$A$111,0))="Testing", FALSE))</xm:f>
            <x14:dxf>
              <font>
                <color rgb="FF000000"/>
              </font>
              <fill>
                <patternFill>
                  <bgColor rgb="FFFFC000"/>
                </patternFill>
              </fill>
            </x14:dxf>
          </x14:cfRule>
          <x14:cfRule type="expression" priority="4" id="{00000000-000E-0000-0800-000004000000}">
            <xm:f>AND(G2&lt;&gt;"", IFERROR(INDEX('Recommendations'!$H$2:$H$111, MATCH(G2,'Recommendations'!$A$2:$A$111,0))="Failed", FALSE))</xm:f>
            <x14:dxf>
              <font>
                <color rgb="FF000000"/>
              </font>
              <fill>
                <patternFill>
                  <bgColor rgb="FFD82891"/>
                </patternFill>
              </fill>
            </x14:dxf>
          </x14:cfRule>
          <x14:cfRule type="expression" priority="5" id="{00000000-000E-0000-0800-000005000000}">
            <xm:f>AND(G2&lt;&gt;"", IFERROR(INDEX('Recommendations'!$H$2:$H$111, MATCH(G2,'Recommendations'!$A$2:$A$111,0))="Risk Accepted", FALSE))</xm:f>
            <x14:dxf>
              <font>
                <color rgb="FF000000"/>
              </font>
              <fill>
                <patternFill>
                  <bgColor rgb="FFD9D9D9"/>
                </patternFill>
              </fill>
            </x14:dxf>
          </x14:cfRule>
          <x14:cfRule type="expression" priority="6" id="{00000000-000E-0000-0800-000006000000}">
            <xm:f>AND(G2&lt;&gt;"", IFERROR(INDEX('Recommendations'!$H$2:$H$111, MATCH(G2,'Recommendations'!$A$2:$A$111,0))="N/A",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Infrastructure L3 Switch Secure Technical Implementation Guide - Cisco - SHGIR</dc:title>
  <dc:subject>Generated on: 2026-06-08 11:53:26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2026-06-08T10:53:34Z</dcterms:modified>
  <cp:category>DISA-STIG</cp:category>
  <cp:contentStatus>Draft</cp:contentStatus>
</cp:coreProperties>
</file>