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9" documentId="11_D89098762BC7C65CA68286950F4E23181CC351D6" xr6:coauthVersionLast="47" xr6:coauthVersionMax="47" xr10:uidLastSave="{B855B813-FDE3-44CF-90D2-02DEE9E9C40B}"/>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5" i="1"/>
  <c r="L14" i="1"/>
  <c r="L13" i="1"/>
  <c r="L12" i="1"/>
  <c r="L11" i="1"/>
  <c r="L10" i="1"/>
  <c r="L9" i="1"/>
  <c r="L8" i="1"/>
  <c r="L7" i="1"/>
  <c r="L6" i="1"/>
  <c r="L5" i="1"/>
  <c r="L4" i="1"/>
  <c r="L3" i="1"/>
  <c r="L2" i="1"/>
  <c r="F108" i="3" s="1"/>
  <c r="R183" i="3"/>
  <c r="R182" i="3"/>
  <c r="R181" i="3"/>
  <c r="R180" i="3"/>
  <c r="R179" i="3"/>
  <c r="R178" i="3"/>
  <c r="R177" i="3"/>
  <c r="R176" i="3"/>
  <c r="R175" i="3"/>
  <c r="R174" i="3"/>
  <c r="R173" i="3"/>
  <c r="R172" i="3"/>
  <c r="R171" i="3"/>
  <c r="R170" i="3"/>
  <c r="R169" i="3"/>
  <c r="R168" i="3"/>
  <c r="R167" i="3"/>
  <c r="R166" i="3"/>
  <c r="R165" i="3"/>
  <c r="R164" i="3"/>
  <c r="O108" i="3"/>
  <c r="N108" i="3"/>
  <c r="M108" i="3"/>
  <c r="L108" i="3"/>
  <c r="K108" i="3"/>
  <c r="E108" i="3"/>
  <c r="O107" i="3"/>
  <c r="N107" i="3"/>
  <c r="M107" i="3"/>
  <c r="L107" i="3"/>
  <c r="K107" i="3"/>
  <c r="F107" i="3"/>
  <c r="E107" i="3"/>
  <c r="G107" i="3" s="1"/>
  <c r="O106" i="3"/>
  <c r="N106" i="3"/>
  <c r="M106" i="3"/>
  <c r="L106" i="3"/>
  <c r="K106" i="3"/>
  <c r="F106" i="3"/>
  <c r="E106" i="3"/>
  <c r="G106" i="3" s="1"/>
  <c r="O105" i="3"/>
  <c r="N105" i="3"/>
  <c r="M105" i="3"/>
  <c r="L105" i="3"/>
  <c r="K105" i="3"/>
  <c r="F105" i="3"/>
  <c r="E105" i="3"/>
  <c r="G105" i="3" s="1"/>
  <c r="O104" i="3"/>
  <c r="N104" i="3"/>
  <c r="M104" i="3"/>
  <c r="L104" i="3"/>
  <c r="K104" i="3"/>
  <c r="F104" i="3"/>
  <c r="E104" i="3"/>
  <c r="G104" i="3" s="1"/>
  <c r="O103" i="3"/>
  <c r="N103" i="3"/>
  <c r="M103" i="3"/>
  <c r="L103" i="3"/>
  <c r="K103" i="3"/>
  <c r="F103" i="3"/>
  <c r="E103" i="3"/>
  <c r="G103" i="3" s="1"/>
  <c r="E89" i="3"/>
  <c r="D89" i="3"/>
  <c r="C89" i="3"/>
  <c r="F89" i="3" s="1"/>
  <c r="E88" i="3"/>
  <c r="D88" i="3"/>
  <c r="C88" i="3"/>
  <c r="F88" i="3" s="1"/>
  <c r="E87" i="3"/>
  <c r="D87" i="3"/>
  <c r="C87" i="3"/>
  <c r="F87" i="3" s="1"/>
  <c r="E86" i="3"/>
  <c r="D86" i="3"/>
  <c r="C86" i="3"/>
  <c r="F86" i="3" s="1"/>
  <c r="C74" i="3"/>
  <c r="E69" i="3"/>
  <c r="D69" i="3"/>
  <c r="C69" i="3"/>
  <c r="F69" i="3" s="1"/>
  <c r="F68" i="3"/>
  <c r="E76" i="3" s="1"/>
  <c r="E68" i="3"/>
  <c r="D68" i="3"/>
  <c r="C68" i="3"/>
  <c r="E67" i="3"/>
  <c r="D67" i="3"/>
  <c r="C67" i="3"/>
  <c r="W119" i="3" s="1"/>
  <c r="F66" i="3"/>
  <c r="V147" i="3" s="1"/>
  <c r="E66" i="3"/>
  <c r="D66" i="3"/>
  <c r="C66" i="3"/>
  <c r="U119" i="3" s="1"/>
  <c r="F65" i="3"/>
  <c r="E73" i="3" s="1"/>
  <c r="E65" i="3"/>
  <c r="D65" i="3"/>
  <c r="C65" i="3"/>
  <c r="S119" i="3" s="1"/>
  <c r="E52" i="3"/>
  <c r="D52" i="3"/>
  <c r="F52" i="3" s="1"/>
  <c r="C52" i="3"/>
  <c r="E34" i="3"/>
  <c r="D34" i="3"/>
  <c r="C34" i="3"/>
  <c r="F34" i="3" s="1"/>
  <c r="E33" i="3"/>
  <c r="D33" i="3"/>
  <c r="C33" i="3"/>
  <c r="F33" i="3" s="1"/>
  <c r="E32" i="3"/>
  <c r="D32" i="3"/>
  <c r="C32" i="3"/>
  <c r="F32" i="3" s="1"/>
  <c r="E31" i="3"/>
  <c r="D31" i="3"/>
  <c r="C31" i="3"/>
  <c r="F31" i="3" s="1"/>
  <c r="E30" i="3"/>
  <c r="D30" i="3"/>
  <c r="C30" i="3"/>
  <c r="F30" i="3" s="1"/>
  <c r="E29" i="3"/>
  <c r="D29" i="3"/>
  <c r="C29" i="3"/>
  <c r="F29" i="3" s="1"/>
  <c r="F16" i="3"/>
  <c r="R147" i="3" s="1"/>
  <c r="E16" i="3"/>
  <c r="D16" i="3"/>
  <c r="C16" i="3"/>
  <c r="Q119" i="3" s="1"/>
  <c r="D9" i="3"/>
  <c r="C9" i="3"/>
  <c r="C8" i="3"/>
  <c r="D8" i="3" s="1"/>
  <c r="E38" i="3" l="1"/>
  <c r="D38" i="3"/>
  <c r="C38" i="3"/>
  <c r="D39" i="3"/>
  <c r="E39" i="3"/>
  <c r="C39" i="3"/>
  <c r="E95" i="3"/>
  <c r="D95" i="3"/>
  <c r="C95" i="3"/>
  <c r="E41" i="3"/>
  <c r="D41" i="3"/>
  <c r="C41" i="3"/>
  <c r="E56" i="3"/>
  <c r="D56" i="3"/>
  <c r="C56" i="3"/>
  <c r="E93" i="3"/>
  <c r="D93" i="3"/>
  <c r="C93" i="3"/>
  <c r="C42" i="3"/>
  <c r="D42" i="3"/>
  <c r="E42" i="3"/>
  <c r="E94" i="3"/>
  <c r="D94" i="3"/>
  <c r="C94" i="3"/>
  <c r="D40" i="3"/>
  <c r="C40" i="3"/>
  <c r="E40" i="3"/>
  <c r="G108" i="3"/>
  <c r="E96" i="3"/>
  <c r="D96" i="3"/>
  <c r="C96" i="3"/>
  <c r="E43" i="3"/>
  <c r="D43" i="3"/>
  <c r="C43" i="3"/>
  <c r="E77" i="3"/>
  <c r="D77" i="3"/>
  <c r="C77" i="3"/>
  <c r="R123" i="3"/>
  <c r="R128" i="3"/>
  <c r="R133" i="3"/>
  <c r="R138" i="3"/>
  <c r="R143" i="3"/>
  <c r="R148" i="3"/>
  <c r="D74" i="3"/>
  <c r="T123" i="3"/>
  <c r="T128" i="3"/>
  <c r="T133" i="3"/>
  <c r="T138" i="3"/>
  <c r="T143" i="3"/>
  <c r="T148" i="3"/>
  <c r="E74" i="3"/>
  <c r="V123" i="3"/>
  <c r="V128" i="3"/>
  <c r="V133" i="3"/>
  <c r="V138" i="3"/>
  <c r="V143" i="3"/>
  <c r="V148" i="3"/>
  <c r="R124" i="3"/>
  <c r="R129" i="3"/>
  <c r="R134" i="3"/>
  <c r="R139" i="3"/>
  <c r="R144" i="3"/>
  <c r="R149" i="3"/>
  <c r="T124" i="3"/>
  <c r="T129" i="3"/>
  <c r="T134" i="3"/>
  <c r="T139" i="3"/>
  <c r="T144" i="3"/>
  <c r="T149" i="3"/>
  <c r="C76" i="3"/>
  <c r="V124" i="3"/>
  <c r="V129" i="3"/>
  <c r="V134" i="3"/>
  <c r="V139" i="3"/>
  <c r="V144" i="3"/>
  <c r="V149" i="3"/>
  <c r="E20" i="3"/>
  <c r="D76" i="3"/>
  <c r="F67" i="3"/>
  <c r="R125" i="3"/>
  <c r="R130" i="3"/>
  <c r="R135" i="3"/>
  <c r="R140" i="3"/>
  <c r="R145" i="3"/>
  <c r="R150" i="3"/>
  <c r="T125" i="3"/>
  <c r="T130" i="3"/>
  <c r="T135" i="3"/>
  <c r="T140" i="3"/>
  <c r="T145" i="3"/>
  <c r="T150" i="3"/>
  <c r="V125" i="3"/>
  <c r="V130" i="3"/>
  <c r="V135" i="3"/>
  <c r="V140" i="3"/>
  <c r="V145" i="3"/>
  <c r="V150" i="3"/>
  <c r="D20" i="3"/>
  <c r="R121" i="3"/>
  <c r="R126" i="3"/>
  <c r="R131" i="3"/>
  <c r="R136" i="3"/>
  <c r="R141" i="3"/>
  <c r="R146" i="3"/>
  <c r="R151" i="3"/>
  <c r="T121" i="3"/>
  <c r="T126" i="3"/>
  <c r="T131" i="3"/>
  <c r="T136" i="3"/>
  <c r="T141" i="3"/>
  <c r="T146" i="3"/>
  <c r="T151" i="3"/>
  <c r="V121" i="3"/>
  <c r="V126" i="3"/>
  <c r="V131" i="3"/>
  <c r="V136" i="3"/>
  <c r="V141" i="3"/>
  <c r="V146" i="3"/>
  <c r="V151" i="3"/>
  <c r="C7" i="3"/>
  <c r="D7" i="3" s="1"/>
  <c r="C20" i="3"/>
  <c r="R122" i="3"/>
  <c r="R127" i="3"/>
  <c r="R132" i="3"/>
  <c r="R137" i="3"/>
  <c r="R142" i="3"/>
  <c r="C73" i="3"/>
  <c r="T122" i="3"/>
  <c r="T127" i="3"/>
  <c r="T132" i="3"/>
  <c r="T137" i="3"/>
  <c r="T142" i="3"/>
  <c r="T147" i="3"/>
  <c r="D73" i="3"/>
  <c r="V122" i="3"/>
  <c r="V127" i="3"/>
  <c r="V132" i="3"/>
  <c r="V137" i="3"/>
  <c r="V142" i="3"/>
  <c r="X147" i="3" l="1"/>
  <c r="X142" i="3"/>
  <c r="X137" i="3"/>
  <c r="X132" i="3"/>
  <c r="X127" i="3"/>
  <c r="X122" i="3"/>
  <c r="D75" i="3"/>
  <c r="X151" i="3"/>
  <c r="X146" i="3"/>
  <c r="X141" i="3"/>
  <c r="X136" i="3"/>
  <c r="X131" i="3"/>
  <c r="X126" i="3"/>
  <c r="X121" i="3"/>
  <c r="X150" i="3"/>
  <c r="X145" i="3"/>
  <c r="X140" i="3"/>
  <c r="X135" i="3"/>
  <c r="X130" i="3"/>
  <c r="X125" i="3"/>
  <c r="X149" i="3"/>
  <c r="X144" i="3"/>
  <c r="X139" i="3"/>
  <c r="X134" i="3"/>
  <c r="X129" i="3"/>
  <c r="X124" i="3"/>
  <c r="E75" i="3"/>
  <c r="X148" i="3"/>
  <c r="X143" i="3"/>
  <c r="X138" i="3"/>
  <c r="X133" i="3"/>
  <c r="X128" i="3"/>
  <c r="X123" i="3"/>
  <c r="C75" i="3"/>
</calcChain>
</file>

<file path=xl/sharedStrings.xml><?xml version="1.0" encoding="utf-8"?>
<sst xmlns="http://schemas.openxmlformats.org/spreadsheetml/2006/main" count="657" uniqueCount="304">
  <si>
    <t>Id</t>
  </si>
  <si>
    <t>Title</t>
  </si>
  <si>
    <t>Severity</t>
  </si>
  <si>
    <t>MoSCoW</t>
  </si>
  <si>
    <t>OpsImpact</t>
  </si>
  <si>
    <t>Phase</t>
  </si>
  <si>
    <t>ImplStatus</t>
  </si>
  <si>
    <t>Notes</t>
  </si>
  <si>
    <t>Remediation</t>
  </si>
  <si>
    <t>Description</t>
  </si>
  <si>
    <t>Audit</t>
  </si>
  <si>
    <t>Status</t>
  </si>
  <si>
    <t>LogID</t>
  </si>
  <si>
    <t>V-17173</t>
  </si>
  <si>
    <r>
      <rPr>
        <sz val="11"/>
        <rFont val="Calibri"/>
      </rPr>
      <t>Disabling of user name and password syntax from being used in URLs must be enforced.</t>
    </r>
  </si>
  <si>
    <t>CAT II (Medium)</t>
  </si>
  <si>
    <t>Unassigned</t>
  </si>
  <si>
    <t>Unassessed</t>
  </si>
  <si>
    <t>Pending</t>
  </si>
  <si>
    <t/>
  </si>
  <si>
    <r>
      <rPr>
        <sz val="11"/>
        <color rgb="FF000000"/>
        <rFont val="Calibri"/>
      </rPr>
      <t>Set the policy value for Computer Configuration -&gt; Administrative Templates -&gt; Microsoft Office 2013 (Machine) -&gt; Security Settings -&gt; IE Security "Disable user name and password" to "Enabled" and place a check in the 'winproj.exe' check box.</t>
    </r>
  </si>
  <si>
    <r>
      <rPr>
        <sz val="11"/>
        <color rgb="FF000000"/>
        <rFont val="Calibri"/>
      </rPr>
      <t>The Uniform Resource Locator (URL) standard allows user authentication to be included in URL strings in the form http://username:password@example.com. A malicious user might use this URL syntax to create a hyperlink that appears to open a legitimate website but actually opens a deceptive (spoofed) website. For example, the URL http://www.wingtiptoys.com@example.com appears to open http://www.wingtiptoys.com but actually opens http://example.com. To protect users from such attacks, Internet Explorer usually blocks any URLs using this syntax.</t>
    </r>
    <r>
      <rPr>
        <sz val="11"/>
        <color rgb="FF000000"/>
        <rFont val="Calibri"/>
      </rPr>
      <t xml:space="preserve">
</t>
    </r>
    <r>
      <rPr>
        <sz val="11"/>
        <color rgb="FF000000"/>
        <rFont val="Calibri"/>
      </rPr>
      <t>This functionality can be controlled separately for instances of Internet Explorer spawned by Office applications (for example, if a user clicks a link in an Office document or selects a menu option that loads a web page). If user names and passwords in URLs are allowed, users could be diverted to dangerous web pages, which would pose a security risk.</t>
    </r>
  </si>
  <si>
    <r>
      <rPr>
        <sz val="11"/>
        <color rgb="FF000000"/>
        <rFont val="Calibri"/>
      </rPr>
      <t>Verify the policy value for Computer Configuration -&gt; Administrative Templates -&gt; Microsoft Office 2013 (Machine) -&gt; Security Settings -&gt; IE Security "Disable user name and password" is "Enabled" and a check in the 'winproj.exe' check box is present.</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Explorer\Main\FeatureControl\FEATURE_HTTP_USERNAME_PASSWORD_DISABLE</t>
    </r>
    <r>
      <rPr>
        <sz val="11"/>
        <color rgb="FF000000"/>
        <rFont val="Calibri"/>
      </rPr>
      <t xml:space="preserve">
</t>
    </r>
    <r>
      <rPr>
        <sz val="11"/>
        <color rgb="FF000000"/>
        <rFont val="Calibri"/>
      </rPr>
      <t>Criteria: If the value winproj.exe is REG_DWORD = 1, this is not a finding.</t>
    </r>
  </si>
  <si>
    <t>V-17174</t>
  </si>
  <si>
    <r>
      <rPr>
        <sz val="11"/>
        <rFont val="Calibri"/>
      </rPr>
      <t>The Internet Explorer Bind to Object functionality must be enabled.</t>
    </r>
  </si>
  <si>
    <r>
      <rPr>
        <sz val="11"/>
        <color rgb="FF000000"/>
        <rFont val="Calibri"/>
      </rPr>
      <t>Set the policy value for Computer Configuration -&gt; Administrative Templates -&gt; Microsoft Office 2013 (Machine) -&gt; Security Settings -&gt; IE Security "Bind to Object" to "Enabled" and place a check in the 'winproj.exe' check box.</t>
    </r>
  </si>
  <si>
    <r>
      <rPr>
        <sz val="11"/>
        <color rgb="FF000000"/>
        <rFont val="Calibri"/>
      </rPr>
      <t>Internet Explorer performs a number of safety checks before initializing an ActiveX control. It will not initialize a control if the kill bit for the control is set in the registry, or if the security settings for the zone in which the control is located do not allow it to be initialized.</t>
    </r>
    <r>
      <rPr>
        <sz val="11"/>
        <color rgb="FF000000"/>
        <rFont val="Calibri"/>
      </rPr>
      <t xml:space="preserve">
</t>
    </r>
    <r>
      <rPr>
        <sz val="11"/>
        <color rgb="FF000000"/>
        <rFont val="Calibri"/>
      </rPr>
      <t>This functionality can be controlled separately for instances of Internet Explorer spawned by Office applications (for example, if a user clicks a link in an Office document or selects a menu option that loads a web page). A security risk could occur if potentially dangerous controls are allowed to load.</t>
    </r>
  </si>
  <si>
    <r>
      <rPr>
        <sz val="11"/>
        <color rgb="FF000000"/>
        <rFont val="Calibri"/>
      </rPr>
      <t>Verify the policy value for Computer Configuration -&gt; Administrative Templates -&gt; Microsoft Office 2013 (Machine) -&gt; Security Settings -&gt; IE Security "Bind to Object" is "Enabled" and a check in the 'winproj.exe' check box is present.</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Explorer\Main\FeatureControl\FEATURE_SAFE_BINDTOOBJECT</t>
    </r>
    <r>
      <rPr>
        <sz val="11"/>
        <color rgb="FF000000"/>
        <rFont val="Calibri"/>
      </rPr>
      <t xml:space="preserve">
</t>
    </r>
    <r>
      <rPr>
        <sz val="11"/>
        <color rgb="FF000000"/>
        <rFont val="Calibri"/>
      </rPr>
      <t>Criteria: If the value winproj.exe is REG_DWORD = 1, this is not a finding.</t>
    </r>
  </si>
  <si>
    <t>V-17175</t>
  </si>
  <si>
    <r>
      <rPr>
        <sz val="11"/>
        <rFont val="Calibri"/>
      </rPr>
      <t>The Saved from URL mark must be selected to enforce Internet zone processing.</t>
    </r>
  </si>
  <si>
    <r>
      <rPr>
        <sz val="11"/>
        <color rgb="FF000000"/>
        <rFont val="Calibri"/>
      </rPr>
      <t>Set the policy value for Computer Configuration -&gt; Administrative Templates -&gt; Microsoft Office 2013 (Machine) -&gt; Security Settings -&gt; IE Security "Saved from URL" to "Enabled" and place a check in the 'winproj.exe' check box.</t>
    </r>
  </si>
  <si>
    <r>
      <rPr>
        <sz val="11"/>
        <color rgb="FF000000"/>
        <rFont val="Calibri"/>
      </rPr>
      <t>Typically, when Internet Explorer loads a web page from a Universal Naming Convention (UNC) share that contains a Mark of the Web (MOTW) comment, indicating the page was saved from a site on the Internet, Internet Explorer runs the page in the Internet security zone instead of the less restrictive Local Intranet security zone. This functionality can be controlled separately for instances of Internet Explorer spawned by Office applications (for example, if a user clicks a link in an Office document or selects a menu option that loads a web page). If Internet Explorer does not evaluate the page for a MOTW, potentially dangerous code could be allowed to run.</t>
    </r>
  </si>
  <si>
    <r>
      <rPr>
        <sz val="11"/>
        <color rgb="FF000000"/>
        <rFont val="Calibri"/>
      </rPr>
      <t>Verify the policy value for Computer Configuration -&gt; Administrative Templates -&gt; Microsoft Office 2013 (Machine) -&gt; Security Settings -&gt; IE Security "Saved from URL" is "Enabled" and a check in the 'winproj.exe' check box is present.</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Explorer\Main\FeatureControl\FEATURE_UNC_SAVEDFILECHECK</t>
    </r>
    <r>
      <rPr>
        <sz val="11"/>
        <color rgb="FF000000"/>
        <rFont val="Calibri"/>
      </rPr>
      <t xml:space="preserve">
</t>
    </r>
    <r>
      <rPr>
        <sz val="11"/>
        <color rgb="FF000000"/>
        <rFont val="Calibri"/>
      </rPr>
      <t>Criteria: If the value winproj.exe is REG_DWORD = 1, this is not a finding.</t>
    </r>
  </si>
  <si>
    <t>V-17183</t>
  </si>
  <si>
    <r>
      <rPr>
        <sz val="11"/>
        <rFont val="Calibri"/>
      </rPr>
      <t>Navigation to URLs embedded in Office products must be blocked.</t>
    </r>
  </si>
  <si>
    <r>
      <rPr>
        <sz val="11"/>
        <color rgb="FF000000"/>
        <rFont val="Calibri"/>
      </rPr>
      <t>Set the policy value for Computer Configuration -&gt; Administrative Templates -&gt; Microsoft Office 2013 (Machine) -&gt; Security Settings -&gt; IE Security "Navigate URL" to "Enabled" and place a check in the 'winproj.exe' check box.</t>
    </r>
  </si>
  <si>
    <r>
      <rPr>
        <sz val="11"/>
        <color rgb="FF000000"/>
        <rFont val="Calibri"/>
      </rPr>
      <t>To protect users from attacks, Internet Explorer usually does not attempt to load malformed URLs. This functionality can be controlled separately for instances of Internet Explorer spawned by Office applications (for example, if a user clicks a link in an Office document or selects a menu option that loads a web page). If Internet Explorer attempts to load a malformed URL, a security risk could occur.</t>
    </r>
  </si>
  <si>
    <r>
      <rPr>
        <sz val="11"/>
        <color rgb="FF000000"/>
        <rFont val="Calibri"/>
      </rPr>
      <t>Verify the policy value for Computer Configuration -&gt; Administrative Templates -&gt; Microsoft Office 2013 (Machine) -&gt; Security Settings -&gt; IE Security "Navigate URL" is "Enabled" and a check in the 'winproj.exe' check box is present.</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Explorer\Main\FeatureControl\FEATURE_VALIDATE_NAVIGATE_URL</t>
    </r>
    <r>
      <rPr>
        <sz val="11"/>
        <color rgb="FF000000"/>
        <rFont val="Calibri"/>
      </rPr>
      <t xml:space="preserve">
</t>
    </r>
    <r>
      <rPr>
        <sz val="11"/>
        <color rgb="FF000000"/>
        <rFont val="Calibri"/>
      </rPr>
      <t>Criteria: If the value winproj.exe is REG_DWORD = 1, this is not a finding.</t>
    </r>
  </si>
  <si>
    <t>V-17184</t>
  </si>
  <si>
    <r>
      <rPr>
        <sz val="11"/>
        <rFont val="Calibri"/>
      </rPr>
      <t>Links that invoke instances of Internet Explorer from within an Office product must be blocked.</t>
    </r>
  </si>
  <si>
    <r>
      <rPr>
        <sz val="11"/>
        <color rgb="FF000000"/>
        <rFont val="Calibri"/>
      </rPr>
      <t>Set the policy value for Computer Configuration -&gt; Administrative Templates -&gt; Microsoft Office 2013 (Machine) -&gt; Security Settings -&gt; IE Security "Block popups" to "Enabled" and place a check in the 'winproj.exe' check box.</t>
    </r>
  </si>
  <si>
    <r>
      <rPr>
        <sz val="11"/>
        <color rgb="FF000000"/>
        <rFont val="Calibri"/>
      </rPr>
      <t>The Pop-up Blocker feature in Internet Explorer can be used to block most unwanted pop-up and pop-under windows from appearing. This functionality can be controlled separately for instances of Internet Explorer spawned by Office applications (for example, if a user clicks a link in an Office document or selects a menu option that loads a web page). If the Pop-up Blocker is disabled, disruptive and potentially dangerous pop-up windows could load and present a security risk.</t>
    </r>
  </si>
  <si>
    <r>
      <rPr>
        <sz val="11"/>
        <color rgb="FF000000"/>
        <rFont val="Calibri"/>
      </rPr>
      <t xml:space="preserve">Verify the policy value for Computer Configuration -&gt; Administrative Templates -&gt; Microsoft Office 2013 (Machine) -&gt; Security Settings -&gt; IE Security "Block popups" is "Enabled" and 'winproj.exe' is checked.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Explorer\Main\FeatureControl\FEATURE_WEBOC_POPUPMANAGEMENT</t>
    </r>
    <r>
      <rPr>
        <sz val="11"/>
        <color rgb="FF000000"/>
        <rFont val="Calibri"/>
      </rPr>
      <t xml:space="preserve">
</t>
    </r>
    <r>
      <rPr>
        <sz val="11"/>
        <color rgb="FF000000"/>
        <rFont val="Calibri"/>
      </rPr>
      <t>Criteria: If the value winproj.exe is REG_DWORD = 1, this is not a finding.</t>
    </r>
  </si>
  <si>
    <t>V-26584</t>
  </si>
  <si>
    <r>
      <rPr>
        <sz val="11"/>
        <rFont val="Calibri"/>
      </rPr>
      <t>Add-on Management functionality must be allowed.</t>
    </r>
  </si>
  <si>
    <r>
      <rPr>
        <sz val="11"/>
        <color rgb="FF000000"/>
        <rFont val="Calibri"/>
      </rPr>
      <t>Set the policy value for Computer Configuration -&gt; Administrative Templates -&gt; Microsoft Office 2013 (Machine) -&gt; Security Settings -&gt; IE Security "Add-on Management" to "Enabled" and place a check in the 'winproj.exe' check box.</t>
    </r>
  </si>
  <si>
    <r>
      <rPr>
        <sz val="11"/>
        <color rgb="FF000000"/>
        <rFont val="Calibri"/>
      </rPr>
      <t>Internet Explorer add-ons are pieces of code, run in Internet Explorer, to provide additional functionality. Rogue add-ons may contain viruses or other malicious code. Disabling or not configuring this setting could allow malicious code or users to become active on user computers or the network. For example, a malicious user can monitor and then use keystrokes users type into Internet Explorer. Even legitimate add-ons may demand resources, compromising the performance of Internet Explorer, and the operating systems for user computers.</t>
    </r>
  </si>
  <si>
    <r>
      <rPr>
        <sz val="11"/>
        <color rgb="FF000000"/>
        <rFont val="Calibri"/>
      </rPr>
      <t xml:space="preserve">Verify the policy value for Computer Configuration -&gt; Administrative Templates -&gt; Microsoft Office 2013 (Machine) -&gt; Security Settings -&gt; IE Security "Add-on Management" is set to "Enabled" and  'winproj.exe' is checked.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Explorer\Main\FeatureControl\FEATURE_ADDON_MANAGEMENT</t>
    </r>
    <r>
      <rPr>
        <sz val="11"/>
        <color rgb="FF000000"/>
        <rFont val="Calibri"/>
      </rPr>
      <t xml:space="preserve">
</t>
    </r>
    <r>
      <rPr>
        <sz val="11"/>
        <color rgb="FF000000"/>
        <rFont val="Calibri"/>
      </rPr>
      <t>Criteria: If the value winproj.exe is REG_DWORD = 1, this is not a finding.</t>
    </r>
  </si>
  <si>
    <t>V-26585</t>
  </si>
  <si>
    <r>
      <rPr>
        <sz val="11"/>
        <rFont val="Calibri"/>
      </rPr>
      <t>Protection from zone elevation must be enforced.</t>
    </r>
  </si>
  <si>
    <r>
      <rPr>
        <sz val="11"/>
        <color rgb="FF000000"/>
        <rFont val="Calibri"/>
      </rPr>
      <t>Set the policy value for Computer Configuration -&gt; Administrative Templates -&gt; Microsoft Office 2013 (Machine) -&gt; Security Settings -&gt; IE Security "Protection From Zone Elevation" to "Enabled" and place a check in the 'winproj.exe' check box.</t>
    </r>
  </si>
  <si>
    <r>
      <rPr>
        <sz val="11"/>
        <color rgb="FF000000"/>
        <rFont val="Calibri"/>
      </rPr>
      <t>Internet Explorer places restrictions on each web page users can use the browser to open. Web pages on a user's local computer have the fewest security restrictions and reside in the Local Machine zone, making this security zone a prime target for malicious users and code. Disabling or not configuring this setting could allow pages in the Internet zone to navigate to pages in the Local Machine zone to then run code to elevate privileges. This could allow malicious code or users to become active on user computers or the network.</t>
    </r>
  </si>
  <si>
    <r>
      <rPr>
        <sz val="11"/>
        <color rgb="FF000000"/>
        <rFont val="Calibri"/>
      </rPr>
      <t xml:space="preserve">Verify the policy value for Computer Configuration -&gt; Administrative Templates -&gt; Microsoft Office 2013 (Machine) -&gt; Security Settings -&gt; IE Security "Protection From Zone Elevation" is set to "Enabled" and 'winproj.exe' is checked.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Explorer\Main\FeatureControl\FEATURE_ZONE_ELEVATION</t>
    </r>
    <r>
      <rPr>
        <sz val="11"/>
        <color rgb="FF000000"/>
        <rFont val="Calibri"/>
      </rPr>
      <t xml:space="preserve">
</t>
    </r>
    <r>
      <rPr>
        <sz val="11"/>
        <color rgb="FF000000"/>
        <rFont val="Calibri"/>
      </rPr>
      <t>Criteria: If the value winproj.exe is REG_DWORD = 1, this is not a finding.</t>
    </r>
  </si>
  <si>
    <t>V-26586</t>
  </si>
  <si>
    <r>
      <rPr>
        <sz val="11"/>
        <rFont val="Calibri"/>
      </rPr>
      <t>ActiveX Installs must be configured for proper restriction.</t>
    </r>
  </si>
  <si>
    <r>
      <rPr>
        <sz val="11"/>
        <color rgb="FF000000"/>
        <rFont val="Calibri"/>
      </rPr>
      <t>Set the policy value for Computer Configuration -&gt; Administrative Templates -&gt; Microsoft Office 2013 (Machine) -&gt; Security Settings -&gt; IE Security "Restrict ActiveX Install" to "Enabled" and place a check in the 'winproj.exe' check box.</t>
    </r>
  </si>
  <si>
    <r>
      <rPr>
        <sz val="11"/>
        <color rgb="FF000000"/>
        <rFont val="Calibri"/>
      </rPr>
      <t>Microsoft ActiveX controls allow unmanaged, unprotected code to run on the user computers. ActiveX controls do not run within a protected container in the browser like the other types of HTML or Microsoft Silverlight-based controls. Disabling or not configuring this setting does not block prompts for ActiveX control installations and these prompts display to users. This could allow malicious code to become active on user computers or the network.</t>
    </r>
  </si>
  <si>
    <r>
      <rPr>
        <sz val="11"/>
        <color rgb="FF000000"/>
        <rFont val="Calibri"/>
      </rPr>
      <t>Verify the policy value for Computer Configuration -&gt; Administrative Templates -&gt; Microsoft Office 2013 (Machine) -&gt; Security Settings -&gt; IE Security "Restrict ActiveX Install" is set to "Enabled" and 'winproj.exe'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Explorer\Main\FeatureControl\FEATURE_RESTRICT_ACTIVEXINSTALL</t>
    </r>
    <r>
      <rPr>
        <sz val="11"/>
        <color rgb="FF000000"/>
        <rFont val="Calibri"/>
      </rPr>
      <t xml:space="preserve">
</t>
    </r>
    <r>
      <rPr>
        <sz val="11"/>
        <color rgb="FF000000"/>
        <rFont val="Calibri"/>
      </rPr>
      <t>Criteria: If the value winproj.exe is REG_DWORD = 1, this is not a finding.</t>
    </r>
  </si>
  <si>
    <t>V-26587</t>
  </si>
  <si>
    <r>
      <rPr>
        <sz val="11"/>
        <rFont val="Calibri"/>
      </rPr>
      <t>File Downloads must be configured for proper restrictions.</t>
    </r>
  </si>
  <si>
    <r>
      <rPr>
        <sz val="11"/>
        <color rgb="FF000000"/>
        <rFont val="Calibri"/>
      </rPr>
      <t>Set the policy value for Computer Configuration -&gt; Administrative Templates -&gt; Microsoft Office 2013 (Machine) -&gt; Security Settings -&gt; IE Security "Restrict File Download" to "Enabled" and place a check in the 'winproj.exe' check box.</t>
    </r>
  </si>
  <si>
    <r>
      <rPr>
        <sz val="11"/>
        <color rgb="FF000000"/>
        <rFont val="Calibri"/>
      </rPr>
      <t>Disabling this setting allows websites to present file download prompts via code without the user specifically initiating the download.  User preferences may also allow the download to occur without prompting or interaction with the user.  Even if Internet Explorer prompts the user to accept the download, some websites abuse this functionality.  Malicious websites may continually prompt users to download a file or present confusing dialog boxes to trick users into downloading or running a file.  If the download occurs and it contains malicious code, the code could become active on user computers or the network.</t>
    </r>
  </si>
  <si>
    <r>
      <rPr>
        <sz val="11"/>
        <color rgb="FF000000"/>
        <rFont val="Calibri"/>
      </rPr>
      <t xml:space="preserve">Verify the policy value for Computer Configuration -&gt; Administrative Templates -&gt; Microsoft Office 2013 (Machine) -&gt; Security Settings -&gt; IE Security "Restrict File Download" is set to "Enabled" and 'winproj.exe' is checked.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Explorer\Main\FeatureControl\FEATURE_RESTRICT_FILEDOWNLOAD</t>
    </r>
    <r>
      <rPr>
        <sz val="11"/>
        <color rgb="FF000000"/>
        <rFont val="Calibri"/>
      </rPr>
      <t xml:space="preserve">
</t>
    </r>
    <r>
      <rPr>
        <sz val="11"/>
        <color rgb="FF000000"/>
        <rFont val="Calibri"/>
      </rPr>
      <t>Criteria: If the value winproj.exe is REG_DWORD = 1, this is not a finding.</t>
    </r>
  </si>
  <si>
    <t>V-26588</t>
  </si>
  <si>
    <r>
      <rPr>
        <sz val="11"/>
        <rFont val="Calibri"/>
      </rPr>
      <t>Scripted Window Security must be enforced.</t>
    </r>
  </si>
  <si>
    <r>
      <rPr>
        <sz val="11"/>
        <color rgb="FF000000"/>
        <rFont val="Calibri"/>
      </rPr>
      <t>Set the policy value for Computer Configuration -&gt; Administrative Templates -&gt; Microsoft Office 2013 (Machine) -&gt; Security Settings -&gt; IE Security "Scripted Window Security Restrictions" to "Enabled" and place a check in the 'winproj.exe' check box.</t>
    </r>
  </si>
  <si>
    <r>
      <rPr>
        <sz val="11"/>
        <color rgb="FF000000"/>
        <rFont val="Calibri"/>
      </rPr>
      <t>Malicious websites often try to confuse or trick users into giving a site permission to perform an action allowing the site to take control of the users' computers in some manner. Disabling or not configuring this setting allows unknown websites to:</t>
    </r>
    <r>
      <rPr>
        <sz val="11"/>
        <color rgb="FF000000"/>
        <rFont val="Calibri"/>
      </rPr>
      <t xml:space="preserve">
</t>
    </r>
    <r>
      <rPr>
        <sz val="11"/>
        <color rgb="FF000000"/>
        <rFont val="Calibri"/>
      </rPr>
      <t>-Create browser windows appearing to be from the local operating system.</t>
    </r>
    <r>
      <rPr>
        <sz val="11"/>
        <color rgb="FF000000"/>
        <rFont val="Calibri"/>
      </rPr>
      <t xml:space="preserve">
</t>
    </r>
    <r>
      <rPr>
        <sz val="11"/>
        <color rgb="FF000000"/>
        <rFont val="Calibri"/>
      </rPr>
      <t>-Draw active windows displaying outside of the viewable areas of the screen capturing keyboard input.</t>
    </r>
    <r>
      <rPr>
        <sz val="11"/>
        <color rgb="FF000000"/>
        <rFont val="Calibri"/>
      </rPr>
      <t xml:space="preserve">
</t>
    </r>
    <r>
      <rPr>
        <sz val="11"/>
        <color rgb="FF000000"/>
        <rFont val="Calibri"/>
      </rPr>
      <t>-Overlay parent windows with their own browser windows to hide important system information, choices, or prompts.</t>
    </r>
  </si>
  <si>
    <r>
      <rPr>
        <sz val="11"/>
        <color rgb="FF000000"/>
        <rFont val="Calibri"/>
      </rPr>
      <t xml:space="preserve">Verify the policy value for Computer Configuration -&gt; Administrative Templates -&gt; Microsoft Office 2013 (Machine) -&gt; Security Settings -&gt; IE Security "Scripted Window Security Restrictions" is set to "Enabled" and 'winproj.exe' is checked.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Explorer\Main\FeatureControl\FEATURE_WINDOW_RESTRICTIONS</t>
    </r>
    <r>
      <rPr>
        <sz val="11"/>
        <color rgb="FF000000"/>
        <rFont val="Calibri"/>
      </rPr>
      <t xml:space="preserve">
</t>
    </r>
    <r>
      <rPr>
        <sz val="11"/>
        <color rgb="FF000000"/>
        <rFont val="Calibri"/>
      </rPr>
      <t>Criteria: If the value winproj.exe is REG_DWORD = 1, this is not a finding.</t>
    </r>
  </si>
  <si>
    <t>V-40888</t>
  </si>
  <si>
    <r>
      <rPr>
        <sz val="11"/>
        <rFont val="Calibri"/>
      </rPr>
      <t>Add-ins to Office applications must be signed by a Trusted Publisher.</t>
    </r>
  </si>
  <si>
    <r>
      <rPr>
        <sz val="11"/>
        <color rgb="FF000000"/>
        <rFont val="Calibri"/>
      </rPr>
      <t>Set the policy User Configuration -&gt; Administrative Templates -&gt; Microsoft Project 2013 -&gt; Project Options -&gt; Security -&gt;  Trust Center -&gt; "Require that application add-ins are signed by Trusted Publisher" to "Enabled".</t>
    </r>
  </si>
  <si>
    <r>
      <rPr>
        <sz val="11"/>
        <color rgb="FF000000"/>
        <rFont val="Calibri"/>
      </rPr>
      <t>Office 2013 applications do not check the digital signature on application add-ins before opening them.  Disabling or not configuring this setting may allow an application to load a dangerous add-in.  As a result, malicious code could become active on user computers or the network.</t>
    </r>
  </si>
  <si>
    <r>
      <rPr>
        <sz val="11"/>
        <color rgb="FF000000"/>
        <rFont val="Calibri"/>
      </rPr>
      <t>Verify the policy value for User Configuration -&gt; Administrative Templates -&gt; Microsoft Project 2013 -&gt; Project Options -&gt; Security -&gt;  Trust Center -&gt; "Require that application add-ins are signed by Trusted Publisher"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HKCU\software\policies\Microsoft\office\15.0\ms project\security</t>
    </r>
    <r>
      <rPr>
        <sz val="11"/>
        <color rgb="FF000000"/>
        <rFont val="Calibri"/>
      </rPr>
      <t xml:space="preserve">
</t>
    </r>
    <r>
      <rPr>
        <sz val="11"/>
        <color rgb="FF000000"/>
        <rFont val="Calibri"/>
      </rPr>
      <t>Criteria: If the value requireaddinsig is REG_DWORD = 1, this is not a finding.</t>
    </r>
  </si>
  <si>
    <t>V-40889</t>
  </si>
  <si>
    <r>
      <rPr>
        <sz val="11"/>
        <rFont val="Calibri"/>
      </rPr>
      <t>Trust Bar Notifications for unsigned application add-ins must be blocked.</t>
    </r>
  </si>
  <si>
    <r>
      <rPr>
        <sz val="11"/>
        <color rgb="FF000000"/>
        <rFont val="Calibri"/>
      </rPr>
      <t>Set the policy value for User Configuration -&gt; Administrative Templates -&gt; Microsoft Project 2013 -&gt; Project Options -&gt; Security -&gt; Trust Center -&gt; "Disable Trust Bar Notification for unsigned application add-ins and block them" to "Enabled".</t>
    </r>
  </si>
  <si>
    <r>
      <rPr>
        <sz val="11"/>
        <color rgb="FF000000"/>
        <rFont val="Calibri"/>
      </rPr>
      <t>If an application is configured to require all add-ins to be signed by a trusted publisher, any unsigned add-ins the application loads will be disabled and the application will display the Trust Bar at the top of the active window. The Trust Bar contains a message informing users about the unsigned add-in. If a user is allowed to make the determination to allow an unsigned add-in, it increases the risk of malicious code being introduced onto the user's computer or the network.</t>
    </r>
  </si>
  <si>
    <r>
      <rPr>
        <sz val="11"/>
        <color rgb="FF000000"/>
        <rFont val="Calibri"/>
      </rPr>
      <t>Verify the policy value for User Configuration -&gt; Administrative Templates -&gt; Microsoft Project 2013 -&gt; Project Options -&gt; Security -&gt; Trust Center -&gt; "Disable Trust Bar Notification for unsigned application add-ins and block them"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HKCU\software\policies\Microsoft\office\15.0\ms project\security</t>
    </r>
    <r>
      <rPr>
        <sz val="11"/>
        <color rgb="FF000000"/>
        <rFont val="Calibri"/>
      </rPr>
      <t xml:space="preserve">
</t>
    </r>
    <r>
      <rPr>
        <sz val="11"/>
        <color rgb="FF000000"/>
        <rFont val="Calibri"/>
      </rPr>
      <t>Criteria: If the value notbpromptunsignedaddin is REG_DWORD = 1, this is not a finding.</t>
    </r>
  </si>
  <si>
    <t>V-40890</t>
  </si>
  <si>
    <r>
      <rPr>
        <sz val="11"/>
        <rFont val="Calibri"/>
      </rPr>
      <t>Warning Bar settings for VBA macros must be configured.</t>
    </r>
  </si>
  <si>
    <r>
      <rPr>
        <sz val="11"/>
        <color rgb="FF000000"/>
        <rFont val="Calibri"/>
      </rPr>
      <t>Set the  policy value for User Configuration -&gt; Administrative Templates -&gt; Microsoft Project 2013 -&gt; Project Options -&gt; Security -&gt;  Trust Center -&gt; "VBA Macro Notification Settings" must be set to "Enabled: Disable all with notification".</t>
    </r>
  </si>
  <si>
    <r>
      <rPr>
        <sz val="11"/>
        <color rgb="FF000000"/>
        <rFont val="Calibri"/>
      </rPr>
      <t>When users open files containing VBA macros, applications open the files with the macros disabled and displays the Trust Bar with a warning that macros are present and have been disabled. Users may then enable these macros by clicking Options on the Trust Bar and selecting the option to enable them. Disabling or not configuring this setting may allow dangerous macros to become active on user computers or the network.</t>
    </r>
  </si>
  <si>
    <r>
      <rPr>
        <sz val="11"/>
        <color rgb="FF000000"/>
        <rFont val="Calibri"/>
      </rPr>
      <t>Verify the policy value for User Configuration -&gt; Administrative Templates -&gt; Microsoft Project 2013 -&gt; Project Options -&gt; Security -&gt;  Trust Center -&gt; "VBA Macro Notification Settings" is set to "Enabled: Disable all with notification".</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HKCU\software\policies\Microsoft\office\15.0\ms project\security</t>
    </r>
    <r>
      <rPr>
        <sz val="11"/>
        <color rgb="FF000000"/>
        <rFont val="Calibri"/>
      </rPr>
      <t xml:space="preserve">
</t>
    </r>
    <r>
      <rPr>
        <sz val="11"/>
        <color rgb="FF000000"/>
        <rFont val="Calibri"/>
      </rPr>
      <t>Criteria: If the value vbawarnings is REG_DWORD = 2, this is not a finding.</t>
    </r>
  </si>
  <si>
    <t>V-40892</t>
  </si>
  <si>
    <r>
      <rPr>
        <sz val="11"/>
        <rFont val="Calibri"/>
      </rPr>
      <t>Untrusted intranet zone access to Project servers must not be allowed.</t>
    </r>
  </si>
  <si>
    <r>
      <rPr>
        <sz val="11"/>
        <color rgb="FF000000"/>
        <rFont val="Calibri"/>
      </rPr>
      <t>Set the policy value for User Configuration -&gt; Administrative Templates -&gt; Microsoft Project 2013 -&gt; Project Options -&gt; Security "Enable untrusted intranet zone access to Project server" to "Disabled".</t>
    </r>
  </si>
  <si>
    <r>
      <rPr>
        <sz val="11"/>
        <color rgb="FF000000"/>
        <rFont val="Calibri"/>
      </rPr>
      <t>Enabling this setting allows users to access Project server websites and workspaces outside of the trusted Internet zone.  As a result, malicious code could become active on user computers or the network to gain access to sensitive data.  In this situation, the site could attempt to capture personal information, such as passwords and user names.</t>
    </r>
  </si>
  <si>
    <r>
      <rPr>
        <sz val="11"/>
        <color rgb="FF000000"/>
        <rFont val="Calibri"/>
      </rPr>
      <t xml:space="preserve">Verify the policy value for User Configuration -&gt; Administrative Templates -&gt; Microsoft Project 2013 -&gt; Project Options -&gt; Security "Enable untrusted intranet zone access to Project server" is set to "Disabled".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HKCU\Software\Policies\Microsoft\Office\15.0\ms project\security</t>
    </r>
    <r>
      <rPr>
        <sz val="11"/>
        <color rgb="FF000000"/>
        <rFont val="Calibri"/>
      </rPr>
      <t xml:space="preserve">
</t>
    </r>
    <r>
      <rPr>
        <sz val="11"/>
        <color rgb="FF000000"/>
        <rFont val="Calibri"/>
      </rPr>
      <t>Criteria: If the value TrustWSS is REG_DWORD = 0, this is not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</si>
  <si>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</si>
  <si>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</si>
  <si>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</si>
  <si>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</si>
  <si>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</si>
  <si>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</si>
  <si>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</si>
  <si>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</si>
  <si>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</si>
  <si>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</si>
  <si>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</si>
  <si>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</si>
  <si>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</si>
  <si>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</si>
  <si>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</si>
  <si>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</si>
  <si>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</si>
  <si>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</si>
  <si>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</si>
  <si>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</si>
  <si>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</si>
  <si>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</si>
  <si>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</si>
  <si>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</si>
  <si>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</si>
  <si>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</si>
  <si>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</si>
  <si>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</si>
  <si>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</si>
  <si>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Project 2013 Security Technical Implementation Guide V1R4</t>
  </si>
  <si>
    <t>Developed By:</t>
  </si>
  <si>
    <t>Defense Information Systems Agency (DISA) for the US DoD</t>
  </si>
  <si>
    <t>Release Information:</t>
  </si>
  <si>
    <r>
      <rPr>
        <b/>
        <sz val="11"/>
        <color rgb="FF000000"/>
        <rFont val="Calibri"/>
      </rPr>
      <t>Version:</t>
    </r>
    <r>
      <rPr>
        <sz val="11"/>
        <color rgb="FF000000"/>
        <rFont val="Calibri"/>
      </rPr>
      <t xml:space="preserve"> V1R4    </t>
    </r>
    <r>
      <rPr>
        <b/>
        <sz val="11"/>
        <color rgb="FF000000"/>
        <rFont val="Calibri"/>
      </rPr>
      <t>Date:</t>
    </r>
    <r>
      <rPr>
        <sz val="11"/>
        <color rgb="FF000000"/>
        <rFont val="Calibri"/>
      </rPr>
      <t xml:space="preserve"> 27 April 2018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14</t>
    </r>
  </si>
  <si>
    <t>Download Url:</t>
  </si>
  <si>
    <t>https://www.cyber.mil/stigs</t>
  </si>
  <si>
    <t>Guide Overview:</t>
  </si>
  <si>
    <r>
      <rPr>
        <sz val="11"/>
        <color rgb="FF000000"/>
        <rFont val="Calibri"/>
      </rPr>
      <t>This Security Technical Implementation Guide (STIG) provides the technical security policies, requirements, and implementation details for applying security concepts to Commercial-Off-TheShelf (COTS) applications.</t>
    </r>
    <r>
      <rPr>
        <sz val="11"/>
        <color rgb="FF000000"/>
        <rFont val="Calibri"/>
      </rPr>
      <t xml:space="preserve">
</t>
    </r>
    <r>
      <rPr>
        <sz val="11"/>
        <color rgb="FF000000"/>
        <rFont val="Calibri"/>
      </rPr>
      <t>The nearly universal presence of systems on the desktops of all levels of staff provides tremendous opportunities for office automation, communication, data sharing, and collaboration. Unfortunately, this presence also brings about dependence and vulnerabilities. Malicious and mischievous forces have attempted to take advantage of the vulnerabilities and dependencies to disrupt the work processes of the Government. Compounding this problem is the fact that the vendors of software applications have not expended sufficient effort to provide strong security in their applications. Where applications do offer security options, the default settings typically do not provide a strong security posture.</t>
    </r>
    <r>
      <rPr>
        <sz val="11"/>
        <color rgb="FF000000"/>
        <rFont val="Calibri"/>
      </rPr>
      <t xml:space="preserve">
</t>
    </r>
    <r>
      <rPr>
        <sz val="11"/>
        <color rgb="FF000000"/>
        <rFont val="Calibri"/>
      </rPr>
      <t>There are multiple STIG packages for Microsoft Office 2013, each contains technology-specific guidelines for the respective package. The Microsoft Office System 2013 must also be applied when any Office package is installed. The individual packages are:</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Access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Excel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Groove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InfoPath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Lync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Office System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OneNote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Outlook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PowerPoint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Project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Publisher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SharePoint Designer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Visio 2013</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Word 2013</t>
    </r>
    <r>
      <rPr>
        <sz val="11"/>
        <color rgb="FF000000"/>
        <rFont val="Calibri"/>
      </rPr>
      <t xml:space="preserve">
</t>
    </r>
    <r>
      <rPr>
        <sz val="11"/>
        <color rgb="FF000000"/>
        <rFont val="Calibri"/>
      </rPr>
      <t>This STIG contains security technical implementation guidance for Microsoft Office Project 2013 only.</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</si>
  <si>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</si>
  <si>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</si>
  <si>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t>CAT I (High)</t>
  </si>
  <si>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</si>
  <si>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</si>
  <si>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</si>
  <si>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</si>
  <si>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</si>
  <si>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</si>
  <si>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</si>
  <si>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</si>
  <si>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</si>
  <si>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</si>
  <si>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</si>
  <si>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</si>
  <si>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</si>
  <si>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</si>
  <si>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</si>
  <si>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</si>
  <si>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</si>
  <si>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</si>
  <si>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</si>
  <si>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</si>
  <si>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</si>
  <si>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Microsoft Project 2013 Security Technical Implementation Guide V1R4</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</si>
  <si>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</si>
  <si>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</si>
  <si>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</si>
  <si>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</si>
  <si>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</si>
  <si>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</si>
  <si>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</si>
  <si>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</si>
  <si>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</si>
  <si>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</si>
  <si>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</si>
  <si>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</si>
  <si>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</si>
  <si>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</si>
  <si>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</si>
  <si>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</si>
  <si>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</si>
  <si>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</si>
  <si>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</si>
  <si>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</si>
  <si>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</si>
  <si>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</si>
  <si>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</si>
  <si>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</si>
  <si>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</si>
  <si>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</si>
  <si>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</si>
  <si>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</si>
  <si>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</si>
  <si>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</si>
  <si>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</si>
  <si>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</si>
  <si>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</si>
  <si>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</si>
  <si>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</si>
  <si>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</si>
  <si>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</si>
  <si>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</si>
  <si>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</si>
  <si>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</si>
  <si>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</si>
  <si>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</si>
  <si>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</si>
  <si>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</si>
  <si>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</si>
  <si>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</si>
  <si>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(C65)</t>
  </si>
  <si>
    <t>% Must</t>
  </si>
  <si>
    <t>Should Count (C66)</t>
  </si>
  <si>
    <t>% Should</t>
  </si>
  <si>
    <t>Could Count (C67)</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</si>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</sst>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FADF-4D71-8417-74554D8B5F7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FADF-4D71-8417-74554D8B5F7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14</c:v>
                </c:pt>
              </c:numCache>
            </c:numRef>
          </c:val>
          <c:extLst>
            <c:ext xmlns:c16="http://schemas.microsoft.com/office/drawing/2014/chart" uri="{C3380CC4-5D6E-409C-BE32-E72D297353CC}">
              <c16:uniqueId val="{00000002-FADF-4D71-8417-74554D8B5F77}"/>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97F4-4ADF-8679-0A41D40CF1DE}"/>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97F4-4ADF-8679-0A41D40CF1DE}"/>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14</c:v>
                </c:pt>
              </c:numCache>
            </c:numRef>
          </c:val>
          <c:extLst>
            <c:ext xmlns:c16="http://schemas.microsoft.com/office/drawing/2014/chart" uri="{C3380CC4-5D6E-409C-BE32-E72D297353CC}">
              <c16:uniqueId val="{00000002-97F4-4ADF-8679-0A41D40CF1DE}"/>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Dashboard!$C$52:$C$52</c:f>
              <c:numCache>
                <c:formatCode>General</c:formatCode>
                <c:ptCount val="1"/>
                <c:pt idx="0">
                  <c:v>0</c:v>
                </c:pt>
              </c:numCache>
            </c:numRef>
          </c:val>
          <c:extLst>
            <c:ext xmlns:c16="http://schemas.microsoft.com/office/drawing/2014/chart" uri="{C3380CC4-5D6E-409C-BE32-E72D297353CC}">
              <c16:uniqueId val="{00000000-3561-4944-B0C6-A61CB25F95F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Dashboard!$D$52:$D$52</c:f>
              <c:numCache>
                <c:formatCode>General</c:formatCode>
                <c:ptCount val="1"/>
                <c:pt idx="0">
                  <c:v>0</c:v>
                </c:pt>
              </c:numCache>
            </c:numRef>
          </c:val>
          <c:extLst>
            <c:ext xmlns:c16="http://schemas.microsoft.com/office/drawing/2014/chart" uri="{C3380CC4-5D6E-409C-BE32-E72D297353CC}">
              <c16:uniqueId val="{00000001-3561-4944-B0C6-A61CB25F95F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Dashboard!$E$52:$E$52</c:f>
              <c:numCache>
                <c:formatCode>General</c:formatCode>
                <c:ptCount val="1"/>
                <c:pt idx="0">
                  <c:v>14</c:v>
                </c:pt>
              </c:numCache>
            </c:numRef>
          </c:val>
          <c:extLst>
            <c:ext xmlns:c16="http://schemas.microsoft.com/office/drawing/2014/chart" uri="{C3380CC4-5D6E-409C-BE32-E72D297353CC}">
              <c16:uniqueId val="{00000002-3561-4944-B0C6-A61CB25F95F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Dashboard!$C$65:$C$69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2693-4BF8-B1CD-C4B32241795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Dashboard!$D$65:$D$69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2693-4BF8-B1CD-C4B32241795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Dashboard!$E$65:$E$69</c:f>
              <c:numCache>
                <c:formatCode>General</c:formatCode>
                <c:ptCount val="5"/>
                <c:pt idx="0">
                  <c:v>0</c:v>
                </c:pt>
                <c:pt idx="1">
                  <c:v>0</c:v>
                </c:pt>
                <c:pt idx="2">
                  <c:v>0</c:v>
                </c:pt>
                <c:pt idx="3">
                  <c:v>0</c:v>
                </c:pt>
                <c:pt idx="4">
                  <c:v>14</c:v>
                </c:pt>
              </c:numCache>
            </c:numRef>
          </c:val>
          <c:extLst>
            <c:ext xmlns:c16="http://schemas.microsoft.com/office/drawing/2014/chart" uri="{C3380CC4-5D6E-409C-BE32-E72D297353CC}">
              <c16:uniqueId val="{00000002-2693-4BF8-B1CD-C4B32241795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Dashboard!$C$86:$C$89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8CC0-4FDF-9E73-4509DFE7016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Dashboard!$D$86:$D$89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8CC0-4FDF-9E73-4509DFE7016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Dashboard!$E$86:$E$89</c:f>
              <c:numCache>
                <c:formatCode>General</c:formatCode>
                <c:ptCount val="4"/>
                <c:pt idx="0">
                  <c:v>0</c:v>
                </c:pt>
                <c:pt idx="1">
                  <c:v>0</c:v>
                </c:pt>
                <c:pt idx="2">
                  <c:v>0</c:v>
                </c:pt>
                <c:pt idx="3">
                  <c:v>14</c:v>
                </c:pt>
              </c:numCache>
            </c:numRef>
          </c:val>
          <c:extLst>
            <c:ext xmlns:c16="http://schemas.microsoft.com/office/drawing/2014/chart" uri="{C3380CC4-5D6E-409C-BE32-E72D297353CC}">
              <c16:uniqueId val="{00000002-8CC0-4FDF-9E73-4509DFE7016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Dashboard!$P$122:$P$151</c:f>
              <c:numCache>
                <c:formatCode>yyyy\-mm\-dd</c:formatCode>
                <c:ptCount val="30"/>
              </c:numCache>
            </c:numRef>
          </c:cat>
          <c:val>
            <c:numRef>
              <c:f>Dashboard!$R$122:$R$151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C387-4AC0-8193-111E404907B3}"/>
            </c:ext>
          </c:extLst>
        </c:ser>
        <c:ser>
          <c:idx val="1"/>
          <c:order val="1"/>
          <c:tx>
            <c:v>Must % Resolved</c:v>
          </c:tx>
          <c:spPr>
            <a:ln w="22225" cap="rnd">
              <a:solidFill>
                <a:schemeClr val="accent2"/>
              </a:solidFill>
              <a:round/>
            </a:ln>
            <a:effectLst/>
          </c:spPr>
          <c:marker>
            <c:symbol val="none"/>
          </c:marker>
          <c:cat>
            <c:numRef>
              <c:f>Dashboard!$P$122:$P$151</c:f>
              <c:numCache>
                <c:formatCode>yyyy\-mm\-dd</c:formatCode>
                <c:ptCount val="30"/>
              </c:numCache>
            </c:numRef>
          </c:cat>
          <c:val>
            <c:numRef>
              <c:f>Dashboard!$T$122:$T$151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C387-4AC0-8193-111E404907B3}"/>
            </c:ext>
          </c:extLst>
        </c:ser>
        <c:ser>
          <c:idx val="2"/>
          <c:order val="2"/>
          <c:tx>
            <c:v>Should % Resolved</c:v>
          </c:tx>
          <c:spPr>
            <a:ln w="22225" cap="rnd">
              <a:solidFill>
                <a:schemeClr val="accent3"/>
              </a:solidFill>
              <a:round/>
            </a:ln>
            <a:effectLst/>
          </c:spPr>
          <c:marker>
            <c:symbol val="none"/>
          </c:marker>
          <c:cat>
            <c:numRef>
              <c:f>Dashboard!$P$122:$P$151</c:f>
              <c:numCache>
                <c:formatCode>yyyy\-mm\-dd</c:formatCode>
                <c:ptCount val="30"/>
              </c:numCache>
            </c:numRef>
          </c:cat>
          <c:val>
            <c:numRef>
              <c:f>Dashboard!$V$122:$V$151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C387-4AC0-8193-111E404907B3}"/>
            </c:ext>
          </c:extLst>
        </c:ser>
        <c:ser>
          <c:idx val="3"/>
          <c:order val="3"/>
          <c:tx>
            <c:v>Could % Resolved</c:v>
          </c:tx>
          <c:spPr>
            <a:ln w="22225" cap="rnd">
              <a:solidFill>
                <a:schemeClr val="accent4"/>
              </a:solidFill>
              <a:round/>
            </a:ln>
            <a:effectLst/>
          </c:spPr>
          <c:marker>
            <c:symbol val="none"/>
          </c:marker>
          <c:cat>
            <c:numRef>
              <c:f>Dashboard!$P$122:$P$151</c:f>
              <c:numCache>
                <c:formatCode>yyyy\-mm\-dd</c:formatCode>
                <c:ptCount val="30"/>
              </c:numCache>
            </c:numRef>
          </c:cat>
          <c:val>
            <c:numRef>
              <c:f>Dashboard!$X$122:$X$151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C387-4AC0-8193-111E404907B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Dashboard!$P$164:$P$183</c:f>
              <c:numCache>
                <c:formatCode>yyyy\-mm\-dd</c:formatCode>
                <c:ptCount val="20"/>
              </c:numCache>
            </c:numRef>
          </c:cat>
          <c:val>
            <c:numRef>
              <c:f>Dashboard!$R$164:$R$183</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87B0-40F2-829D-BA329912272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xqawcv">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bgip3w">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nkzcad">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77</xdr:row>
      <xdr:rowOff>0</xdr:rowOff>
    </xdr:to>
    <xdr:graphicFrame macro="">
      <xdr:nvGraphicFramePr>
        <xdr:cNvPr id="5" name="Chartsadl1g">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95</xdr:row>
      <xdr:rowOff>142875</xdr:rowOff>
    </xdr:to>
    <xdr:graphicFrame macro="">
      <xdr:nvGraphicFramePr>
        <xdr:cNvPr id="6" name="Chartya4zrr">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117</xdr:row>
      <xdr:rowOff>95250</xdr:rowOff>
    </xdr:from>
    <xdr:to>
      <xdr:col>14</xdr:col>
      <xdr:colOff>0</xdr:colOff>
      <xdr:row>140</xdr:row>
      <xdr:rowOff>38100</xdr:rowOff>
    </xdr:to>
    <xdr:graphicFrame macro="">
      <xdr:nvGraphicFramePr>
        <xdr:cNvPr id="7" name="Chartg0xhjx">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158</xdr:row>
      <xdr:rowOff>95250</xdr:rowOff>
    </xdr:from>
    <xdr:to>
      <xdr:col>14</xdr:col>
      <xdr:colOff>0</xdr:colOff>
      <xdr:row>176</xdr:row>
      <xdr:rowOff>123825</xdr:rowOff>
    </xdr:to>
    <xdr:graphicFrame macro="">
      <xdr:nvGraphicFramePr>
        <xdr:cNvPr id="8" name="Chartiy03ci">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5">
  <autoFilter ref="A1:M15"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89</v>
      </c>
    </row>
    <row r="3" spans="2:3" ht="15" customHeight="1" x14ac:dyDescent="0.35"/>
    <row r="4" spans="2:3" ht="58" x14ac:dyDescent="0.35">
      <c r="B4" s="18" t="s">
        <v>90</v>
      </c>
      <c r="C4" s="19" t="s">
        <v>91</v>
      </c>
    </row>
    <row r="5" spans="2:3" x14ac:dyDescent="0.35">
      <c r="C5" s="19" t="s">
        <v>92</v>
      </c>
    </row>
    <row r="6" spans="2:3" x14ac:dyDescent="0.35">
      <c r="C6" s="16" t="s">
        <v>93</v>
      </c>
    </row>
    <row r="7" spans="2:3" ht="10" customHeight="1" x14ac:dyDescent="0.35"/>
    <row r="8" spans="2:3" ht="232" x14ac:dyDescent="0.35">
      <c r="B8" s="20" t="s">
        <v>94</v>
      </c>
      <c r="C8" s="19" t="s">
        <v>95</v>
      </c>
    </row>
    <row r="9" spans="2:3" ht="10" customHeight="1" x14ac:dyDescent="0.35"/>
    <row r="10" spans="2:3" ht="35" customHeight="1" x14ac:dyDescent="0.35">
      <c r="B10" s="20" t="s">
        <v>96</v>
      </c>
      <c r="C10" s="19" t="s">
        <v>97</v>
      </c>
    </row>
    <row r="11" spans="2:3" ht="75" customHeight="1" x14ac:dyDescent="0.35">
      <c r="B11" s="16" t="s">
        <v>19</v>
      </c>
      <c r="C11" s="19" t="s">
        <v>98</v>
      </c>
    </row>
    <row r="12" spans="2:3" ht="47" customHeight="1" x14ac:dyDescent="0.35">
      <c r="B12" s="16" t="s">
        <v>19</v>
      </c>
      <c r="C12" s="19" t="s">
        <v>99</v>
      </c>
    </row>
    <row r="13" spans="2:3" ht="35" customHeight="1" x14ac:dyDescent="0.35">
      <c r="B13" s="16" t="s">
        <v>19</v>
      </c>
      <c r="C13" s="19" t="s">
        <v>100</v>
      </c>
    </row>
    <row r="14" spans="2:3" ht="32" customHeight="1" x14ac:dyDescent="0.35">
      <c r="B14" s="16" t="s">
        <v>19</v>
      </c>
      <c r="C14" s="19" t="s">
        <v>101</v>
      </c>
    </row>
    <row r="15" spans="2:3" ht="30" customHeight="1" x14ac:dyDescent="0.35">
      <c r="B15" s="16" t="s">
        <v>19</v>
      </c>
      <c r="C15" s="19" t="s">
        <v>102</v>
      </c>
    </row>
    <row r="16" spans="2:3" ht="10" customHeight="1" x14ac:dyDescent="0.35"/>
    <row r="17" spans="1:3" ht="145" customHeight="1" x14ac:dyDescent="0.35">
      <c r="B17" s="20" t="s">
        <v>103</v>
      </c>
      <c r="C17" s="19" t="s">
        <v>104</v>
      </c>
    </row>
    <row r="18" spans="1:3" ht="10" customHeight="1" x14ac:dyDescent="0.35"/>
    <row r="19" spans="1:3" ht="3" customHeight="1" x14ac:dyDescent="0.35">
      <c r="B19" s="21"/>
      <c r="C19" s="21"/>
    </row>
    <row r="20" spans="1:3" ht="12" customHeight="1" x14ac:dyDescent="0.35"/>
    <row r="21" spans="1:3" ht="35" customHeight="1" x14ac:dyDescent="0.35">
      <c r="A21" s="23"/>
      <c r="B21" s="24" t="s">
        <v>105</v>
      </c>
      <c r="C21" s="25" t="s">
        <v>106</v>
      </c>
    </row>
    <row r="22" spans="1:3" ht="18" customHeight="1" x14ac:dyDescent="0.35">
      <c r="A22" s="23"/>
      <c r="B22" s="23" t="s">
        <v>19</v>
      </c>
      <c r="C22" s="25" t="s">
        <v>107</v>
      </c>
    </row>
    <row r="23" spans="1:3" ht="18" customHeight="1" x14ac:dyDescent="0.35">
      <c r="A23" s="23"/>
      <c r="B23" s="23" t="s">
        <v>19</v>
      </c>
      <c r="C23" s="25" t="s">
        <v>108</v>
      </c>
    </row>
    <row r="24" spans="1:3" ht="18" customHeight="1" x14ac:dyDescent="0.35">
      <c r="A24" s="23"/>
      <c r="B24" s="23" t="s">
        <v>19</v>
      </c>
      <c r="C24" s="25" t="s">
        <v>109</v>
      </c>
    </row>
    <row r="25" spans="1:3" ht="18" customHeight="1" x14ac:dyDescent="0.35">
      <c r="A25" s="23"/>
      <c r="B25" s="23" t="s">
        <v>19</v>
      </c>
      <c r="C25" s="25" t="s">
        <v>110</v>
      </c>
    </row>
    <row r="26" spans="1:3" ht="18" customHeight="1" x14ac:dyDescent="0.35">
      <c r="A26" s="23"/>
      <c r="B26" s="23" t="s">
        <v>19</v>
      </c>
      <c r="C26" s="25" t="s">
        <v>111</v>
      </c>
    </row>
    <row r="27" spans="1:3" ht="18" customHeight="1" x14ac:dyDescent="0.35">
      <c r="A27" s="23"/>
      <c r="B27" s="23" t="s">
        <v>19</v>
      </c>
      <c r="C27" s="25" t="s">
        <v>112</v>
      </c>
    </row>
    <row r="28" spans="1:3" ht="18" customHeight="1" x14ac:dyDescent="0.35">
      <c r="A28" s="23"/>
      <c r="B28" s="23" t="s">
        <v>19</v>
      </c>
      <c r="C28" s="25" t="s">
        <v>113</v>
      </c>
    </row>
    <row r="29" spans="1:3" ht="18" customHeight="1" x14ac:dyDescent="0.35">
      <c r="A29" s="23"/>
      <c r="B29" s="23" t="s">
        <v>19</v>
      </c>
      <c r="C29" s="25" t="s">
        <v>114</v>
      </c>
    </row>
    <row r="30" spans="1:3" ht="44" customHeight="1" x14ac:dyDescent="0.35">
      <c r="A30" s="23"/>
      <c r="B30" s="23" t="s">
        <v>19</v>
      </c>
      <c r="C30" s="26" t="s">
        <v>115</v>
      </c>
    </row>
    <row r="31" spans="1:3" ht="10" customHeight="1" x14ac:dyDescent="0.35"/>
    <row r="32" spans="1:3" ht="3" customHeight="1" x14ac:dyDescent="0.35">
      <c r="B32" s="21"/>
      <c r="C32" s="21"/>
    </row>
    <row r="33" spans="2:3" ht="12" customHeight="1" x14ac:dyDescent="0.35"/>
    <row r="34" spans="2:3" ht="24" customHeight="1" x14ac:dyDescent="0.35">
      <c r="B34" s="27" t="s">
        <v>116</v>
      </c>
      <c r="C34" s="28" t="s">
        <v>117</v>
      </c>
    </row>
    <row r="35" spans="2:3" ht="18.5" x14ac:dyDescent="0.35">
      <c r="B35" s="27" t="s">
        <v>118</v>
      </c>
      <c r="C35" s="29" t="s">
        <v>119</v>
      </c>
    </row>
    <row r="36" spans="2:3" ht="27" customHeight="1" x14ac:dyDescent="0.35">
      <c r="B36" s="30" t="s">
        <v>120</v>
      </c>
      <c r="C36" s="22" t="s">
        <v>121</v>
      </c>
    </row>
    <row r="37" spans="2:3" x14ac:dyDescent="0.35">
      <c r="B37" s="27" t="s">
        <v>122</v>
      </c>
      <c r="C37" s="31" t="s">
        <v>123</v>
      </c>
    </row>
    <row r="38" spans="2:3" ht="10" customHeight="1" x14ac:dyDescent="0.35"/>
    <row r="39" spans="2:3" ht="220" customHeight="1" x14ac:dyDescent="0.35">
      <c r="B39" s="27" t="s">
        <v>124</v>
      </c>
      <c r="C39" s="32" t="s">
        <v>125</v>
      </c>
    </row>
    <row r="40" spans="2:3" ht="10" customHeight="1" x14ac:dyDescent="0.35"/>
    <row r="41" spans="2:3" ht="43.5" x14ac:dyDescent="0.35">
      <c r="B41" s="27" t="s">
        <v>126</v>
      </c>
      <c r="C41" s="19" t="s">
        <v>127</v>
      </c>
    </row>
    <row r="42" spans="2:3" ht="10" customHeight="1" x14ac:dyDescent="0.35"/>
    <row r="43" spans="2:3" ht="15.5" x14ac:dyDescent="0.35">
      <c r="C43" s="33" t="s">
        <v>128</v>
      </c>
    </row>
    <row r="44" spans="2:3" ht="29" x14ac:dyDescent="0.35">
      <c r="C44" s="19" t="s">
        <v>129</v>
      </c>
    </row>
    <row r="45" spans="2:3" ht="10" customHeight="1" x14ac:dyDescent="0.35"/>
    <row r="46" spans="2:3" ht="15.5" x14ac:dyDescent="0.35">
      <c r="C46" s="34" t="s">
        <v>15</v>
      </c>
    </row>
    <row r="47" spans="2:3" ht="29" x14ac:dyDescent="0.35">
      <c r="C47" s="19" t="s">
        <v>130</v>
      </c>
    </row>
    <row r="48" spans="2:3" ht="10" customHeight="1" x14ac:dyDescent="0.35"/>
    <row r="49" spans="2:3" ht="15.5" x14ac:dyDescent="0.35">
      <c r="C49" s="35" t="s">
        <v>131</v>
      </c>
    </row>
    <row r="50" spans="2:3" ht="29" x14ac:dyDescent="0.35">
      <c r="C50" s="19" t="s">
        <v>132</v>
      </c>
    </row>
    <row r="51" spans="2:3" ht="10" customHeight="1" x14ac:dyDescent="0.35"/>
    <row r="52" spans="2:3" ht="3" customHeight="1" x14ac:dyDescent="0.35">
      <c r="B52" s="21"/>
      <c r="C52" s="21"/>
    </row>
    <row r="53" spans="2:3" ht="12" customHeight="1" x14ac:dyDescent="0.35"/>
    <row r="54" spans="2:3" ht="130.5" x14ac:dyDescent="0.35">
      <c r="B54" s="18" t="s">
        <v>133</v>
      </c>
      <c r="C54" s="19" t="s">
        <v>134</v>
      </c>
    </row>
    <row r="55" spans="2:3" ht="6" customHeight="1" x14ac:dyDescent="0.35"/>
    <row r="56" spans="2:3" ht="217.5" x14ac:dyDescent="0.35">
      <c r="C56" s="19" t="s">
        <v>135</v>
      </c>
    </row>
    <row r="57" spans="2:3" ht="6" customHeight="1" x14ac:dyDescent="0.35"/>
    <row r="58" spans="2:3" ht="43.5" x14ac:dyDescent="0.35">
      <c r="C58" s="19" t="s">
        <v>136</v>
      </c>
    </row>
    <row r="59" spans="2:3" ht="10" customHeight="1" x14ac:dyDescent="0.35"/>
    <row r="60" spans="2:3" ht="3" customHeight="1" x14ac:dyDescent="0.35">
      <c r="B60" s="21"/>
      <c r="C60" s="21"/>
    </row>
    <row r="61" spans="2:3" ht="12" customHeight="1" x14ac:dyDescent="0.35"/>
    <row r="62" spans="2:3" ht="145" x14ac:dyDescent="0.35">
      <c r="B62" s="18" t="s">
        <v>137</v>
      </c>
      <c r="C62" s="19" t="s">
        <v>138</v>
      </c>
    </row>
    <row r="63" spans="2:3" ht="6" customHeight="1" x14ac:dyDescent="0.35"/>
    <row r="64" spans="2:3" ht="203" x14ac:dyDescent="0.35">
      <c r="C64" s="19" t="s">
        <v>139</v>
      </c>
    </row>
    <row r="65" spans="2:3" ht="6" customHeight="1" x14ac:dyDescent="0.35"/>
    <row r="66" spans="2:3" ht="43.5" x14ac:dyDescent="0.35">
      <c r="C66" s="19" t="s">
        <v>140</v>
      </c>
    </row>
    <row r="67" spans="2:3" ht="10" customHeight="1" x14ac:dyDescent="0.35"/>
    <row r="68" spans="2:3" ht="3" customHeight="1" x14ac:dyDescent="0.35">
      <c r="B68" s="21"/>
      <c r="C68" s="21"/>
    </row>
    <row r="69" spans="2:3" ht="12" customHeight="1" x14ac:dyDescent="0.35"/>
    <row r="70" spans="2:3" ht="101.5" x14ac:dyDescent="0.35">
      <c r="B70" s="18" t="s">
        <v>141</v>
      </c>
      <c r="C70" s="19" t="s">
        <v>142</v>
      </c>
    </row>
    <row r="71" spans="2:3" ht="6" customHeight="1" x14ac:dyDescent="0.35"/>
    <row r="72" spans="2:3" ht="145" x14ac:dyDescent="0.35">
      <c r="C72" s="19" t="s">
        <v>143</v>
      </c>
    </row>
    <row r="73" spans="2:3" ht="6" customHeight="1" x14ac:dyDescent="0.35"/>
    <row r="74" spans="2:3" ht="43.5" x14ac:dyDescent="0.35">
      <c r="C74" s="19" t="s">
        <v>144</v>
      </c>
    </row>
    <row r="78" spans="2:3" ht="32" customHeight="1" x14ac:dyDescent="0.35">
      <c r="B78" s="78" t="s">
        <v>88</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7"/>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145</v>
      </c>
      <c r="C2" s="80"/>
      <c r="D2" s="80"/>
      <c r="E2" s="80"/>
      <c r="F2" s="80"/>
      <c r="G2" s="80"/>
      <c r="H2" s="80"/>
      <c r="I2" s="80"/>
    </row>
    <row r="4" spans="2:15" ht="18.5" x14ac:dyDescent="0.45">
      <c r="B4" s="37" t="s">
        <v>146</v>
      </c>
    </row>
    <row r="5" spans="2:15" x14ac:dyDescent="0.35">
      <c r="B5" s="39" t="s">
        <v>19</v>
      </c>
      <c r="C5" s="39" t="s">
        <v>147</v>
      </c>
      <c r="D5" s="39" t="s">
        <v>148</v>
      </c>
      <c r="F5" s="81" t="s">
        <v>149</v>
      </c>
      <c r="G5" s="81"/>
      <c r="H5" s="81"/>
      <c r="I5" s="82" t="s">
        <v>150</v>
      </c>
      <c r="J5" s="82"/>
      <c r="K5" s="82"/>
      <c r="L5" s="82"/>
      <c r="M5" s="82"/>
      <c r="N5" s="82"/>
      <c r="O5" s="82"/>
    </row>
    <row r="6" spans="2:15" x14ac:dyDescent="0.35">
      <c r="B6" s="45" t="s">
        <v>151</v>
      </c>
      <c r="C6" s="46">
        <v>14</v>
      </c>
      <c r="D6" s="47" t="s">
        <v>19</v>
      </c>
      <c r="F6" s="81" t="s">
        <v>152</v>
      </c>
      <c r="G6" s="81"/>
      <c r="H6" s="81"/>
      <c r="I6" s="83" t="s">
        <v>153</v>
      </c>
      <c r="J6" s="83"/>
      <c r="K6" s="83"/>
      <c r="L6" s="83"/>
      <c r="M6" s="83"/>
      <c r="N6" s="83"/>
      <c r="O6" s="83"/>
    </row>
    <row r="7" spans="2:15" x14ac:dyDescent="0.35">
      <c r="B7" s="48" t="s">
        <v>154</v>
      </c>
      <c r="C7" s="49">
        <f>C6-C8-C9</f>
        <v>14</v>
      </c>
      <c r="D7" s="50">
        <f>IF(C6&gt;0,C7/C6,0)</f>
        <v>1</v>
      </c>
      <c r="F7" s="81" t="s">
        <v>155</v>
      </c>
      <c r="G7" s="81"/>
      <c r="H7" s="81"/>
      <c r="I7" s="83" t="s">
        <v>153</v>
      </c>
      <c r="J7" s="83"/>
      <c r="K7" s="83"/>
      <c r="L7" s="83"/>
      <c r="M7" s="83"/>
      <c r="N7" s="83"/>
      <c r="O7" s="83"/>
    </row>
    <row r="8" spans="2:15" x14ac:dyDescent="0.35">
      <c r="B8" s="41" t="s">
        <v>156</v>
      </c>
      <c r="C8" s="42">
        <f>COUNTIF('Recommendations'!G:G,"Risk Accepted")</f>
        <v>0</v>
      </c>
      <c r="D8" s="43">
        <f>IF(C6&gt;0,C8/C6,0)</f>
        <v>0</v>
      </c>
      <c r="F8" s="81" t="s">
        <v>157</v>
      </c>
      <c r="G8" s="81"/>
      <c r="H8" s="81"/>
      <c r="I8" s="83" t="s">
        <v>153</v>
      </c>
      <c r="J8" s="83"/>
      <c r="K8" s="83"/>
      <c r="L8" s="83"/>
      <c r="M8" s="83"/>
      <c r="N8" s="83"/>
      <c r="O8" s="83"/>
    </row>
    <row r="9" spans="2:15" x14ac:dyDescent="0.35">
      <c r="B9" s="41" t="s">
        <v>158</v>
      </c>
      <c r="C9" s="42">
        <f>COUNTIF('Recommendations'!G:G,"N/A")</f>
        <v>0</v>
      </c>
      <c r="D9" s="43">
        <f>IF(C6&gt;0,C9/C6,0)</f>
        <v>0</v>
      </c>
      <c r="F9" s="81" t="s">
        <v>159</v>
      </c>
      <c r="G9" s="81"/>
      <c r="H9" s="81"/>
      <c r="I9" s="83" t="s">
        <v>153</v>
      </c>
      <c r="J9" s="83"/>
      <c r="K9" s="83"/>
      <c r="L9" s="83"/>
      <c r="M9" s="83"/>
      <c r="N9" s="83"/>
      <c r="O9" s="83"/>
    </row>
    <row r="12" spans="2:15" ht="18.5" x14ac:dyDescent="0.45">
      <c r="B12" s="37" t="s">
        <v>160</v>
      </c>
    </row>
    <row r="14" spans="2:15" x14ac:dyDescent="0.35">
      <c r="B14" s="51" t="s">
        <v>161</v>
      </c>
    </row>
    <row r="15" spans="2:15" x14ac:dyDescent="0.35">
      <c r="B15" s="39" t="s">
        <v>19</v>
      </c>
      <c r="C15" s="39" t="s">
        <v>162</v>
      </c>
      <c r="D15" s="39" t="s">
        <v>163</v>
      </c>
      <c r="E15" s="39" t="s">
        <v>164</v>
      </c>
      <c r="F15" s="39" t="s">
        <v>165</v>
      </c>
    </row>
    <row r="16" spans="2:15" x14ac:dyDescent="0.35">
      <c r="B16" s="41" t="s">
        <v>166</v>
      </c>
      <c r="C16" s="42">
        <f>COUNTIF('Recommendations'!L:L,"Resolved")</f>
        <v>0</v>
      </c>
      <c r="D16" s="42">
        <f>COUNTIF('Recommendations'!L:L,"Testing")</f>
        <v>0</v>
      </c>
      <c r="E16" s="42">
        <f>COUNTIF('Recommendations'!L:L,"Outstanding")</f>
        <v>14</v>
      </c>
      <c r="F16" s="42">
        <f>SUM(C16:E16)</f>
        <v>14</v>
      </c>
    </row>
    <row r="18" spans="2:6" x14ac:dyDescent="0.35">
      <c r="B18" s="51" t="s">
        <v>167</v>
      </c>
    </row>
    <row r="19" spans="2:6" x14ac:dyDescent="0.35">
      <c r="B19" s="52" t="s">
        <v>19</v>
      </c>
      <c r="C19" s="52" t="s">
        <v>162</v>
      </c>
      <c r="D19" s="52" t="s">
        <v>163</v>
      </c>
      <c r="E19" s="52" t="s">
        <v>164</v>
      </c>
      <c r="F19" s="52" t="s">
        <v>19</v>
      </c>
    </row>
    <row r="20" spans="2:6" x14ac:dyDescent="0.35">
      <c r="B20" s="41" t="s">
        <v>166</v>
      </c>
      <c r="C20" s="43">
        <f>IF(F16&gt;0, C16/F16, 0)</f>
        <v>0</v>
      </c>
      <c r="D20" s="43">
        <f>IF(F16&gt;0, D16/F16, 0)</f>
        <v>0</v>
      </c>
      <c r="E20" s="43">
        <f>IF(F16&gt;0, E16/F16, 0)</f>
        <v>1</v>
      </c>
      <c r="F20" s="44" t="s">
        <v>19</v>
      </c>
    </row>
    <row r="25" spans="2:6" ht="18.5" x14ac:dyDescent="0.45">
      <c r="B25" s="37" t="s">
        <v>168</v>
      </c>
    </row>
    <row r="27" spans="2:6" x14ac:dyDescent="0.35">
      <c r="B27" s="51" t="s">
        <v>161</v>
      </c>
    </row>
    <row r="28" spans="2:6" x14ac:dyDescent="0.35">
      <c r="B28" s="39" t="s">
        <v>5</v>
      </c>
      <c r="C28" s="39" t="s">
        <v>162</v>
      </c>
      <c r="D28" s="39" t="s">
        <v>163</v>
      </c>
      <c r="E28" s="39" t="s">
        <v>164</v>
      </c>
      <c r="F28" s="39" t="s">
        <v>165</v>
      </c>
    </row>
    <row r="29" spans="2:6" x14ac:dyDescent="0.35">
      <c r="B29" s="41" t="s">
        <v>169</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170</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171</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172</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173</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14</v>
      </c>
      <c r="F34" s="42">
        <f t="shared" si="0"/>
        <v>14</v>
      </c>
    </row>
    <row r="36" spans="2:6" x14ac:dyDescent="0.35">
      <c r="B36" s="51" t="s">
        <v>167</v>
      </c>
    </row>
    <row r="37" spans="2:6" x14ac:dyDescent="0.35">
      <c r="B37" s="52" t="s">
        <v>5</v>
      </c>
      <c r="C37" s="52" t="s">
        <v>162</v>
      </c>
      <c r="D37" s="52" t="s">
        <v>163</v>
      </c>
      <c r="E37" s="52" t="s">
        <v>164</v>
      </c>
      <c r="F37" s="52" t="s">
        <v>19</v>
      </c>
    </row>
    <row r="38" spans="2:6" x14ac:dyDescent="0.35">
      <c r="B38" s="41" t="s">
        <v>169</v>
      </c>
      <c r="C38" s="43">
        <f t="shared" ref="C38:C43" si="1">IF(F29&gt;0, C29/F29, 0)</f>
        <v>0</v>
      </c>
      <c r="D38" s="43">
        <f t="shared" ref="D38:D43" si="2">IF(F29&gt;0, D29/F29, 0)</f>
        <v>0</v>
      </c>
      <c r="E38" s="43">
        <f t="shared" ref="E38:E43" si="3">IF(F29&gt;0, E29/F29, 0)</f>
        <v>0</v>
      </c>
      <c r="F38" s="44" t="s">
        <v>19</v>
      </c>
    </row>
    <row r="39" spans="2:6" x14ac:dyDescent="0.35">
      <c r="B39" s="41" t="s">
        <v>170</v>
      </c>
      <c r="C39" s="43">
        <f t="shared" si="1"/>
        <v>0</v>
      </c>
      <c r="D39" s="43">
        <f t="shared" si="2"/>
        <v>0</v>
      </c>
      <c r="E39" s="43">
        <f t="shared" si="3"/>
        <v>0</v>
      </c>
      <c r="F39" s="44" t="s">
        <v>19</v>
      </c>
    </row>
    <row r="40" spans="2:6" x14ac:dyDescent="0.35">
      <c r="B40" s="41" t="s">
        <v>171</v>
      </c>
      <c r="C40" s="43">
        <f t="shared" si="1"/>
        <v>0</v>
      </c>
      <c r="D40" s="43">
        <f t="shared" si="2"/>
        <v>0</v>
      </c>
      <c r="E40" s="43">
        <f t="shared" si="3"/>
        <v>0</v>
      </c>
      <c r="F40" s="44" t="s">
        <v>19</v>
      </c>
    </row>
    <row r="41" spans="2:6" x14ac:dyDescent="0.35">
      <c r="B41" s="41" t="s">
        <v>172</v>
      </c>
      <c r="C41" s="43">
        <f t="shared" si="1"/>
        <v>0</v>
      </c>
      <c r="D41" s="43">
        <f t="shared" si="2"/>
        <v>0</v>
      </c>
      <c r="E41" s="43">
        <f t="shared" si="3"/>
        <v>0</v>
      </c>
      <c r="F41" s="44" t="s">
        <v>19</v>
      </c>
    </row>
    <row r="42" spans="2:6" x14ac:dyDescent="0.35">
      <c r="B42" s="41" t="s">
        <v>173</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174</v>
      </c>
    </row>
    <row r="50" spans="2:6" x14ac:dyDescent="0.35">
      <c r="B50" s="51" t="s">
        <v>161</v>
      </c>
    </row>
    <row r="51" spans="2:6" x14ac:dyDescent="0.35">
      <c r="B51" s="39" t="s">
        <v>2</v>
      </c>
      <c r="C51" s="39" t="s">
        <v>162</v>
      </c>
      <c r="D51" s="39" t="s">
        <v>163</v>
      </c>
      <c r="E51" s="39" t="s">
        <v>164</v>
      </c>
      <c r="F51" s="39" t="s">
        <v>165</v>
      </c>
    </row>
    <row r="52" spans="2:6" x14ac:dyDescent="0.35">
      <c r="B52" s="41" t="s">
        <v>15</v>
      </c>
      <c r="C52" s="42">
        <f>COUNTIFS('Recommendations'!C:C,"CAT II (Medium)",'Recommendations'!L:L,"=Resolved")</f>
        <v>0</v>
      </c>
      <c r="D52" s="42">
        <f>COUNTIFS('Recommendations'!C:C,"=CAT II (Medium)",'Recommendations'!L:L,"=Testing")</f>
        <v>0</v>
      </c>
      <c r="E52" s="42">
        <f>COUNTIFS('Recommendations'!C:C,"=CAT II (Medium)",'Recommendations'!L:L,"=Outstanding")</f>
        <v>14</v>
      </c>
      <c r="F52" s="42">
        <f>SUM(C52:E52)</f>
        <v>14</v>
      </c>
    </row>
    <row r="54" spans="2:6" x14ac:dyDescent="0.35">
      <c r="B54" s="51" t="s">
        <v>167</v>
      </c>
    </row>
    <row r="55" spans="2:6" x14ac:dyDescent="0.35">
      <c r="B55" s="52" t="s">
        <v>2</v>
      </c>
      <c r="C55" s="52" t="s">
        <v>162</v>
      </c>
      <c r="D55" s="52" t="s">
        <v>163</v>
      </c>
      <c r="E55" s="52" t="s">
        <v>164</v>
      </c>
      <c r="F55" s="52" t="s">
        <v>19</v>
      </c>
    </row>
    <row r="56" spans="2:6" x14ac:dyDescent="0.35">
      <c r="B56" s="41" t="s">
        <v>15</v>
      </c>
      <c r="C56" s="43">
        <f>IF(F52&gt;0, C52/F52, 0)</f>
        <v>0</v>
      </c>
      <c r="D56" s="43">
        <f>IF(F52&gt;0, D52/F52, 0)</f>
        <v>0</v>
      </c>
      <c r="E56" s="43">
        <f>IF(F52&gt;0, E52/F52, 0)</f>
        <v>1</v>
      </c>
      <c r="F56" s="44" t="s">
        <v>19</v>
      </c>
    </row>
    <row r="61" spans="2:6" ht="18.5" x14ac:dyDescent="0.45">
      <c r="B61" s="37" t="s">
        <v>175</v>
      </c>
    </row>
    <row r="63" spans="2:6" x14ac:dyDescent="0.35">
      <c r="B63" s="51" t="s">
        <v>161</v>
      </c>
    </row>
    <row r="64" spans="2:6" x14ac:dyDescent="0.35">
      <c r="B64" s="39" t="s">
        <v>3</v>
      </c>
      <c r="C64" s="39" t="s">
        <v>162</v>
      </c>
      <c r="D64" s="39" t="s">
        <v>163</v>
      </c>
      <c r="E64" s="39" t="s">
        <v>164</v>
      </c>
      <c r="F64" s="39" t="s">
        <v>165</v>
      </c>
    </row>
    <row r="65" spans="2:6" x14ac:dyDescent="0.35">
      <c r="B65" s="41" t="s">
        <v>176</v>
      </c>
      <c r="C65" s="42">
        <f>COUNTIFS('Recommendations'!D:D,"Must",'Recommendations'!L:L,"=Resolved")</f>
        <v>0</v>
      </c>
      <c r="D65" s="42">
        <f>COUNTIFS('Recommendations'!D:D,"=Must",'Recommendations'!L:L,"=Testing")</f>
        <v>0</v>
      </c>
      <c r="E65" s="42">
        <f>COUNTIFS('Recommendations'!D:D,"=Must",'Recommendations'!L:L,"=Outstanding")</f>
        <v>0</v>
      </c>
      <c r="F65" s="42">
        <f>SUM(C65:E65)</f>
        <v>0</v>
      </c>
    </row>
    <row r="66" spans="2:6" x14ac:dyDescent="0.35">
      <c r="B66" s="41" t="s">
        <v>177</v>
      </c>
      <c r="C66" s="42">
        <f>COUNTIFS('Recommendations'!D:D,"Should",'Recommendations'!L:L,"=Resolved")</f>
        <v>0</v>
      </c>
      <c r="D66" s="42">
        <f>COUNTIFS('Recommendations'!D:D,"=Should",'Recommendations'!L:L,"=Testing")</f>
        <v>0</v>
      </c>
      <c r="E66" s="42">
        <f>COUNTIFS('Recommendations'!D:D,"=Should",'Recommendations'!L:L,"=Outstanding")</f>
        <v>0</v>
      </c>
      <c r="F66" s="42">
        <f>SUM(C66:E66)</f>
        <v>0</v>
      </c>
    </row>
    <row r="67" spans="2:6" x14ac:dyDescent="0.35">
      <c r="B67" s="41" t="s">
        <v>178</v>
      </c>
      <c r="C67" s="42">
        <f>COUNTIFS('Recommendations'!D:D,"Could",'Recommendations'!L:L,"=Resolved")</f>
        <v>0</v>
      </c>
      <c r="D67" s="42">
        <f>COUNTIFS('Recommendations'!D:D,"=Could",'Recommendations'!L:L,"=Testing")</f>
        <v>0</v>
      </c>
      <c r="E67" s="42">
        <f>COUNTIFS('Recommendations'!D:D,"=Could",'Recommendations'!L:L,"=Outstanding")</f>
        <v>0</v>
      </c>
      <c r="F67" s="42">
        <f>SUM(C67:E67)</f>
        <v>0</v>
      </c>
    </row>
    <row r="68" spans="2:6" x14ac:dyDescent="0.35">
      <c r="B68" s="41" t="s">
        <v>179</v>
      </c>
      <c r="C68" s="42">
        <f>COUNTIFS('Recommendations'!D:D,"Won't",'Recommendations'!L:L,"=Resolved")</f>
        <v>0</v>
      </c>
      <c r="D68" s="42">
        <f>COUNTIFS('Recommendations'!D:D,"=Won't",'Recommendations'!L:L,"=Testing")</f>
        <v>0</v>
      </c>
      <c r="E68" s="42">
        <f>COUNTIFS('Recommendations'!D:D,"=Won't",'Recommendations'!L:L,"=Outstanding")</f>
        <v>0</v>
      </c>
      <c r="F68" s="42">
        <f>SUM(C68:E68)</f>
        <v>0</v>
      </c>
    </row>
    <row r="69" spans="2:6" x14ac:dyDescent="0.35">
      <c r="B69" s="41" t="s">
        <v>16</v>
      </c>
      <c r="C69" s="42">
        <f>COUNTIFS('Recommendations'!D:D,"Unassigned",'Recommendations'!L:L,"=Resolved")</f>
        <v>0</v>
      </c>
      <c r="D69" s="42">
        <f>COUNTIFS('Recommendations'!D:D,"=Unassigned",'Recommendations'!L:L,"=Testing")</f>
        <v>0</v>
      </c>
      <c r="E69" s="42">
        <f>COUNTIFS('Recommendations'!D:D,"=Unassigned",'Recommendations'!L:L,"=Outstanding")</f>
        <v>14</v>
      </c>
      <c r="F69" s="42">
        <f>SUM(C69:E69)</f>
        <v>14</v>
      </c>
    </row>
    <row r="71" spans="2:6" x14ac:dyDescent="0.35">
      <c r="B71" s="51" t="s">
        <v>167</v>
      </c>
    </row>
    <row r="72" spans="2:6" x14ac:dyDescent="0.35">
      <c r="B72" s="52" t="s">
        <v>3</v>
      </c>
      <c r="C72" s="52" t="s">
        <v>162</v>
      </c>
      <c r="D72" s="52" t="s">
        <v>163</v>
      </c>
      <c r="E72" s="52" t="s">
        <v>164</v>
      </c>
      <c r="F72" s="52" t="s">
        <v>19</v>
      </c>
    </row>
    <row r="73" spans="2:6" x14ac:dyDescent="0.35">
      <c r="B73" s="41" t="s">
        <v>176</v>
      </c>
      <c r="C73" s="43">
        <f>IF(F65&gt;0, C65/F65, 0)</f>
        <v>0</v>
      </c>
      <c r="D73" s="43">
        <f>IF(F65&gt;0, D65/F65, 0)</f>
        <v>0</v>
      </c>
      <c r="E73" s="43">
        <f>IF(F65&gt;0, E65/F65, 0)</f>
        <v>0</v>
      </c>
      <c r="F73" s="44" t="s">
        <v>19</v>
      </c>
    </row>
    <row r="74" spans="2:6" x14ac:dyDescent="0.35">
      <c r="B74" s="41" t="s">
        <v>177</v>
      </c>
      <c r="C74" s="43">
        <f>IF(F66&gt;0, C66/F66, 0)</f>
        <v>0</v>
      </c>
      <c r="D74" s="43">
        <f>IF(F66&gt;0, D66/F66, 0)</f>
        <v>0</v>
      </c>
      <c r="E74" s="43">
        <f>IF(F66&gt;0, E66/F66, 0)</f>
        <v>0</v>
      </c>
      <c r="F74" s="44" t="s">
        <v>19</v>
      </c>
    </row>
    <row r="75" spans="2:6" x14ac:dyDescent="0.35">
      <c r="B75" s="41" t="s">
        <v>178</v>
      </c>
      <c r="C75" s="43">
        <f>IF(F67&gt;0, C67/F67, 0)</f>
        <v>0</v>
      </c>
      <c r="D75" s="43">
        <f>IF(F67&gt;0, D67/F67, 0)</f>
        <v>0</v>
      </c>
      <c r="E75" s="43">
        <f>IF(F67&gt;0, E67/F67, 0)</f>
        <v>0</v>
      </c>
      <c r="F75" s="44" t="s">
        <v>19</v>
      </c>
    </row>
    <row r="76" spans="2:6" x14ac:dyDescent="0.35">
      <c r="B76" s="41" t="s">
        <v>179</v>
      </c>
      <c r="C76" s="43">
        <f>IF(F68&gt;0, C68/F68, 0)</f>
        <v>0</v>
      </c>
      <c r="D76" s="43">
        <f>IF(F68&gt;0, D68/F68, 0)</f>
        <v>0</v>
      </c>
      <c r="E76" s="43">
        <f>IF(F68&gt;0, E68/F68, 0)</f>
        <v>0</v>
      </c>
      <c r="F76" s="44" t="s">
        <v>19</v>
      </c>
    </row>
    <row r="77" spans="2:6" x14ac:dyDescent="0.35">
      <c r="B77" s="41" t="s">
        <v>16</v>
      </c>
      <c r="C77" s="43">
        <f>IF(F69&gt;0, C69/F69, 0)</f>
        <v>0</v>
      </c>
      <c r="D77" s="43">
        <f>IF(F69&gt;0, D69/F69, 0)</f>
        <v>0</v>
      </c>
      <c r="E77" s="43">
        <f>IF(F69&gt;0, E69/F69, 0)</f>
        <v>1</v>
      </c>
      <c r="F77" s="44" t="s">
        <v>19</v>
      </c>
    </row>
    <row r="82" spans="2:6" ht="18.5" x14ac:dyDescent="0.45">
      <c r="B82" s="37" t="s">
        <v>180</v>
      </c>
    </row>
    <row r="84" spans="2:6" x14ac:dyDescent="0.35">
      <c r="B84" s="51" t="s">
        <v>161</v>
      </c>
    </row>
    <row r="85" spans="2:6" x14ac:dyDescent="0.35">
      <c r="B85" s="39" t="s">
        <v>181</v>
      </c>
      <c r="C85" s="39" t="s">
        <v>162</v>
      </c>
      <c r="D85" s="39" t="s">
        <v>163</v>
      </c>
      <c r="E85" s="39" t="s">
        <v>164</v>
      </c>
      <c r="F85" s="39" t="s">
        <v>165</v>
      </c>
    </row>
    <row r="86" spans="2:6" x14ac:dyDescent="0.35">
      <c r="B86" s="41" t="s">
        <v>182</v>
      </c>
      <c r="C86" s="42">
        <f>COUNTIFS('Recommendations'!E:E,"Low",'Recommendations'!L:L,"=Resolved")</f>
        <v>0</v>
      </c>
      <c r="D86" s="42">
        <f>COUNTIFS('Recommendations'!E:E,"=Low",'Recommendations'!L:L,"=Testing")</f>
        <v>0</v>
      </c>
      <c r="E86" s="42">
        <f>COUNTIFS('Recommendations'!E:E,"=Low",'Recommendations'!L:L,"=Outstanding")</f>
        <v>0</v>
      </c>
      <c r="F86" s="42">
        <f>SUM(C86:E86)</f>
        <v>0</v>
      </c>
    </row>
    <row r="87" spans="2:6" x14ac:dyDescent="0.35">
      <c r="B87" s="41" t="s">
        <v>183</v>
      </c>
      <c r="C87" s="42">
        <f>COUNTIFS('Recommendations'!E:E,"Medium",'Recommendations'!L:L,"=Resolved")</f>
        <v>0</v>
      </c>
      <c r="D87" s="42">
        <f>COUNTIFS('Recommendations'!E:E,"=Medium",'Recommendations'!L:L,"=Testing")</f>
        <v>0</v>
      </c>
      <c r="E87" s="42">
        <f>COUNTIFS('Recommendations'!E:E,"=Medium",'Recommendations'!L:L,"=Outstanding")</f>
        <v>0</v>
      </c>
      <c r="F87" s="42">
        <f>SUM(C87:E87)</f>
        <v>0</v>
      </c>
    </row>
    <row r="88" spans="2:6" x14ac:dyDescent="0.35">
      <c r="B88" s="41" t="s">
        <v>184</v>
      </c>
      <c r="C88" s="42">
        <f>COUNTIFS('Recommendations'!E:E,"High",'Recommendations'!L:L,"=Resolved")</f>
        <v>0</v>
      </c>
      <c r="D88" s="42">
        <f>COUNTIFS('Recommendations'!E:E,"=High",'Recommendations'!L:L,"=Testing")</f>
        <v>0</v>
      </c>
      <c r="E88" s="42">
        <f>COUNTIFS('Recommendations'!E:E,"=High",'Recommendations'!L:L,"=Outstanding")</f>
        <v>0</v>
      </c>
      <c r="F88" s="42">
        <f>SUM(C88:E88)</f>
        <v>0</v>
      </c>
    </row>
    <row r="89" spans="2:6" x14ac:dyDescent="0.35">
      <c r="B89" s="41" t="s">
        <v>17</v>
      </c>
      <c r="C89" s="42">
        <f>COUNTIFS('Recommendations'!E:E,"Unassessed",'Recommendations'!L:L,"=Resolved")</f>
        <v>0</v>
      </c>
      <c r="D89" s="42">
        <f>COUNTIFS('Recommendations'!E:E,"=Unassessed",'Recommendations'!L:L,"=Testing")</f>
        <v>0</v>
      </c>
      <c r="E89" s="42">
        <f>COUNTIFS('Recommendations'!E:E,"=Unassessed",'Recommendations'!L:L,"=Outstanding")</f>
        <v>14</v>
      </c>
      <c r="F89" s="42">
        <f>SUM(C89:E89)</f>
        <v>14</v>
      </c>
    </row>
    <row r="91" spans="2:6" x14ac:dyDescent="0.35">
      <c r="B91" s="51" t="s">
        <v>167</v>
      </c>
    </row>
    <row r="92" spans="2:6" x14ac:dyDescent="0.35">
      <c r="B92" s="52" t="s">
        <v>181</v>
      </c>
      <c r="C92" s="52" t="s">
        <v>162</v>
      </c>
      <c r="D92" s="52" t="s">
        <v>163</v>
      </c>
      <c r="E92" s="52" t="s">
        <v>164</v>
      </c>
      <c r="F92" s="52" t="s">
        <v>19</v>
      </c>
    </row>
    <row r="93" spans="2:6" x14ac:dyDescent="0.35">
      <c r="B93" s="41" t="s">
        <v>182</v>
      </c>
      <c r="C93" s="43">
        <f>IF(F86&gt;0, C86/F86, 0)</f>
        <v>0</v>
      </c>
      <c r="D93" s="43">
        <f>IF(F86&gt;0, D86/F86, 0)</f>
        <v>0</v>
      </c>
      <c r="E93" s="43">
        <f>IF(F86&gt;0, E86/F86, 0)</f>
        <v>0</v>
      </c>
      <c r="F93" s="44" t="s">
        <v>19</v>
      </c>
    </row>
    <row r="94" spans="2:6" x14ac:dyDescent="0.35">
      <c r="B94" s="41" t="s">
        <v>183</v>
      </c>
      <c r="C94" s="43">
        <f>IF(F87&gt;0, C87/F87, 0)</f>
        <v>0</v>
      </c>
      <c r="D94" s="43">
        <f>IF(F87&gt;0, D87/F87, 0)</f>
        <v>0</v>
      </c>
      <c r="E94" s="43">
        <f>IF(F87&gt;0, E87/F87, 0)</f>
        <v>0</v>
      </c>
      <c r="F94" s="44" t="s">
        <v>19</v>
      </c>
    </row>
    <row r="95" spans="2:6" x14ac:dyDescent="0.35">
      <c r="B95" s="41" t="s">
        <v>184</v>
      </c>
      <c r="C95" s="43">
        <f>IF(F88&gt;0, C88/F88, 0)</f>
        <v>0</v>
      </c>
      <c r="D95" s="43">
        <f>IF(F88&gt;0, D88/F88, 0)</f>
        <v>0</v>
      </c>
      <c r="E95" s="43">
        <f>IF(F88&gt;0, E88/F88, 0)</f>
        <v>0</v>
      </c>
      <c r="F95" s="44" t="s">
        <v>19</v>
      </c>
    </row>
    <row r="96" spans="2:6" x14ac:dyDescent="0.35">
      <c r="B96" s="41" t="s">
        <v>17</v>
      </c>
      <c r="C96" s="43">
        <f>IF(F89&gt;0, C89/F89, 0)</f>
        <v>0</v>
      </c>
      <c r="D96" s="43">
        <f>IF(F89&gt;0, D89/F89, 0)</f>
        <v>0</v>
      </c>
      <c r="E96" s="43">
        <f>IF(F89&gt;0, E89/F89, 0)</f>
        <v>1</v>
      </c>
      <c r="F96" s="44" t="s">
        <v>19</v>
      </c>
    </row>
    <row r="101" spans="2:15" ht="18.5" x14ac:dyDescent="0.45">
      <c r="B101" s="37" t="s">
        <v>185</v>
      </c>
      <c r="J101" s="37" t="s">
        <v>186</v>
      </c>
    </row>
    <row r="102" spans="2:15" x14ac:dyDescent="0.35">
      <c r="B102" s="39" t="s">
        <v>5</v>
      </c>
      <c r="C102" s="84" t="s">
        <v>187</v>
      </c>
      <c r="D102" s="84"/>
      <c r="E102" s="39" t="s">
        <v>154</v>
      </c>
      <c r="F102" s="39" t="s">
        <v>162</v>
      </c>
      <c r="G102" s="84" t="s">
        <v>188</v>
      </c>
      <c r="H102" s="84"/>
      <c r="J102" s="39" t="s">
        <v>5</v>
      </c>
      <c r="K102" s="39" t="s">
        <v>176</v>
      </c>
      <c r="L102" s="39" t="s">
        <v>177</v>
      </c>
      <c r="M102" s="39" t="s">
        <v>178</v>
      </c>
      <c r="N102" s="39" t="s">
        <v>179</v>
      </c>
      <c r="O102" s="39" t="s">
        <v>16</v>
      </c>
    </row>
    <row r="103" spans="2:15" x14ac:dyDescent="0.35">
      <c r="B103" s="45" t="s">
        <v>169</v>
      </c>
      <c r="C103" s="85" t="s">
        <v>19</v>
      </c>
      <c r="D103" s="85"/>
      <c r="E103" s="42">
        <f>COUNTIF('Recommendations'!F:F,"Phase1")-COUNTIFS('Recommendations'!F:F,"Phase1",'Recommendations'!G:G,"Risk Accepted")-COUNTIFS('Recommendations'!F:F,"Phase1",'Recommendations'!G:G,"N/A")</f>
        <v>0</v>
      </c>
      <c r="F103" s="42">
        <f>COUNTIFS('Recommendations'!F:F,"Phase1",'Recommendations'!L:L,"Resolved")</f>
        <v>0</v>
      </c>
      <c r="G103" s="86">
        <f t="shared" ref="G103:G108" si="4">IF(E103&gt;0,F103/E103,0)</f>
        <v>0</v>
      </c>
      <c r="H103" s="86"/>
      <c r="J103" s="45" t="s">
        <v>169</v>
      </c>
      <c r="K103" s="42">
        <f>COUNTIFS('Recommendations'!F:F,"Phase1",'Recommendations'!D:D,"Must")</f>
        <v>0</v>
      </c>
      <c r="L103" s="42">
        <f>COUNTIFS('Recommendations'!F:F,"Phase1",'Recommendations'!D:D,"Should")</f>
        <v>0</v>
      </c>
      <c r="M103" s="42">
        <f>COUNTIFS('Recommendations'!F:F,"Phase1",'Recommendations'!D:D,"Could")</f>
        <v>0</v>
      </c>
      <c r="N103" s="42">
        <f>COUNTIFS('Recommendations'!F:F,"Phase1",'Recommendations'!D:D,"Won't")</f>
        <v>0</v>
      </c>
      <c r="O103" s="42">
        <f>COUNTIFS('Recommendations'!F:F,"Phase1",'Recommendations'!D:D,"Unassigned")</f>
        <v>0</v>
      </c>
    </row>
    <row r="104" spans="2:15" x14ac:dyDescent="0.35">
      <c r="B104" s="45" t="s">
        <v>170</v>
      </c>
      <c r="C104" s="85" t="s">
        <v>19</v>
      </c>
      <c r="D104" s="85"/>
      <c r="E104" s="42">
        <f>COUNTIF('Recommendations'!F:F,"Phase2")-COUNTIFS('Recommendations'!F:F,"Phase2",'Recommendations'!G:G,"Risk Accepted")-COUNTIFS('Recommendations'!F:F,"Phase2",'Recommendations'!G:G,"N/A")</f>
        <v>0</v>
      </c>
      <c r="F104" s="42">
        <f>COUNTIFS('Recommendations'!F:F,"Phase2",'Recommendations'!L:L,"Resolved")</f>
        <v>0</v>
      </c>
      <c r="G104" s="86">
        <f t="shared" si="4"/>
        <v>0</v>
      </c>
      <c r="H104" s="86"/>
      <c r="J104" s="45" t="s">
        <v>170</v>
      </c>
      <c r="K104" s="42">
        <f>COUNTIFS('Recommendations'!F:F,"Phase2",'Recommendations'!D:D,"Must")</f>
        <v>0</v>
      </c>
      <c r="L104" s="42">
        <f>COUNTIFS('Recommendations'!F:F,"Phase2",'Recommendations'!D:D,"Should")</f>
        <v>0</v>
      </c>
      <c r="M104" s="42">
        <f>COUNTIFS('Recommendations'!F:F,"Phase2",'Recommendations'!D:D,"Could")</f>
        <v>0</v>
      </c>
      <c r="N104" s="42">
        <f>COUNTIFS('Recommendations'!F:F,"Phase2",'Recommendations'!D:D,"Won't")</f>
        <v>0</v>
      </c>
      <c r="O104" s="42">
        <f>COUNTIFS('Recommendations'!F:F,"Phase2",'Recommendations'!D:D,"Unassigned")</f>
        <v>0</v>
      </c>
    </row>
    <row r="105" spans="2:15" x14ac:dyDescent="0.35">
      <c r="B105" s="45" t="s">
        <v>171</v>
      </c>
      <c r="C105" s="85" t="s">
        <v>19</v>
      </c>
      <c r="D105" s="85"/>
      <c r="E105" s="42">
        <f>COUNTIF('Recommendations'!F:F,"Phase3")-COUNTIFS('Recommendations'!F:F,"Phase3",'Recommendations'!G:G,"Risk Accepted")-COUNTIFS('Recommendations'!F:F,"Phase3",'Recommendations'!G:G,"N/A")</f>
        <v>0</v>
      </c>
      <c r="F105" s="42">
        <f>COUNTIFS('Recommendations'!F:F,"Phase3",'Recommendations'!L:L,"Resolved")</f>
        <v>0</v>
      </c>
      <c r="G105" s="86">
        <f t="shared" si="4"/>
        <v>0</v>
      </c>
      <c r="H105" s="86"/>
      <c r="J105" s="45" t="s">
        <v>171</v>
      </c>
      <c r="K105" s="42">
        <f>COUNTIFS('Recommendations'!F:F,"Phase3",'Recommendations'!D:D,"Must")</f>
        <v>0</v>
      </c>
      <c r="L105" s="42">
        <f>COUNTIFS('Recommendations'!F:F,"Phase3",'Recommendations'!D:D,"Should")</f>
        <v>0</v>
      </c>
      <c r="M105" s="42">
        <f>COUNTIFS('Recommendations'!F:F,"Phase3",'Recommendations'!D:D,"Could")</f>
        <v>0</v>
      </c>
      <c r="N105" s="42">
        <f>COUNTIFS('Recommendations'!F:F,"Phase3",'Recommendations'!D:D,"Won't")</f>
        <v>0</v>
      </c>
      <c r="O105" s="42">
        <f>COUNTIFS('Recommendations'!F:F,"Phase3",'Recommendations'!D:D,"Unassigned")</f>
        <v>0</v>
      </c>
    </row>
    <row r="106" spans="2:15" x14ac:dyDescent="0.35">
      <c r="B106" s="45" t="s">
        <v>172</v>
      </c>
      <c r="C106" s="85" t="s">
        <v>19</v>
      </c>
      <c r="D106" s="85"/>
      <c r="E106" s="42">
        <f>COUNTIF('Recommendations'!F:F,"Phase4")-COUNTIFS('Recommendations'!F:F,"Phase4",'Recommendations'!G:G,"Risk Accepted")-COUNTIFS('Recommendations'!F:F,"Phase4",'Recommendations'!G:G,"N/A")</f>
        <v>0</v>
      </c>
      <c r="F106" s="42">
        <f>COUNTIFS('Recommendations'!F:F,"Phase4",'Recommendations'!L:L,"Resolved")</f>
        <v>0</v>
      </c>
      <c r="G106" s="86">
        <f t="shared" si="4"/>
        <v>0</v>
      </c>
      <c r="H106" s="86"/>
      <c r="J106" s="45" t="s">
        <v>172</v>
      </c>
      <c r="K106" s="42">
        <f>COUNTIFS('Recommendations'!F:F,"Phase4",'Recommendations'!D:D,"Must")</f>
        <v>0</v>
      </c>
      <c r="L106" s="42">
        <f>COUNTIFS('Recommendations'!F:F,"Phase4",'Recommendations'!D:D,"Should")</f>
        <v>0</v>
      </c>
      <c r="M106" s="42">
        <f>COUNTIFS('Recommendations'!F:F,"Phase4",'Recommendations'!D:D,"Could")</f>
        <v>0</v>
      </c>
      <c r="N106" s="42">
        <f>COUNTIFS('Recommendations'!F:F,"Phase4",'Recommendations'!D:D,"Won't")</f>
        <v>0</v>
      </c>
      <c r="O106" s="42">
        <f>COUNTIFS('Recommendations'!F:F,"Phase4",'Recommendations'!D:D,"Unassigned")</f>
        <v>0</v>
      </c>
    </row>
    <row r="107" spans="2:15" x14ac:dyDescent="0.35">
      <c r="B107" s="45" t="s">
        <v>173</v>
      </c>
      <c r="C107" s="85" t="s">
        <v>19</v>
      </c>
      <c r="D107" s="85"/>
      <c r="E107" s="42">
        <f>COUNTIF('Recommendations'!F:F,"Phase5")-COUNTIFS('Recommendations'!F:F,"Phase5",'Recommendations'!G:G,"Risk Accepted")-COUNTIFS('Recommendations'!F:F,"Phase5",'Recommendations'!G:G,"N/A")</f>
        <v>0</v>
      </c>
      <c r="F107" s="42">
        <f>COUNTIFS('Recommendations'!F:F,"Phase5",'Recommendations'!L:L,"Resolved")</f>
        <v>0</v>
      </c>
      <c r="G107" s="86">
        <f t="shared" si="4"/>
        <v>0</v>
      </c>
      <c r="H107" s="86"/>
      <c r="J107" s="45" t="s">
        <v>173</v>
      </c>
      <c r="K107" s="42">
        <f>COUNTIFS('Recommendations'!F:F,"Phase5",'Recommendations'!D:D,"Must")</f>
        <v>0</v>
      </c>
      <c r="L107" s="42">
        <f>COUNTIFS('Recommendations'!F:F,"Phase5",'Recommendations'!D:D,"Should")</f>
        <v>0</v>
      </c>
      <c r="M107" s="42">
        <f>COUNTIFS('Recommendations'!F:F,"Phase5",'Recommendations'!D:D,"Could")</f>
        <v>0</v>
      </c>
      <c r="N107" s="42">
        <f>COUNTIFS('Recommendations'!F:F,"Phase5",'Recommendations'!D:D,"Won't")</f>
        <v>0</v>
      </c>
      <c r="O107" s="42">
        <f>COUNTIFS('Recommendations'!F:F,"Phase5",'Recommendations'!D:D,"Unassigned")</f>
        <v>0</v>
      </c>
    </row>
    <row r="108" spans="2:15" x14ac:dyDescent="0.35">
      <c r="B108" s="45" t="s">
        <v>18</v>
      </c>
      <c r="C108" s="85" t="s">
        <v>19</v>
      </c>
      <c r="D108" s="85"/>
      <c r="E108" s="42">
        <f>COUNTIF('Recommendations'!F:F,"Pending")-COUNTIFS('Recommendations'!F:F,"Pending",'Recommendations'!G:G,"Risk Accepted")-COUNTIFS('Recommendations'!F:F,"Pending",'Recommendations'!G:G,"N/A")</f>
        <v>14</v>
      </c>
      <c r="F108" s="42">
        <f>COUNTIFS('Recommendations'!F:F,"Pending",'Recommendations'!L:L,"Resolved")</f>
        <v>0</v>
      </c>
      <c r="G108" s="86">
        <f t="shared" si="4"/>
        <v>0</v>
      </c>
      <c r="H108" s="86"/>
      <c r="J108" s="45" t="s">
        <v>18</v>
      </c>
      <c r="K108" s="42">
        <f>COUNTIFS('Recommendations'!F:F,"Pending",'Recommendations'!D:D,"Must")</f>
        <v>0</v>
      </c>
      <c r="L108" s="42">
        <f>COUNTIFS('Recommendations'!F:F,"Pending",'Recommendations'!D:D,"Should")</f>
        <v>0</v>
      </c>
      <c r="M108" s="42">
        <f>COUNTIFS('Recommendations'!F:F,"Pending",'Recommendations'!D:D,"Could")</f>
        <v>0</v>
      </c>
      <c r="N108" s="42">
        <f>COUNTIFS('Recommendations'!F:F,"Pending",'Recommendations'!D:D,"Won't")</f>
        <v>0</v>
      </c>
      <c r="O108" s="42">
        <f>COUNTIFS('Recommendations'!F:F,"Pending",'Recommendations'!D:D,"Unassigned")</f>
        <v>14</v>
      </c>
    </row>
    <row r="115" spans="2:24" ht="21" x14ac:dyDescent="0.5">
      <c r="B115" s="37" t="s">
        <v>189</v>
      </c>
      <c r="P115" s="54" t="s">
        <v>190</v>
      </c>
    </row>
    <row r="117" spans="2:24" ht="60" customHeight="1" x14ac:dyDescent="0.35">
      <c r="B117" s="87" t="s">
        <v>191</v>
      </c>
      <c r="C117" s="80"/>
      <c r="D117" s="80"/>
      <c r="E117" s="80"/>
      <c r="F117" s="80"/>
      <c r="P117" s="87" t="s">
        <v>192</v>
      </c>
      <c r="Q117" s="80"/>
      <c r="R117" s="80"/>
      <c r="S117" s="80"/>
      <c r="T117" s="80"/>
      <c r="U117" s="80"/>
      <c r="V117" s="80"/>
      <c r="W117" s="80"/>
    </row>
    <row r="119" spans="2:24" ht="30" customHeight="1" x14ac:dyDescent="0.35">
      <c r="P119" s="55" t="s">
        <v>193</v>
      </c>
      <c r="Q119" s="56">
        <f>C16</f>
        <v>0</v>
      </c>
      <c r="R119" s="57"/>
      <c r="S119" s="56">
        <f>C65</f>
        <v>0</v>
      </c>
      <c r="T119" s="57"/>
      <c r="U119" s="56">
        <f>C66</f>
        <v>0</v>
      </c>
      <c r="V119" s="57"/>
      <c r="W119" s="56">
        <f>C67</f>
        <v>0</v>
      </c>
      <c r="X119" s="57"/>
    </row>
    <row r="120" spans="2:24" ht="35" customHeight="1" x14ac:dyDescent="0.35">
      <c r="P120" s="58" t="s">
        <v>194</v>
      </c>
      <c r="Q120" s="58" t="s">
        <v>195</v>
      </c>
      <c r="R120" s="58" t="s">
        <v>196</v>
      </c>
      <c r="S120" s="58" t="s">
        <v>197</v>
      </c>
      <c r="T120" s="58" t="s">
        <v>198</v>
      </c>
      <c r="U120" s="58" t="s">
        <v>199</v>
      </c>
      <c r="V120" s="58" t="s">
        <v>200</v>
      </c>
      <c r="W120" s="58" t="s">
        <v>201</v>
      </c>
      <c r="X120" s="58" t="s">
        <v>202</v>
      </c>
    </row>
    <row r="121" spans="2:24" x14ac:dyDescent="0.35">
      <c r="O121" s="59" t="s">
        <v>203</v>
      </c>
      <c r="P121" s="60" t="s">
        <v>204</v>
      </c>
      <c r="Q121" s="61">
        <v>0</v>
      </c>
      <c r="R121" s="62">
        <f>IF(Dashboard!F16&gt;0, Q121/Dashboard!F16, "")</f>
        <v>0</v>
      </c>
      <c r="S121" s="61">
        <v>0</v>
      </c>
      <c r="T121" s="62" t="str">
        <f>IF(AND(NOT(ISBLANK(S121)),Dashboard!F65&gt;0), S121/Dashboard!F65, "")</f>
        <v/>
      </c>
      <c r="U121" s="61">
        <v>0</v>
      </c>
      <c r="V121" s="62" t="str">
        <f>IF(AND(NOT(ISBLANK(U121)),Dashboard!F66&gt;0), U121/Dashboard!F66, "")</f>
        <v/>
      </c>
      <c r="W121" s="61">
        <v>0</v>
      </c>
      <c r="X121" s="62" t="str">
        <f>IF(AND(NOT(ISBLANK(W121)),Dashboard!F67&gt;0), W121/Dashboard!F67, "")</f>
        <v/>
      </c>
    </row>
    <row r="122" spans="2:24" x14ac:dyDescent="0.35">
      <c r="P122" s="53"/>
      <c r="Q122" s="40"/>
      <c r="R122" s="43" t="str">
        <f>IF(AND(NOT(ISBLANK(Q122)),Dashboard!F16&gt;0), Q122/Dashboard!F16, "")</f>
        <v/>
      </c>
      <c r="S122" s="40"/>
      <c r="T122" s="43" t="str">
        <f>IF(AND(NOT(ISBLANK(S122)),Dashboard!F65&gt;0), S122/Dashboard!F65, "")</f>
        <v/>
      </c>
      <c r="U122" s="40"/>
      <c r="V122" s="43" t="str">
        <f>IF(AND(NOT(ISBLANK(U122)),Dashboard!F66&gt;0), U122/Dashboard!F66, "")</f>
        <v/>
      </c>
      <c r="W122" s="40"/>
      <c r="X122" s="43" t="str">
        <f>IF(AND(NOT(ISBLANK(W122)),Dashboard!F67&gt;0), W122/Dashboard!F67, "")</f>
        <v/>
      </c>
    </row>
    <row r="123" spans="2:24" x14ac:dyDescent="0.35">
      <c r="P123" s="53"/>
      <c r="Q123" s="40"/>
      <c r="R123" s="43" t="str">
        <f>IF(AND(NOT(ISBLANK(Q123)),Dashboard!F16&gt;0), Q123/Dashboard!F16, "")</f>
        <v/>
      </c>
      <c r="S123" s="40"/>
      <c r="T123" s="43" t="str">
        <f>IF(AND(NOT(ISBLANK(S123)),Dashboard!F65&gt;0), S123/Dashboard!F65, "")</f>
        <v/>
      </c>
      <c r="U123" s="40"/>
      <c r="V123" s="43" t="str">
        <f>IF(AND(NOT(ISBLANK(U123)),Dashboard!F66&gt;0), U123/Dashboard!F66, "")</f>
        <v/>
      </c>
      <c r="W123" s="40"/>
      <c r="X123" s="43" t="str">
        <f>IF(AND(NOT(ISBLANK(W123)),Dashboard!F67&gt;0), W123/Dashboard!F67, "")</f>
        <v/>
      </c>
    </row>
    <row r="124" spans="2:24" x14ac:dyDescent="0.35">
      <c r="P124" s="53"/>
      <c r="Q124" s="40"/>
      <c r="R124" s="43" t="str">
        <f>IF(AND(NOT(ISBLANK(Q124)),Dashboard!F16&gt;0), Q124/Dashboard!F16, "")</f>
        <v/>
      </c>
      <c r="S124" s="40"/>
      <c r="T124" s="43" t="str">
        <f>IF(AND(NOT(ISBLANK(S124)),Dashboard!F65&gt;0), S124/Dashboard!F65, "")</f>
        <v/>
      </c>
      <c r="U124" s="40"/>
      <c r="V124" s="43" t="str">
        <f>IF(AND(NOT(ISBLANK(U124)),Dashboard!F66&gt;0), U124/Dashboard!F66, "")</f>
        <v/>
      </c>
      <c r="W124" s="40"/>
      <c r="X124" s="43" t="str">
        <f>IF(AND(NOT(ISBLANK(W124)),Dashboard!F67&gt;0), W124/Dashboard!F67, "")</f>
        <v/>
      </c>
    </row>
    <row r="125" spans="2:24" x14ac:dyDescent="0.35">
      <c r="P125" s="53"/>
      <c r="Q125" s="40"/>
      <c r="R125" s="43" t="str">
        <f>IF(AND(NOT(ISBLANK(Q125)),Dashboard!F16&gt;0), Q125/Dashboard!F16, "")</f>
        <v/>
      </c>
      <c r="S125" s="40"/>
      <c r="T125" s="43" t="str">
        <f>IF(AND(NOT(ISBLANK(S125)),Dashboard!F65&gt;0), S125/Dashboard!F65, "")</f>
        <v/>
      </c>
      <c r="U125" s="40"/>
      <c r="V125" s="43" t="str">
        <f>IF(AND(NOT(ISBLANK(U125)),Dashboard!F66&gt;0), U125/Dashboard!F66, "")</f>
        <v/>
      </c>
      <c r="W125" s="40"/>
      <c r="X125" s="43" t="str">
        <f>IF(AND(NOT(ISBLANK(W125)),Dashboard!F67&gt;0), W125/Dashboard!F67, "")</f>
        <v/>
      </c>
    </row>
    <row r="126" spans="2:24" x14ac:dyDescent="0.35">
      <c r="P126" s="53"/>
      <c r="Q126" s="40"/>
      <c r="R126" s="43" t="str">
        <f>IF(AND(NOT(ISBLANK(Q126)),Dashboard!F16&gt;0), Q126/Dashboard!F16, "")</f>
        <v/>
      </c>
      <c r="S126" s="40"/>
      <c r="T126" s="43" t="str">
        <f>IF(AND(NOT(ISBLANK(S126)),Dashboard!F65&gt;0), S126/Dashboard!F65, "")</f>
        <v/>
      </c>
      <c r="U126" s="40"/>
      <c r="V126" s="43" t="str">
        <f>IF(AND(NOT(ISBLANK(U126)),Dashboard!F66&gt;0), U126/Dashboard!F66, "")</f>
        <v/>
      </c>
      <c r="W126" s="40"/>
      <c r="X126" s="43" t="str">
        <f>IF(AND(NOT(ISBLANK(W126)),Dashboard!F67&gt;0), W126/Dashboard!F67, "")</f>
        <v/>
      </c>
    </row>
    <row r="127" spans="2:24" x14ac:dyDescent="0.35">
      <c r="P127" s="53"/>
      <c r="Q127" s="40"/>
      <c r="R127" s="43" t="str">
        <f>IF(AND(NOT(ISBLANK(Q127)),Dashboard!F16&gt;0), Q127/Dashboard!F16, "")</f>
        <v/>
      </c>
      <c r="S127" s="40"/>
      <c r="T127" s="43" t="str">
        <f>IF(AND(NOT(ISBLANK(S127)),Dashboard!F65&gt;0), S127/Dashboard!F65, "")</f>
        <v/>
      </c>
      <c r="U127" s="40"/>
      <c r="V127" s="43" t="str">
        <f>IF(AND(NOT(ISBLANK(U127)),Dashboard!F66&gt;0), U127/Dashboard!F66, "")</f>
        <v/>
      </c>
      <c r="W127" s="40"/>
      <c r="X127" s="43" t="str">
        <f>IF(AND(NOT(ISBLANK(W127)),Dashboard!F67&gt;0), W127/Dashboard!F67, "")</f>
        <v/>
      </c>
    </row>
    <row r="128" spans="2:24" x14ac:dyDescent="0.35">
      <c r="P128" s="53"/>
      <c r="Q128" s="40"/>
      <c r="R128" s="43" t="str">
        <f>IF(AND(NOT(ISBLANK(Q128)),Dashboard!F16&gt;0), Q128/Dashboard!F16, "")</f>
        <v/>
      </c>
      <c r="S128" s="40"/>
      <c r="T128" s="43" t="str">
        <f>IF(AND(NOT(ISBLANK(S128)),Dashboard!F65&gt;0), S128/Dashboard!F65, "")</f>
        <v/>
      </c>
      <c r="U128" s="40"/>
      <c r="V128" s="43" t="str">
        <f>IF(AND(NOT(ISBLANK(U128)),Dashboard!F66&gt;0), U128/Dashboard!F66, "")</f>
        <v/>
      </c>
      <c r="W128" s="40"/>
      <c r="X128" s="43" t="str">
        <f>IF(AND(NOT(ISBLANK(W128)),Dashboard!F67&gt;0), W128/Dashboard!F67, "")</f>
        <v/>
      </c>
    </row>
    <row r="129" spans="16:24" x14ac:dyDescent="0.35">
      <c r="P129" s="53"/>
      <c r="Q129" s="40"/>
      <c r="R129" s="43" t="str">
        <f>IF(AND(NOT(ISBLANK(Q129)),Dashboard!F16&gt;0), Q129/Dashboard!F16, "")</f>
        <v/>
      </c>
      <c r="S129" s="40"/>
      <c r="T129" s="43" t="str">
        <f>IF(AND(NOT(ISBLANK(S129)),Dashboard!F65&gt;0), S129/Dashboard!F65, "")</f>
        <v/>
      </c>
      <c r="U129" s="40"/>
      <c r="V129" s="43" t="str">
        <f>IF(AND(NOT(ISBLANK(U129)),Dashboard!F66&gt;0), U129/Dashboard!F66, "")</f>
        <v/>
      </c>
      <c r="W129" s="40"/>
      <c r="X129" s="43" t="str">
        <f>IF(AND(NOT(ISBLANK(W129)),Dashboard!F67&gt;0), W129/Dashboard!F67, "")</f>
        <v/>
      </c>
    </row>
    <row r="130" spans="16:24" x14ac:dyDescent="0.35">
      <c r="P130" s="53"/>
      <c r="Q130" s="40"/>
      <c r="R130" s="43" t="str">
        <f>IF(AND(NOT(ISBLANK(Q130)),Dashboard!F16&gt;0), Q130/Dashboard!F16, "")</f>
        <v/>
      </c>
      <c r="S130" s="40"/>
      <c r="T130" s="43" t="str">
        <f>IF(AND(NOT(ISBLANK(S130)),Dashboard!F65&gt;0), S130/Dashboard!F65, "")</f>
        <v/>
      </c>
      <c r="U130" s="40"/>
      <c r="V130" s="43" t="str">
        <f>IF(AND(NOT(ISBLANK(U130)),Dashboard!F66&gt;0), U130/Dashboard!F66, "")</f>
        <v/>
      </c>
      <c r="W130" s="40"/>
      <c r="X130" s="43" t="str">
        <f>IF(AND(NOT(ISBLANK(W130)),Dashboard!F67&gt;0), W130/Dashboard!F67, "")</f>
        <v/>
      </c>
    </row>
    <row r="131" spans="16:24" x14ac:dyDescent="0.35">
      <c r="P131" s="53"/>
      <c r="Q131" s="40"/>
      <c r="R131" s="43" t="str">
        <f>IF(AND(NOT(ISBLANK(Q131)),Dashboard!F16&gt;0), Q131/Dashboard!F16, "")</f>
        <v/>
      </c>
      <c r="S131" s="40"/>
      <c r="T131" s="43" t="str">
        <f>IF(AND(NOT(ISBLANK(S131)),Dashboard!F65&gt;0), S131/Dashboard!F65, "")</f>
        <v/>
      </c>
      <c r="U131" s="40"/>
      <c r="V131" s="43" t="str">
        <f>IF(AND(NOT(ISBLANK(U131)),Dashboard!F66&gt;0), U131/Dashboard!F66, "")</f>
        <v/>
      </c>
      <c r="W131" s="40"/>
      <c r="X131" s="43" t="str">
        <f>IF(AND(NOT(ISBLANK(W131)),Dashboard!F67&gt;0), W131/Dashboard!F67, "")</f>
        <v/>
      </c>
    </row>
    <row r="132" spans="16:24" x14ac:dyDescent="0.35">
      <c r="P132" s="53"/>
      <c r="Q132" s="40"/>
      <c r="R132" s="43" t="str">
        <f>IF(AND(NOT(ISBLANK(Q132)),Dashboard!F16&gt;0), Q132/Dashboard!F16, "")</f>
        <v/>
      </c>
      <c r="S132" s="40"/>
      <c r="T132" s="43" t="str">
        <f>IF(AND(NOT(ISBLANK(S132)),Dashboard!F65&gt;0), S132/Dashboard!F65, "")</f>
        <v/>
      </c>
      <c r="U132" s="40"/>
      <c r="V132" s="43" t="str">
        <f>IF(AND(NOT(ISBLANK(U132)),Dashboard!F66&gt;0), U132/Dashboard!F66, "")</f>
        <v/>
      </c>
      <c r="W132" s="40"/>
      <c r="X132" s="43" t="str">
        <f>IF(AND(NOT(ISBLANK(W132)),Dashboard!F67&gt;0), W132/Dashboard!F67, "")</f>
        <v/>
      </c>
    </row>
    <row r="133" spans="16:24" x14ac:dyDescent="0.35">
      <c r="P133" s="53"/>
      <c r="Q133" s="40"/>
      <c r="R133" s="43" t="str">
        <f>IF(AND(NOT(ISBLANK(Q133)),Dashboard!F16&gt;0), Q133/Dashboard!F16, "")</f>
        <v/>
      </c>
      <c r="S133" s="40"/>
      <c r="T133" s="43" t="str">
        <f>IF(AND(NOT(ISBLANK(S133)),Dashboard!F65&gt;0), S133/Dashboard!F65, "")</f>
        <v/>
      </c>
      <c r="U133" s="40"/>
      <c r="V133" s="43" t="str">
        <f>IF(AND(NOT(ISBLANK(U133)),Dashboard!F66&gt;0), U133/Dashboard!F66, "")</f>
        <v/>
      </c>
      <c r="W133" s="40"/>
      <c r="X133" s="43" t="str">
        <f>IF(AND(NOT(ISBLANK(W133)),Dashboard!F67&gt;0), W133/Dashboard!F67, "")</f>
        <v/>
      </c>
    </row>
    <row r="134" spans="16:24" x14ac:dyDescent="0.35">
      <c r="P134" s="53"/>
      <c r="Q134" s="40"/>
      <c r="R134" s="43" t="str">
        <f>IF(AND(NOT(ISBLANK(Q134)),Dashboard!F16&gt;0), Q134/Dashboard!F16, "")</f>
        <v/>
      </c>
      <c r="S134" s="40"/>
      <c r="T134" s="43" t="str">
        <f>IF(AND(NOT(ISBLANK(S134)),Dashboard!F65&gt;0), S134/Dashboard!F65, "")</f>
        <v/>
      </c>
      <c r="U134" s="40"/>
      <c r="V134" s="43" t="str">
        <f>IF(AND(NOT(ISBLANK(U134)),Dashboard!F66&gt;0), U134/Dashboard!F66, "")</f>
        <v/>
      </c>
      <c r="W134" s="40"/>
      <c r="X134" s="43" t="str">
        <f>IF(AND(NOT(ISBLANK(W134)),Dashboard!F67&gt;0), W134/Dashboard!F67, "")</f>
        <v/>
      </c>
    </row>
    <row r="135" spans="16:24" x14ac:dyDescent="0.35">
      <c r="P135" s="53"/>
      <c r="Q135" s="40"/>
      <c r="R135" s="43" t="str">
        <f>IF(AND(NOT(ISBLANK(Q135)),Dashboard!F16&gt;0), Q135/Dashboard!F16, "")</f>
        <v/>
      </c>
      <c r="S135" s="40"/>
      <c r="T135" s="43" t="str">
        <f>IF(AND(NOT(ISBLANK(S135)),Dashboard!F65&gt;0), S135/Dashboard!F65, "")</f>
        <v/>
      </c>
      <c r="U135" s="40"/>
      <c r="V135" s="43" t="str">
        <f>IF(AND(NOT(ISBLANK(U135)),Dashboard!F66&gt;0), U135/Dashboard!F66, "")</f>
        <v/>
      </c>
      <c r="W135" s="40"/>
      <c r="X135" s="43" t="str">
        <f>IF(AND(NOT(ISBLANK(W135)),Dashboard!F67&gt;0), W135/Dashboard!F67, "")</f>
        <v/>
      </c>
    </row>
    <row r="136" spans="16:24" x14ac:dyDescent="0.35">
      <c r="P136" s="53"/>
      <c r="Q136" s="40"/>
      <c r="R136" s="43" t="str">
        <f>IF(AND(NOT(ISBLANK(Q136)),Dashboard!F16&gt;0), Q136/Dashboard!F16, "")</f>
        <v/>
      </c>
      <c r="S136" s="40"/>
      <c r="T136" s="43" t="str">
        <f>IF(AND(NOT(ISBLANK(S136)),Dashboard!F65&gt;0), S136/Dashboard!F65, "")</f>
        <v/>
      </c>
      <c r="U136" s="40"/>
      <c r="V136" s="43" t="str">
        <f>IF(AND(NOT(ISBLANK(U136)),Dashboard!F66&gt;0), U136/Dashboard!F66, "")</f>
        <v/>
      </c>
      <c r="W136" s="40"/>
      <c r="X136" s="43" t="str">
        <f>IF(AND(NOT(ISBLANK(W136)),Dashboard!F67&gt;0), W136/Dashboard!F67, "")</f>
        <v/>
      </c>
    </row>
    <row r="137" spans="16:24" x14ac:dyDescent="0.35">
      <c r="P137" s="53"/>
      <c r="Q137" s="40"/>
      <c r="R137" s="43" t="str">
        <f>IF(AND(NOT(ISBLANK(Q137)),Dashboard!F16&gt;0), Q137/Dashboard!F16, "")</f>
        <v/>
      </c>
      <c r="S137" s="40"/>
      <c r="T137" s="43" t="str">
        <f>IF(AND(NOT(ISBLANK(S137)),Dashboard!F65&gt;0), S137/Dashboard!F65, "")</f>
        <v/>
      </c>
      <c r="U137" s="40"/>
      <c r="V137" s="43" t="str">
        <f>IF(AND(NOT(ISBLANK(U137)),Dashboard!F66&gt;0), U137/Dashboard!F66, "")</f>
        <v/>
      </c>
      <c r="W137" s="40"/>
      <c r="X137" s="43" t="str">
        <f>IF(AND(NOT(ISBLANK(W137)),Dashboard!F67&gt;0), W137/Dashboard!F67, "")</f>
        <v/>
      </c>
    </row>
    <row r="138" spans="16:24" x14ac:dyDescent="0.35">
      <c r="P138" s="53"/>
      <c r="Q138" s="40"/>
      <c r="R138" s="43" t="str">
        <f>IF(AND(NOT(ISBLANK(Q138)),Dashboard!F16&gt;0), Q138/Dashboard!F16, "")</f>
        <v/>
      </c>
      <c r="S138" s="40"/>
      <c r="T138" s="43" t="str">
        <f>IF(AND(NOT(ISBLANK(S138)),Dashboard!F65&gt;0), S138/Dashboard!F65, "")</f>
        <v/>
      </c>
      <c r="U138" s="40"/>
      <c r="V138" s="43" t="str">
        <f>IF(AND(NOT(ISBLANK(U138)),Dashboard!F66&gt;0), U138/Dashboard!F66, "")</f>
        <v/>
      </c>
      <c r="W138" s="40"/>
      <c r="X138" s="43" t="str">
        <f>IF(AND(NOT(ISBLANK(W138)),Dashboard!F67&gt;0), W138/Dashboard!F67, "")</f>
        <v/>
      </c>
    </row>
    <row r="139" spans="16:24" x14ac:dyDescent="0.35">
      <c r="P139" s="53"/>
      <c r="Q139" s="40"/>
      <c r="R139" s="43" t="str">
        <f>IF(AND(NOT(ISBLANK(Q139)),Dashboard!F16&gt;0), Q139/Dashboard!F16, "")</f>
        <v/>
      </c>
      <c r="S139" s="40"/>
      <c r="T139" s="43" t="str">
        <f>IF(AND(NOT(ISBLANK(S139)),Dashboard!F65&gt;0), S139/Dashboard!F65, "")</f>
        <v/>
      </c>
      <c r="U139" s="40"/>
      <c r="V139" s="43" t="str">
        <f>IF(AND(NOT(ISBLANK(U139)),Dashboard!F66&gt;0), U139/Dashboard!F66, "")</f>
        <v/>
      </c>
      <c r="W139" s="40"/>
      <c r="X139" s="43" t="str">
        <f>IF(AND(NOT(ISBLANK(W139)),Dashboard!F67&gt;0), W139/Dashboard!F67, "")</f>
        <v/>
      </c>
    </row>
    <row r="140" spans="16:24" x14ac:dyDescent="0.35">
      <c r="P140" s="53"/>
      <c r="Q140" s="40"/>
      <c r="R140" s="43" t="str">
        <f>IF(AND(NOT(ISBLANK(Q140)),Dashboard!F16&gt;0), Q140/Dashboard!F16, "")</f>
        <v/>
      </c>
      <c r="S140" s="40"/>
      <c r="T140" s="43" t="str">
        <f>IF(AND(NOT(ISBLANK(S140)),Dashboard!F65&gt;0), S140/Dashboard!F65, "")</f>
        <v/>
      </c>
      <c r="U140" s="40"/>
      <c r="V140" s="43" t="str">
        <f>IF(AND(NOT(ISBLANK(U140)),Dashboard!F66&gt;0), U140/Dashboard!F66, "")</f>
        <v/>
      </c>
      <c r="W140" s="40"/>
      <c r="X140" s="43" t="str">
        <f>IF(AND(NOT(ISBLANK(W140)),Dashboard!F67&gt;0), W140/Dashboard!F67, "")</f>
        <v/>
      </c>
    </row>
    <row r="141" spans="16:24" x14ac:dyDescent="0.35">
      <c r="P141" s="53"/>
      <c r="Q141" s="40"/>
      <c r="R141" s="43" t="str">
        <f>IF(AND(NOT(ISBLANK(Q141)),Dashboard!F16&gt;0), Q141/Dashboard!F16, "")</f>
        <v/>
      </c>
      <c r="S141" s="40"/>
      <c r="T141" s="43" t="str">
        <f>IF(AND(NOT(ISBLANK(S141)),Dashboard!F65&gt;0), S141/Dashboard!F65, "")</f>
        <v/>
      </c>
      <c r="U141" s="40"/>
      <c r="V141" s="43" t="str">
        <f>IF(AND(NOT(ISBLANK(U141)),Dashboard!F66&gt;0), U141/Dashboard!F66, "")</f>
        <v/>
      </c>
      <c r="W141" s="40"/>
      <c r="X141" s="43" t="str">
        <f>IF(AND(NOT(ISBLANK(W141)),Dashboard!F67&gt;0), W141/Dashboard!F67, "")</f>
        <v/>
      </c>
    </row>
    <row r="142" spans="16:24" x14ac:dyDescent="0.35">
      <c r="P142" s="53"/>
      <c r="Q142" s="40"/>
      <c r="R142" s="43" t="str">
        <f>IF(AND(NOT(ISBLANK(Q142)),Dashboard!F16&gt;0), Q142/Dashboard!F16, "")</f>
        <v/>
      </c>
      <c r="S142" s="40"/>
      <c r="T142" s="43" t="str">
        <f>IF(AND(NOT(ISBLANK(S142)),Dashboard!F65&gt;0), S142/Dashboard!F65, "")</f>
        <v/>
      </c>
      <c r="U142" s="40"/>
      <c r="V142" s="43" t="str">
        <f>IF(AND(NOT(ISBLANK(U142)),Dashboard!F66&gt;0), U142/Dashboard!F66, "")</f>
        <v/>
      </c>
      <c r="W142" s="40"/>
      <c r="X142" s="43" t="str">
        <f>IF(AND(NOT(ISBLANK(W142)),Dashboard!F67&gt;0), W142/Dashboard!F67, "")</f>
        <v/>
      </c>
    </row>
    <row r="143" spans="16:24" x14ac:dyDescent="0.35">
      <c r="P143" s="53"/>
      <c r="Q143" s="40"/>
      <c r="R143" s="43" t="str">
        <f>IF(AND(NOT(ISBLANK(Q143)),Dashboard!F16&gt;0), Q143/Dashboard!F16, "")</f>
        <v/>
      </c>
      <c r="S143" s="40"/>
      <c r="T143" s="43" t="str">
        <f>IF(AND(NOT(ISBLANK(S143)),Dashboard!F65&gt;0), S143/Dashboard!F65, "")</f>
        <v/>
      </c>
      <c r="U143" s="40"/>
      <c r="V143" s="43" t="str">
        <f>IF(AND(NOT(ISBLANK(U143)),Dashboard!F66&gt;0), U143/Dashboard!F66, "")</f>
        <v/>
      </c>
      <c r="W143" s="40"/>
      <c r="X143" s="43" t="str">
        <f>IF(AND(NOT(ISBLANK(W143)),Dashboard!F67&gt;0), W143/Dashboard!F67, "")</f>
        <v/>
      </c>
    </row>
    <row r="144" spans="16:24" x14ac:dyDescent="0.35">
      <c r="P144" s="53"/>
      <c r="Q144" s="40"/>
      <c r="R144" s="43" t="str">
        <f>IF(AND(NOT(ISBLANK(Q144)),Dashboard!F16&gt;0), Q144/Dashboard!F16, "")</f>
        <v/>
      </c>
      <c r="S144" s="40"/>
      <c r="T144" s="43" t="str">
        <f>IF(AND(NOT(ISBLANK(S144)),Dashboard!F65&gt;0), S144/Dashboard!F65, "")</f>
        <v/>
      </c>
      <c r="U144" s="40"/>
      <c r="V144" s="43" t="str">
        <f>IF(AND(NOT(ISBLANK(U144)),Dashboard!F66&gt;0), U144/Dashboard!F66, "")</f>
        <v/>
      </c>
      <c r="W144" s="40"/>
      <c r="X144" s="43" t="str">
        <f>IF(AND(NOT(ISBLANK(W144)),Dashboard!F67&gt;0), W144/Dashboard!F67, "")</f>
        <v/>
      </c>
    </row>
    <row r="145" spans="2:24" x14ac:dyDescent="0.35">
      <c r="P145" s="53"/>
      <c r="Q145" s="40"/>
      <c r="R145" s="43" t="str">
        <f>IF(AND(NOT(ISBLANK(Q145)),Dashboard!F16&gt;0), Q145/Dashboard!F16, "")</f>
        <v/>
      </c>
      <c r="S145" s="40"/>
      <c r="T145" s="43" t="str">
        <f>IF(AND(NOT(ISBLANK(S145)),Dashboard!F65&gt;0), S145/Dashboard!F65, "")</f>
        <v/>
      </c>
      <c r="U145" s="40"/>
      <c r="V145" s="43" t="str">
        <f>IF(AND(NOT(ISBLANK(U145)),Dashboard!F66&gt;0), U145/Dashboard!F66, "")</f>
        <v/>
      </c>
      <c r="W145" s="40"/>
      <c r="X145" s="43" t="str">
        <f>IF(AND(NOT(ISBLANK(W145)),Dashboard!F67&gt;0), W145/Dashboard!F67, "")</f>
        <v/>
      </c>
    </row>
    <row r="146" spans="2:24" x14ac:dyDescent="0.35">
      <c r="P146" s="53"/>
      <c r="Q146" s="40"/>
      <c r="R146" s="43" t="str">
        <f>IF(AND(NOT(ISBLANK(Q146)),Dashboard!F16&gt;0), Q146/Dashboard!F16, "")</f>
        <v/>
      </c>
      <c r="S146" s="40"/>
      <c r="T146" s="43" t="str">
        <f>IF(AND(NOT(ISBLANK(S146)),Dashboard!F65&gt;0), S146/Dashboard!F65, "")</f>
        <v/>
      </c>
      <c r="U146" s="40"/>
      <c r="V146" s="43" t="str">
        <f>IF(AND(NOT(ISBLANK(U146)),Dashboard!F66&gt;0), U146/Dashboard!F66, "")</f>
        <v/>
      </c>
      <c r="W146" s="40"/>
      <c r="X146" s="43" t="str">
        <f>IF(AND(NOT(ISBLANK(W146)),Dashboard!F67&gt;0), W146/Dashboard!F67, "")</f>
        <v/>
      </c>
    </row>
    <row r="147" spans="2:24" x14ac:dyDescent="0.35">
      <c r="P147" s="53"/>
      <c r="Q147" s="40"/>
      <c r="R147" s="43" t="str">
        <f>IF(AND(NOT(ISBLANK(Q147)),Dashboard!F16&gt;0), Q147/Dashboard!F16, "")</f>
        <v/>
      </c>
      <c r="S147" s="40"/>
      <c r="T147" s="43" t="str">
        <f>IF(AND(NOT(ISBLANK(S147)),Dashboard!F65&gt;0), S147/Dashboard!F65, "")</f>
        <v/>
      </c>
      <c r="U147" s="40"/>
      <c r="V147" s="43" t="str">
        <f>IF(AND(NOT(ISBLANK(U147)),Dashboard!F66&gt;0), U147/Dashboard!F66, "")</f>
        <v/>
      </c>
      <c r="W147" s="40"/>
      <c r="X147" s="43" t="str">
        <f>IF(AND(NOT(ISBLANK(W147)),Dashboard!F67&gt;0), W147/Dashboard!F67, "")</f>
        <v/>
      </c>
    </row>
    <row r="148" spans="2:24" x14ac:dyDescent="0.35">
      <c r="P148" s="53"/>
      <c r="Q148" s="40"/>
      <c r="R148" s="43" t="str">
        <f>IF(AND(NOT(ISBLANK(Q148)),Dashboard!F16&gt;0), Q148/Dashboard!F16, "")</f>
        <v/>
      </c>
      <c r="S148" s="40"/>
      <c r="T148" s="43" t="str">
        <f>IF(AND(NOT(ISBLANK(S148)),Dashboard!F65&gt;0), S148/Dashboard!F65, "")</f>
        <v/>
      </c>
      <c r="U148" s="40"/>
      <c r="V148" s="43" t="str">
        <f>IF(AND(NOT(ISBLANK(U148)),Dashboard!F66&gt;0), U148/Dashboard!F66, "")</f>
        <v/>
      </c>
      <c r="W148" s="40"/>
      <c r="X148" s="43" t="str">
        <f>IF(AND(NOT(ISBLANK(W148)),Dashboard!F67&gt;0), W148/Dashboard!F67, "")</f>
        <v/>
      </c>
    </row>
    <row r="149" spans="2:24" x14ac:dyDescent="0.35">
      <c r="P149" s="53"/>
      <c r="Q149" s="40"/>
      <c r="R149" s="43" t="str">
        <f>IF(AND(NOT(ISBLANK(Q149)),Dashboard!F16&gt;0), Q149/Dashboard!F16, "")</f>
        <v/>
      </c>
      <c r="S149" s="40"/>
      <c r="T149" s="43" t="str">
        <f>IF(AND(NOT(ISBLANK(S149)),Dashboard!F65&gt;0), S149/Dashboard!F65, "")</f>
        <v/>
      </c>
      <c r="U149" s="40"/>
      <c r="V149" s="43" t="str">
        <f>IF(AND(NOT(ISBLANK(U149)),Dashboard!F66&gt;0), U149/Dashboard!F66, "")</f>
        <v/>
      </c>
      <c r="W149" s="40"/>
      <c r="X149" s="43" t="str">
        <f>IF(AND(NOT(ISBLANK(W149)),Dashboard!F67&gt;0), W149/Dashboard!F67, "")</f>
        <v/>
      </c>
    </row>
    <row r="150" spans="2:24" x14ac:dyDescent="0.35">
      <c r="P150" s="53"/>
      <c r="Q150" s="40"/>
      <c r="R150" s="43" t="str">
        <f>IF(AND(NOT(ISBLANK(Q150)),Dashboard!F16&gt;0), Q150/Dashboard!F16, "")</f>
        <v/>
      </c>
      <c r="S150" s="40"/>
      <c r="T150" s="43" t="str">
        <f>IF(AND(NOT(ISBLANK(S150)),Dashboard!F65&gt;0), S150/Dashboard!F65, "")</f>
        <v/>
      </c>
      <c r="U150" s="40"/>
      <c r="V150" s="43" t="str">
        <f>IF(AND(NOT(ISBLANK(U150)),Dashboard!F66&gt;0), U150/Dashboard!F66, "")</f>
        <v/>
      </c>
      <c r="W150" s="40"/>
      <c r="X150" s="43" t="str">
        <f>IF(AND(NOT(ISBLANK(W150)),Dashboard!F67&gt;0), W150/Dashboard!F67, "")</f>
        <v/>
      </c>
    </row>
    <row r="151" spans="2:24" x14ac:dyDescent="0.35">
      <c r="P151" s="53"/>
      <c r="Q151" s="40"/>
      <c r="R151" s="43" t="str">
        <f>IF(AND(NOT(ISBLANK(Q151)),Dashboard!F16&gt;0), Q151/Dashboard!F16, "")</f>
        <v/>
      </c>
      <c r="S151" s="40"/>
      <c r="T151" s="43" t="str">
        <f>IF(AND(NOT(ISBLANK(S151)),Dashboard!F65&gt;0), S151/Dashboard!F65, "")</f>
        <v/>
      </c>
      <c r="U151" s="40"/>
      <c r="V151" s="43" t="str">
        <f>IF(AND(NOT(ISBLANK(U151)),Dashboard!F66&gt;0), U151/Dashboard!F66, "")</f>
        <v/>
      </c>
      <c r="W151" s="40"/>
      <c r="X151" s="43" t="str">
        <f>IF(AND(NOT(ISBLANK(W151)),Dashboard!F67&gt;0), W151/Dashboard!F67, "")</f>
        <v/>
      </c>
    </row>
    <row r="156" spans="2:24" ht="21" x14ac:dyDescent="0.5">
      <c r="B156" s="37" t="s">
        <v>205</v>
      </c>
      <c r="P156" s="54" t="s">
        <v>206</v>
      </c>
    </row>
    <row r="158" spans="2:24" ht="45" customHeight="1" x14ac:dyDescent="0.35">
      <c r="B158" s="87" t="s">
        <v>207</v>
      </c>
      <c r="C158" s="80"/>
      <c r="D158" s="80"/>
      <c r="E158" s="80"/>
      <c r="F158" s="80"/>
      <c r="P158" s="87" t="s">
        <v>208</v>
      </c>
      <c r="Q158" s="80"/>
      <c r="R158" s="80"/>
      <c r="S158" s="80"/>
      <c r="T158" s="80"/>
      <c r="U158" s="80"/>
    </row>
    <row r="159" spans="2:24" ht="35" customHeight="1" x14ac:dyDescent="0.35">
      <c r="P159" s="84" t="s">
        <v>209</v>
      </c>
      <c r="Q159" s="84"/>
      <c r="R159" s="84" t="s">
        <v>210</v>
      </c>
      <c r="S159" s="84"/>
      <c r="T159" s="84"/>
    </row>
    <row r="160" spans="2:24" ht="30" customHeight="1" x14ac:dyDescent="0.35">
      <c r="P160" s="88">
        <v>0</v>
      </c>
      <c r="Q160" s="89"/>
      <c r="R160" s="90" t="s">
        <v>211</v>
      </c>
      <c r="S160" s="91"/>
      <c r="T160" s="91"/>
    </row>
    <row r="163" spans="16:22" ht="25" customHeight="1" x14ac:dyDescent="0.35">
      <c r="P163" s="63" t="s">
        <v>194</v>
      </c>
      <c r="Q163" s="63" t="s">
        <v>212</v>
      </c>
      <c r="R163" s="63" t="s">
        <v>213</v>
      </c>
      <c r="S163" s="92" t="s">
        <v>7</v>
      </c>
      <c r="T163" s="92"/>
      <c r="U163" s="92"/>
      <c r="V163" s="80"/>
    </row>
    <row r="164" spans="16:22" ht="20" customHeight="1" x14ac:dyDescent="0.35">
      <c r="P164" s="65"/>
      <c r="Q164" s="66"/>
      <c r="R164" s="67" t="str">
        <f>IF(AND(NOT(ISBLANK(Q164)), Dashboard!$P160&gt;0), Q164/Dashboard!$P160, "")</f>
        <v/>
      </c>
      <c r="S164" s="93"/>
      <c r="T164" s="94"/>
      <c r="U164" s="94"/>
      <c r="V164" s="94"/>
    </row>
    <row r="165" spans="16:22" ht="20" customHeight="1" x14ac:dyDescent="0.35">
      <c r="P165" s="65"/>
      <c r="Q165" s="66"/>
      <c r="R165" s="67" t="str">
        <f>IF(AND(NOT(ISBLANK(Q165)), Dashboard!$P160&gt;0), Q165/Dashboard!$P160, "")</f>
        <v/>
      </c>
      <c r="S165" s="93"/>
      <c r="T165" s="94"/>
      <c r="U165" s="94"/>
      <c r="V165" s="94"/>
    </row>
    <row r="166" spans="16:22" ht="20" customHeight="1" x14ac:dyDescent="0.35">
      <c r="P166" s="65"/>
      <c r="Q166" s="66"/>
      <c r="R166" s="67" t="str">
        <f>IF(AND(NOT(ISBLANK(Q166)), Dashboard!$P160&gt;0), Q166/Dashboard!$P160, "")</f>
        <v/>
      </c>
      <c r="S166" s="93"/>
      <c r="T166" s="94"/>
      <c r="U166" s="94"/>
      <c r="V166" s="94"/>
    </row>
    <row r="167" spans="16:22" ht="20" customHeight="1" x14ac:dyDescent="0.35">
      <c r="P167" s="65"/>
      <c r="Q167" s="66"/>
      <c r="R167" s="67" t="str">
        <f>IF(AND(NOT(ISBLANK(Q167)), Dashboard!$P160&gt;0), Q167/Dashboard!$P160, "")</f>
        <v/>
      </c>
      <c r="S167" s="93"/>
      <c r="T167" s="94"/>
      <c r="U167" s="94"/>
      <c r="V167" s="94"/>
    </row>
    <row r="168" spans="16:22" ht="20" customHeight="1" x14ac:dyDescent="0.35">
      <c r="P168" s="65"/>
      <c r="Q168" s="66"/>
      <c r="R168" s="67" t="str">
        <f>IF(AND(NOT(ISBLANK(Q168)), Dashboard!$P160&gt;0), Q168/Dashboard!$P160, "")</f>
        <v/>
      </c>
      <c r="S168" s="93"/>
      <c r="T168" s="94"/>
      <c r="U168" s="94"/>
      <c r="V168" s="94"/>
    </row>
    <row r="169" spans="16:22" ht="20" customHeight="1" x14ac:dyDescent="0.35">
      <c r="P169" s="65"/>
      <c r="Q169" s="66"/>
      <c r="R169" s="67" t="str">
        <f>IF(AND(NOT(ISBLANK(Q169)), Dashboard!$P160&gt;0), Q169/Dashboard!$P160, "")</f>
        <v/>
      </c>
      <c r="S169" s="93"/>
      <c r="T169" s="94"/>
      <c r="U169" s="94"/>
      <c r="V169" s="94"/>
    </row>
    <row r="170" spans="16:22" ht="20" customHeight="1" x14ac:dyDescent="0.35">
      <c r="P170" s="65"/>
      <c r="Q170" s="66"/>
      <c r="R170" s="67" t="str">
        <f>IF(AND(NOT(ISBLANK(Q170)), Dashboard!$P160&gt;0), Q170/Dashboard!$P160, "")</f>
        <v/>
      </c>
      <c r="S170" s="93"/>
      <c r="T170" s="94"/>
      <c r="U170" s="94"/>
      <c r="V170" s="94"/>
    </row>
    <row r="171" spans="16:22" ht="20" customHeight="1" x14ac:dyDescent="0.35">
      <c r="P171" s="65"/>
      <c r="Q171" s="66"/>
      <c r="R171" s="67" t="str">
        <f>IF(AND(NOT(ISBLANK(Q171)), Dashboard!$P160&gt;0), Q171/Dashboard!$P160, "")</f>
        <v/>
      </c>
      <c r="S171" s="93"/>
      <c r="T171" s="94"/>
      <c r="U171" s="94"/>
      <c r="V171" s="94"/>
    </row>
    <row r="172" spans="16:22" ht="20" customHeight="1" x14ac:dyDescent="0.35">
      <c r="P172" s="65"/>
      <c r="Q172" s="66"/>
      <c r="R172" s="67" t="str">
        <f>IF(AND(NOT(ISBLANK(Q172)), Dashboard!$P160&gt;0), Q172/Dashboard!$P160, "")</f>
        <v/>
      </c>
      <c r="S172" s="93"/>
      <c r="T172" s="94"/>
      <c r="U172" s="94"/>
      <c r="V172" s="94"/>
    </row>
    <row r="173" spans="16:22" ht="20" customHeight="1" x14ac:dyDescent="0.35">
      <c r="P173" s="65"/>
      <c r="Q173" s="66"/>
      <c r="R173" s="67" t="str">
        <f>IF(AND(NOT(ISBLANK(Q173)), Dashboard!$P160&gt;0), Q173/Dashboard!$P160, "")</f>
        <v/>
      </c>
      <c r="S173" s="93"/>
      <c r="T173" s="94"/>
      <c r="U173" s="94"/>
      <c r="V173" s="94"/>
    </row>
    <row r="174" spans="16:22" ht="20" customHeight="1" x14ac:dyDescent="0.35">
      <c r="P174" s="65"/>
      <c r="Q174" s="66"/>
      <c r="R174" s="67" t="str">
        <f>IF(AND(NOT(ISBLANK(Q174)), Dashboard!$P160&gt;0), Q174/Dashboard!$P160, "")</f>
        <v/>
      </c>
      <c r="S174" s="93"/>
      <c r="T174" s="94"/>
      <c r="U174" s="94"/>
      <c r="V174" s="94"/>
    </row>
    <row r="175" spans="16:22" ht="20" customHeight="1" x14ac:dyDescent="0.35">
      <c r="P175" s="65"/>
      <c r="Q175" s="66"/>
      <c r="R175" s="67" t="str">
        <f>IF(AND(NOT(ISBLANK(Q175)), Dashboard!$P160&gt;0), Q175/Dashboard!$P160, "")</f>
        <v/>
      </c>
      <c r="S175" s="93"/>
      <c r="T175" s="94"/>
      <c r="U175" s="94"/>
      <c r="V175" s="94"/>
    </row>
    <row r="176" spans="16:22" ht="20" customHeight="1" x14ac:dyDescent="0.35">
      <c r="P176" s="65"/>
      <c r="Q176" s="66"/>
      <c r="R176" s="67" t="str">
        <f>IF(AND(NOT(ISBLANK(Q176)), Dashboard!$P160&gt;0), Q176/Dashboard!$P160, "")</f>
        <v/>
      </c>
      <c r="S176" s="93"/>
      <c r="T176" s="94"/>
      <c r="U176" s="94"/>
      <c r="V176" s="94"/>
    </row>
    <row r="177" spans="2:22" ht="20" customHeight="1" x14ac:dyDescent="0.35">
      <c r="P177" s="65"/>
      <c r="Q177" s="66"/>
      <c r="R177" s="67" t="str">
        <f>IF(AND(NOT(ISBLANK(Q177)), Dashboard!$P160&gt;0), Q177/Dashboard!$P160, "")</f>
        <v/>
      </c>
      <c r="S177" s="93"/>
      <c r="T177" s="94"/>
      <c r="U177" s="94"/>
      <c r="V177" s="94"/>
    </row>
    <row r="178" spans="2:22" ht="20" customHeight="1" x14ac:dyDescent="0.35">
      <c r="P178" s="65"/>
      <c r="Q178" s="66"/>
      <c r="R178" s="67" t="str">
        <f>IF(AND(NOT(ISBLANK(Q178)), Dashboard!$P160&gt;0), Q178/Dashboard!$P160, "")</f>
        <v/>
      </c>
      <c r="S178" s="93"/>
      <c r="T178" s="94"/>
      <c r="U178" s="94"/>
      <c r="V178" s="94"/>
    </row>
    <row r="179" spans="2:22" ht="20" customHeight="1" x14ac:dyDescent="0.35">
      <c r="P179" s="65"/>
      <c r="Q179" s="66"/>
      <c r="R179" s="67" t="str">
        <f>IF(AND(NOT(ISBLANK(Q179)), Dashboard!$P160&gt;0), Q179/Dashboard!$P160, "")</f>
        <v/>
      </c>
      <c r="S179" s="93"/>
      <c r="T179" s="94"/>
      <c r="U179" s="94"/>
      <c r="V179" s="94"/>
    </row>
    <row r="180" spans="2:22" ht="20" customHeight="1" x14ac:dyDescent="0.35">
      <c r="P180" s="65"/>
      <c r="Q180" s="66"/>
      <c r="R180" s="67" t="str">
        <f>IF(AND(NOT(ISBLANK(Q180)), Dashboard!$P160&gt;0), Q180/Dashboard!$P160, "")</f>
        <v/>
      </c>
      <c r="S180" s="93"/>
      <c r="T180" s="94"/>
      <c r="U180" s="94"/>
      <c r="V180" s="94"/>
    </row>
    <row r="181" spans="2:22" ht="20" customHeight="1" x14ac:dyDescent="0.35">
      <c r="P181" s="65"/>
      <c r="Q181" s="66"/>
      <c r="R181" s="67" t="str">
        <f>IF(AND(NOT(ISBLANK(Q181)), Dashboard!$P160&gt;0), Q181/Dashboard!$P160, "")</f>
        <v/>
      </c>
      <c r="S181" s="93"/>
      <c r="T181" s="94"/>
      <c r="U181" s="94"/>
      <c r="V181" s="94"/>
    </row>
    <row r="182" spans="2:22" ht="20" customHeight="1" x14ac:dyDescent="0.35">
      <c r="P182" s="65"/>
      <c r="Q182" s="66"/>
      <c r="R182" s="67" t="str">
        <f>IF(AND(NOT(ISBLANK(Q182)), Dashboard!$P160&gt;0), Q182/Dashboard!$P160, "")</f>
        <v/>
      </c>
      <c r="S182" s="93"/>
      <c r="T182" s="94"/>
      <c r="U182" s="94"/>
      <c r="V182" s="94"/>
    </row>
    <row r="183" spans="2:22" ht="20" customHeight="1" x14ac:dyDescent="0.35">
      <c r="P183" s="65"/>
      <c r="Q183" s="66"/>
      <c r="R183" s="67" t="str">
        <f>IF(AND(NOT(ISBLANK(Q183)), Dashboard!$P160&gt;0), Q183/Dashboard!$P160, "")</f>
        <v/>
      </c>
      <c r="S183" s="93"/>
      <c r="T183" s="94"/>
      <c r="U183" s="94"/>
      <c r="V183" s="94"/>
    </row>
    <row r="187" spans="2:22" ht="32" customHeight="1" x14ac:dyDescent="0.35">
      <c r="B187" s="78" t="s">
        <v>88</v>
      </c>
      <c r="C187" s="78"/>
      <c r="D187" s="78"/>
      <c r="E187" s="78"/>
      <c r="F187" s="78"/>
      <c r="G187" s="78"/>
      <c r="H187" s="78"/>
      <c r="I187" s="78"/>
    </row>
  </sheetData>
  <mergeCells count="55">
    <mergeCell ref="B187:I187"/>
    <mergeCell ref="S179:V179"/>
    <mergeCell ref="S180:V180"/>
    <mergeCell ref="S181:V181"/>
    <mergeCell ref="S182:V182"/>
    <mergeCell ref="S183:V183"/>
    <mergeCell ref="S174:V174"/>
    <mergeCell ref="S175:V175"/>
    <mergeCell ref="S176:V176"/>
    <mergeCell ref="S177:V177"/>
    <mergeCell ref="S178:V178"/>
    <mergeCell ref="S169:V169"/>
    <mergeCell ref="S170:V170"/>
    <mergeCell ref="S171:V171"/>
    <mergeCell ref="S172:V172"/>
    <mergeCell ref="S173:V173"/>
    <mergeCell ref="S164:V164"/>
    <mergeCell ref="S165:V165"/>
    <mergeCell ref="S166:V166"/>
    <mergeCell ref="S167:V167"/>
    <mergeCell ref="S168:V168"/>
    <mergeCell ref="P159:Q159"/>
    <mergeCell ref="R159:T159"/>
    <mergeCell ref="P160:Q160"/>
    <mergeCell ref="R160:T160"/>
    <mergeCell ref="S163:V163"/>
    <mergeCell ref="C108:D108"/>
    <mergeCell ref="G108:H108"/>
    <mergeCell ref="B117:F117"/>
    <mergeCell ref="P117:W117"/>
    <mergeCell ref="B158:F158"/>
    <mergeCell ref="P158:U158"/>
    <mergeCell ref="C105:D105"/>
    <mergeCell ref="G105:H105"/>
    <mergeCell ref="C106:D106"/>
    <mergeCell ref="G106:H106"/>
    <mergeCell ref="C107:D107"/>
    <mergeCell ref="G107:H107"/>
    <mergeCell ref="C102:D102"/>
    <mergeCell ref="G102:H102"/>
    <mergeCell ref="C103:D103"/>
    <mergeCell ref="G103:H103"/>
    <mergeCell ref="C104:D104"/>
    <mergeCell ref="G104:H104"/>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3:H108">
    <cfRule type="expression" dxfId="32" priority="4">
      <formula>$G103&gt;=0.8</formula>
    </cfRule>
    <cfRule type="expression" dxfId="31" priority="5">
      <formula>AND($G103&gt;=0.5,$G103&lt;0.8)</formula>
    </cfRule>
    <cfRule type="expression" dxfId="30" priority="6">
      <formula>$G103&lt;0.5</formula>
    </cfRule>
  </conditionalFormatting>
  <conditionalFormatting sqref="K103:K108">
    <cfRule type="cellIs" dxfId="29" priority="7" operator="greaterThan">
      <formula>0</formula>
    </cfRule>
  </conditionalFormatting>
  <conditionalFormatting sqref="L103:L108">
    <cfRule type="cellIs" dxfId="28" priority="8" operator="greaterThan">
      <formula>0</formula>
    </cfRule>
  </conditionalFormatting>
  <conditionalFormatting sqref="M103:M108">
    <cfRule type="cellIs" dxfId="27" priority="9" operator="greaterThan">
      <formula>0</formula>
    </cfRule>
  </conditionalFormatting>
  <conditionalFormatting sqref="N103:N108">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2" xr:uid="{00000000-0002-0000-0100-000000000000}">
      <formula1>0</formula1>
      <formula2>C16</formula2>
    </dataValidation>
    <dataValidation type="whole" allowBlank="1" showErrorMessage="1" errorTitle="Invalid count" error="Value must be between 0 and the current implemented total." sqref="S122" xr:uid="{00000000-0002-0000-0100-000001000000}">
      <formula1>0</formula1>
      <formula2>C65</formula2>
    </dataValidation>
    <dataValidation type="whole" allowBlank="1" showErrorMessage="1" errorTitle="Invalid count" error="Value must be between 0 and the current implemented total." sqref="U122" xr:uid="{00000000-0002-0000-0100-000002000000}">
      <formula1>0</formula1>
      <formula2>C66</formula2>
    </dataValidation>
    <dataValidation type="whole" allowBlank="1" showErrorMessage="1" errorTitle="Invalid count" error="Value must be between 0 and the current implemented total." sqref="W122" xr:uid="{00000000-0002-0000-0100-000003000000}">
      <formula1>0</formula1>
      <formula2>C67</formula2>
    </dataValidation>
    <dataValidation type="whole" allowBlank="1" showErrorMessage="1" errorTitle="Invalid overall count" error="Overall count must be between 0 and the current implemented total." sqref="Q123" xr:uid="{00000000-0002-0000-0100-000004000000}">
      <formula1>0</formula1>
      <formula2>C16</formula2>
    </dataValidation>
    <dataValidation type="whole" allowBlank="1" showErrorMessage="1" errorTitle="Invalid count" error="Value must be between 0 and the current implemented total." sqref="S123" xr:uid="{00000000-0002-0000-0100-000005000000}">
      <formula1>0</formula1>
      <formula2>C65</formula2>
    </dataValidation>
    <dataValidation type="whole" allowBlank="1" showErrorMessage="1" errorTitle="Invalid count" error="Value must be between 0 and the current implemented total." sqref="U123" xr:uid="{00000000-0002-0000-0100-000006000000}">
      <formula1>0</formula1>
      <formula2>C66</formula2>
    </dataValidation>
    <dataValidation type="whole" allowBlank="1" showErrorMessage="1" errorTitle="Invalid count" error="Value must be between 0 and the current implemented total." sqref="W123" xr:uid="{00000000-0002-0000-0100-000007000000}">
      <formula1>0</formula1>
      <formula2>C67</formula2>
    </dataValidation>
    <dataValidation type="whole" allowBlank="1" showErrorMessage="1" errorTitle="Invalid overall count" error="Overall count must be between 0 and the current implemented total." sqref="Q124" xr:uid="{00000000-0002-0000-0100-000008000000}">
      <formula1>0</formula1>
      <formula2>C16</formula2>
    </dataValidation>
    <dataValidation type="whole" allowBlank="1" showErrorMessage="1" errorTitle="Invalid count" error="Value must be between 0 and the current implemented total." sqref="S124" xr:uid="{00000000-0002-0000-0100-000009000000}">
      <formula1>0</formula1>
      <formula2>C65</formula2>
    </dataValidation>
    <dataValidation type="whole" allowBlank="1" showErrorMessage="1" errorTitle="Invalid count" error="Value must be between 0 and the current implemented total." sqref="U124" xr:uid="{00000000-0002-0000-0100-00000A000000}">
      <formula1>0</formula1>
      <formula2>C66</formula2>
    </dataValidation>
    <dataValidation type="whole" allowBlank="1" showErrorMessage="1" errorTitle="Invalid count" error="Value must be between 0 and the current implemented total." sqref="W124" xr:uid="{00000000-0002-0000-0100-00000B000000}">
      <formula1>0</formula1>
      <formula2>C67</formula2>
    </dataValidation>
    <dataValidation type="whole" allowBlank="1" showErrorMessage="1" errorTitle="Invalid overall count" error="Overall count must be between 0 and the current implemented total." sqref="Q125" xr:uid="{00000000-0002-0000-0100-00000C000000}">
      <formula1>0</formula1>
      <formula2>C16</formula2>
    </dataValidation>
    <dataValidation type="whole" allowBlank="1" showErrorMessage="1" errorTitle="Invalid count" error="Value must be between 0 and the current implemented total." sqref="S125" xr:uid="{00000000-0002-0000-0100-00000D000000}">
      <formula1>0</formula1>
      <formula2>C65</formula2>
    </dataValidation>
    <dataValidation type="whole" allowBlank="1" showErrorMessage="1" errorTitle="Invalid count" error="Value must be between 0 and the current implemented total." sqref="U125" xr:uid="{00000000-0002-0000-0100-00000E000000}">
      <formula1>0</formula1>
      <formula2>C66</formula2>
    </dataValidation>
    <dataValidation type="whole" allowBlank="1" showErrorMessage="1" errorTitle="Invalid count" error="Value must be between 0 and the current implemented total." sqref="W125" xr:uid="{00000000-0002-0000-0100-00000F000000}">
      <formula1>0</formula1>
      <formula2>C67</formula2>
    </dataValidation>
    <dataValidation type="whole" allowBlank="1" showErrorMessage="1" errorTitle="Invalid overall count" error="Overall count must be between 0 and the current implemented total." sqref="Q126" xr:uid="{00000000-0002-0000-0100-000010000000}">
      <formula1>0</formula1>
      <formula2>C16</formula2>
    </dataValidation>
    <dataValidation type="whole" allowBlank="1" showErrorMessage="1" errorTitle="Invalid count" error="Value must be between 0 and the current implemented total." sqref="S126" xr:uid="{00000000-0002-0000-0100-000011000000}">
      <formula1>0</formula1>
      <formula2>C65</formula2>
    </dataValidation>
    <dataValidation type="whole" allowBlank="1" showErrorMessage="1" errorTitle="Invalid count" error="Value must be between 0 and the current implemented total." sqref="U126" xr:uid="{00000000-0002-0000-0100-000012000000}">
      <formula1>0</formula1>
      <formula2>C66</formula2>
    </dataValidation>
    <dataValidation type="whole" allowBlank="1" showErrorMessage="1" errorTitle="Invalid count" error="Value must be between 0 and the current implemented total." sqref="W126" xr:uid="{00000000-0002-0000-0100-000013000000}">
      <formula1>0</formula1>
      <formula2>C67</formula2>
    </dataValidation>
    <dataValidation type="whole" allowBlank="1" showErrorMessage="1" errorTitle="Invalid overall count" error="Overall count must be between 0 and the current implemented total." sqref="Q127" xr:uid="{00000000-0002-0000-0100-000014000000}">
      <formula1>0</formula1>
      <formula2>C16</formula2>
    </dataValidation>
    <dataValidation type="whole" allowBlank="1" showErrorMessage="1" errorTitle="Invalid count" error="Value must be between 0 and the current implemented total." sqref="S127" xr:uid="{00000000-0002-0000-0100-000015000000}">
      <formula1>0</formula1>
      <formula2>C65</formula2>
    </dataValidation>
    <dataValidation type="whole" allowBlank="1" showErrorMessage="1" errorTitle="Invalid count" error="Value must be between 0 and the current implemented total." sqref="U127" xr:uid="{00000000-0002-0000-0100-000016000000}">
      <formula1>0</formula1>
      <formula2>C66</formula2>
    </dataValidation>
    <dataValidation type="whole" allowBlank="1" showErrorMessage="1" errorTitle="Invalid count" error="Value must be between 0 and the current implemented total." sqref="W127" xr:uid="{00000000-0002-0000-0100-000017000000}">
      <formula1>0</formula1>
      <formula2>C67</formula2>
    </dataValidation>
    <dataValidation type="whole" allowBlank="1" showErrorMessage="1" errorTitle="Invalid overall count" error="Overall count must be between 0 and the current implemented total." sqref="Q128" xr:uid="{00000000-0002-0000-0100-000018000000}">
      <formula1>0</formula1>
      <formula2>C16</formula2>
    </dataValidation>
    <dataValidation type="whole" allowBlank="1" showErrorMessage="1" errorTitle="Invalid count" error="Value must be between 0 and the current implemented total." sqref="S128" xr:uid="{00000000-0002-0000-0100-000019000000}">
      <formula1>0</formula1>
      <formula2>C65</formula2>
    </dataValidation>
    <dataValidation type="whole" allowBlank="1" showErrorMessage="1" errorTitle="Invalid count" error="Value must be between 0 and the current implemented total." sqref="U128" xr:uid="{00000000-0002-0000-0100-00001A000000}">
      <formula1>0</formula1>
      <formula2>C66</formula2>
    </dataValidation>
    <dataValidation type="whole" allowBlank="1" showErrorMessage="1" errorTitle="Invalid count" error="Value must be between 0 and the current implemented total." sqref="W128" xr:uid="{00000000-0002-0000-0100-00001B000000}">
      <formula1>0</formula1>
      <formula2>C67</formula2>
    </dataValidation>
    <dataValidation type="whole" allowBlank="1" showErrorMessage="1" errorTitle="Invalid overall count" error="Overall count must be between 0 and the current implemented total." sqref="Q129" xr:uid="{00000000-0002-0000-0100-00001C000000}">
      <formula1>0</formula1>
      <formula2>C16</formula2>
    </dataValidation>
    <dataValidation type="whole" allowBlank="1" showErrorMessage="1" errorTitle="Invalid count" error="Value must be between 0 and the current implemented total." sqref="S129" xr:uid="{00000000-0002-0000-0100-00001D000000}">
      <formula1>0</formula1>
      <formula2>C65</formula2>
    </dataValidation>
    <dataValidation type="whole" allowBlank="1" showErrorMessage="1" errorTitle="Invalid count" error="Value must be between 0 and the current implemented total." sqref="U129" xr:uid="{00000000-0002-0000-0100-00001E000000}">
      <formula1>0</formula1>
      <formula2>C66</formula2>
    </dataValidation>
    <dataValidation type="whole" allowBlank="1" showErrorMessage="1" errorTitle="Invalid count" error="Value must be between 0 and the current implemented total." sqref="W129" xr:uid="{00000000-0002-0000-0100-00001F000000}">
      <formula1>0</formula1>
      <formula2>C67</formula2>
    </dataValidation>
    <dataValidation type="whole" allowBlank="1" showErrorMessage="1" errorTitle="Invalid overall count" error="Overall count must be between 0 and the current implemented total." sqref="Q130" xr:uid="{00000000-0002-0000-0100-000020000000}">
      <formula1>0</formula1>
      <formula2>C16</formula2>
    </dataValidation>
    <dataValidation type="whole" allowBlank="1" showErrorMessage="1" errorTitle="Invalid count" error="Value must be between 0 and the current implemented total." sqref="S130" xr:uid="{00000000-0002-0000-0100-000021000000}">
      <formula1>0</formula1>
      <formula2>C65</formula2>
    </dataValidation>
    <dataValidation type="whole" allowBlank="1" showErrorMessage="1" errorTitle="Invalid count" error="Value must be between 0 and the current implemented total." sqref="U130" xr:uid="{00000000-0002-0000-0100-000022000000}">
      <formula1>0</formula1>
      <formula2>C66</formula2>
    </dataValidation>
    <dataValidation type="whole" allowBlank="1" showErrorMessage="1" errorTitle="Invalid count" error="Value must be between 0 and the current implemented total." sqref="W130" xr:uid="{00000000-0002-0000-0100-000023000000}">
      <formula1>0</formula1>
      <formula2>C67</formula2>
    </dataValidation>
    <dataValidation type="whole" allowBlank="1" showErrorMessage="1" errorTitle="Invalid overall count" error="Overall count must be between 0 and the current implemented total." sqref="Q131" xr:uid="{00000000-0002-0000-0100-000024000000}">
      <formula1>0</formula1>
      <formula2>C16</formula2>
    </dataValidation>
    <dataValidation type="whole" allowBlank="1" showErrorMessage="1" errorTitle="Invalid count" error="Value must be between 0 and the current implemented total." sqref="S131" xr:uid="{00000000-0002-0000-0100-000025000000}">
      <formula1>0</formula1>
      <formula2>C65</formula2>
    </dataValidation>
    <dataValidation type="whole" allowBlank="1" showErrorMessage="1" errorTitle="Invalid count" error="Value must be between 0 and the current implemented total." sqref="U131" xr:uid="{00000000-0002-0000-0100-000026000000}">
      <formula1>0</formula1>
      <formula2>C66</formula2>
    </dataValidation>
    <dataValidation type="whole" allowBlank="1" showErrorMessage="1" errorTitle="Invalid count" error="Value must be between 0 and the current implemented total." sqref="W131" xr:uid="{00000000-0002-0000-0100-000027000000}">
      <formula1>0</formula1>
      <formula2>C67</formula2>
    </dataValidation>
    <dataValidation type="whole" allowBlank="1" showErrorMessage="1" errorTitle="Invalid overall count" error="Overall count must be between 0 and the current implemented total." sqref="Q132" xr:uid="{00000000-0002-0000-0100-000028000000}">
      <formula1>0</formula1>
      <formula2>C16</formula2>
    </dataValidation>
    <dataValidation type="whole" allowBlank="1" showErrorMessage="1" errorTitle="Invalid count" error="Value must be between 0 and the current implemented total." sqref="S132" xr:uid="{00000000-0002-0000-0100-000029000000}">
      <formula1>0</formula1>
      <formula2>C65</formula2>
    </dataValidation>
    <dataValidation type="whole" allowBlank="1" showErrorMessage="1" errorTitle="Invalid count" error="Value must be between 0 and the current implemented total." sqref="U132" xr:uid="{00000000-0002-0000-0100-00002A000000}">
      <formula1>0</formula1>
      <formula2>C66</formula2>
    </dataValidation>
    <dataValidation type="whole" allowBlank="1" showErrorMessage="1" errorTitle="Invalid count" error="Value must be between 0 and the current implemented total." sqref="W132" xr:uid="{00000000-0002-0000-0100-00002B000000}">
      <formula1>0</formula1>
      <formula2>C67</formula2>
    </dataValidation>
    <dataValidation type="whole" allowBlank="1" showErrorMessage="1" errorTitle="Invalid overall count" error="Overall count must be between 0 and the current implemented total." sqref="Q133" xr:uid="{00000000-0002-0000-0100-00002C000000}">
      <formula1>0</formula1>
      <formula2>C16</formula2>
    </dataValidation>
    <dataValidation type="whole" allowBlank="1" showErrorMessage="1" errorTitle="Invalid count" error="Value must be between 0 and the current implemented total." sqref="S133" xr:uid="{00000000-0002-0000-0100-00002D000000}">
      <formula1>0</formula1>
      <formula2>C65</formula2>
    </dataValidation>
    <dataValidation type="whole" allowBlank="1" showErrorMessage="1" errorTitle="Invalid count" error="Value must be between 0 and the current implemented total." sqref="U133" xr:uid="{00000000-0002-0000-0100-00002E000000}">
      <formula1>0</formula1>
      <formula2>C66</formula2>
    </dataValidation>
    <dataValidation type="whole" allowBlank="1" showErrorMessage="1" errorTitle="Invalid count" error="Value must be between 0 and the current implemented total." sqref="W133" xr:uid="{00000000-0002-0000-0100-00002F000000}">
      <formula1>0</formula1>
      <formula2>C67</formula2>
    </dataValidation>
    <dataValidation type="whole" allowBlank="1" showErrorMessage="1" errorTitle="Invalid overall count" error="Overall count must be between 0 and the current implemented total." sqref="Q134" xr:uid="{00000000-0002-0000-0100-000030000000}">
      <formula1>0</formula1>
      <formula2>C16</formula2>
    </dataValidation>
    <dataValidation type="whole" allowBlank="1" showErrorMessage="1" errorTitle="Invalid count" error="Value must be between 0 and the current implemented total." sqref="S134" xr:uid="{00000000-0002-0000-0100-000031000000}">
      <formula1>0</formula1>
      <formula2>C65</formula2>
    </dataValidation>
    <dataValidation type="whole" allowBlank="1" showErrorMessage="1" errorTitle="Invalid count" error="Value must be between 0 and the current implemented total." sqref="U134" xr:uid="{00000000-0002-0000-0100-000032000000}">
      <formula1>0</formula1>
      <formula2>C66</formula2>
    </dataValidation>
    <dataValidation type="whole" allowBlank="1" showErrorMessage="1" errorTitle="Invalid count" error="Value must be between 0 and the current implemented total." sqref="W134" xr:uid="{00000000-0002-0000-0100-000033000000}">
      <formula1>0</formula1>
      <formula2>C67</formula2>
    </dataValidation>
    <dataValidation type="whole" allowBlank="1" showErrorMessage="1" errorTitle="Invalid overall count" error="Overall count must be between 0 and the current implemented total." sqref="Q135" xr:uid="{00000000-0002-0000-0100-000034000000}">
      <formula1>0</formula1>
      <formula2>C16</formula2>
    </dataValidation>
    <dataValidation type="whole" allowBlank="1" showErrorMessage="1" errorTitle="Invalid count" error="Value must be between 0 and the current implemented total." sqref="S135" xr:uid="{00000000-0002-0000-0100-000035000000}">
      <formula1>0</formula1>
      <formula2>C65</formula2>
    </dataValidation>
    <dataValidation type="whole" allowBlank="1" showErrorMessage="1" errorTitle="Invalid count" error="Value must be between 0 and the current implemented total." sqref="U135" xr:uid="{00000000-0002-0000-0100-000036000000}">
      <formula1>0</formula1>
      <formula2>C66</formula2>
    </dataValidation>
    <dataValidation type="whole" allowBlank="1" showErrorMessage="1" errorTitle="Invalid count" error="Value must be between 0 and the current implemented total." sqref="W135" xr:uid="{00000000-0002-0000-0100-000037000000}">
      <formula1>0</formula1>
      <formula2>C67</formula2>
    </dataValidation>
    <dataValidation type="whole" allowBlank="1" showErrorMessage="1" errorTitle="Invalid overall count" error="Overall count must be between 0 and the current implemented total." sqref="Q136" xr:uid="{00000000-0002-0000-0100-000038000000}">
      <formula1>0</formula1>
      <formula2>C16</formula2>
    </dataValidation>
    <dataValidation type="whole" allowBlank="1" showErrorMessage="1" errorTitle="Invalid count" error="Value must be between 0 and the current implemented total." sqref="S136" xr:uid="{00000000-0002-0000-0100-000039000000}">
      <formula1>0</formula1>
      <formula2>C65</formula2>
    </dataValidation>
    <dataValidation type="whole" allowBlank="1" showErrorMessage="1" errorTitle="Invalid count" error="Value must be between 0 and the current implemented total." sqref="U136" xr:uid="{00000000-0002-0000-0100-00003A000000}">
      <formula1>0</formula1>
      <formula2>C66</formula2>
    </dataValidation>
    <dataValidation type="whole" allowBlank="1" showErrorMessage="1" errorTitle="Invalid count" error="Value must be between 0 and the current implemented total." sqref="W136" xr:uid="{00000000-0002-0000-0100-00003B000000}">
      <formula1>0</formula1>
      <formula2>C67</formula2>
    </dataValidation>
    <dataValidation type="whole" allowBlank="1" showErrorMessage="1" errorTitle="Invalid overall count" error="Overall count must be between 0 and the current implemented total." sqref="Q137" xr:uid="{00000000-0002-0000-0100-00003C000000}">
      <formula1>0</formula1>
      <formula2>C16</formula2>
    </dataValidation>
    <dataValidation type="whole" allowBlank="1" showErrorMessage="1" errorTitle="Invalid count" error="Value must be between 0 and the current implemented total." sqref="S137" xr:uid="{00000000-0002-0000-0100-00003D000000}">
      <formula1>0</formula1>
      <formula2>C65</formula2>
    </dataValidation>
    <dataValidation type="whole" allowBlank="1" showErrorMessage="1" errorTitle="Invalid count" error="Value must be between 0 and the current implemented total." sqref="U137" xr:uid="{00000000-0002-0000-0100-00003E000000}">
      <formula1>0</formula1>
      <formula2>C66</formula2>
    </dataValidation>
    <dataValidation type="whole" allowBlank="1" showErrorMessage="1" errorTitle="Invalid count" error="Value must be between 0 and the current implemented total." sqref="W137" xr:uid="{00000000-0002-0000-0100-00003F000000}">
      <formula1>0</formula1>
      <formula2>C67</formula2>
    </dataValidation>
    <dataValidation type="whole" allowBlank="1" showErrorMessage="1" errorTitle="Invalid overall count" error="Overall count must be between 0 and the current implemented total." sqref="Q138" xr:uid="{00000000-0002-0000-0100-000040000000}">
      <formula1>0</formula1>
      <formula2>C16</formula2>
    </dataValidation>
    <dataValidation type="whole" allowBlank="1" showErrorMessage="1" errorTitle="Invalid count" error="Value must be between 0 and the current implemented total." sqref="S138" xr:uid="{00000000-0002-0000-0100-000041000000}">
      <formula1>0</formula1>
      <formula2>C65</formula2>
    </dataValidation>
    <dataValidation type="whole" allowBlank="1" showErrorMessage="1" errorTitle="Invalid count" error="Value must be between 0 and the current implemented total." sqref="U138" xr:uid="{00000000-0002-0000-0100-000042000000}">
      <formula1>0</formula1>
      <formula2>C66</formula2>
    </dataValidation>
    <dataValidation type="whole" allowBlank="1" showErrorMessage="1" errorTitle="Invalid count" error="Value must be between 0 and the current implemented total." sqref="W138" xr:uid="{00000000-0002-0000-0100-000043000000}">
      <formula1>0</formula1>
      <formula2>C67</formula2>
    </dataValidation>
    <dataValidation type="whole" allowBlank="1" showErrorMessage="1" errorTitle="Invalid overall count" error="Overall count must be between 0 and the current implemented total." sqref="Q139" xr:uid="{00000000-0002-0000-0100-000044000000}">
      <formula1>0</formula1>
      <formula2>C16</formula2>
    </dataValidation>
    <dataValidation type="whole" allowBlank="1" showErrorMessage="1" errorTitle="Invalid count" error="Value must be between 0 and the current implemented total." sqref="S139" xr:uid="{00000000-0002-0000-0100-000045000000}">
      <formula1>0</formula1>
      <formula2>C65</formula2>
    </dataValidation>
    <dataValidation type="whole" allowBlank="1" showErrorMessage="1" errorTitle="Invalid count" error="Value must be between 0 and the current implemented total." sqref="U139" xr:uid="{00000000-0002-0000-0100-000046000000}">
      <formula1>0</formula1>
      <formula2>C66</formula2>
    </dataValidation>
    <dataValidation type="whole" allowBlank="1" showErrorMessage="1" errorTitle="Invalid count" error="Value must be between 0 and the current implemented total." sqref="W139" xr:uid="{00000000-0002-0000-0100-000047000000}">
      <formula1>0</formula1>
      <formula2>C67</formula2>
    </dataValidation>
    <dataValidation type="whole" allowBlank="1" showErrorMessage="1" errorTitle="Invalid overall count" error="Overall count must be between 0 and the current implemented total." sqref="Q140" xr:uid="{00000000-0002-0000-0100-000048000000}">
      <formula1>0</formula1>
      <formula2>C16</formula2>
    </dataValidation>
    <dataValidation type="whole" allowBlank="1" showErrorMessage="1" errorTitle="Invalid count" error="Value must be between 0 and the current implemented total." sqref="S140" xr:uid="{00000000-0002-0000-0100-000049000000}">
      <formula1>0</formula1>
      <formula2>C65</formula2>
    </dataValidation>
    <dataValidation type="whole" allowBlank="1" showErrorMessage="1" errorTitle="Invalid count" error="Value must be between 0 and the current implemented total." sqref="U140" xr:uid="{00000000-0002-0000-0100-00004A000000}">
      <formula1>0</formula1>
      <formula2>C66</formula2>
    </dataValidation>
    <dataValidation type="whole" allowBlank="1" showErrorMessage="1" errorTitle="Invalid count" error="Value must be between 0 and the current implemented total." sqref="W140" xr:uid="{00000000-0002-0000-0100-00004B000000}">
      <formula1>0</formula1>
      <formula2>C67</formula2>
    </dataValidation>
    <dataValidation type="whole" allowBlank="1" showErrorMessage="1" errorTitle="Invalid overall count" error="Overall count must be between 0 and the current implemented total." sqref="Q141" xr:uid="{00000000-0002-0000-0100-00004C000000}">
      <formula1>0</formula1>
      <formula2>C16</formula2>
    </dataValidation>
    <dataValidation type="whole" allowBlank="1" showErrorMessage="1" errorTitle="Invalid count" error="Value must be between 0 and the current implemented total." sqref="S141" xr:uid="{00000000-0002-0000-0100-00004D000000}">
      <formula1>0</formula1>
      <formula2>C65</formula2>
    </dataValidation>
    <dataValidation type="whole" allowBlank="1" showErrorMessage="1" errorTitle="Invalid count" error="Value must be between 0 and the current implemented total." sqref="U141" xr:uid="{00000000-0002-0000-0100-00004E000000}">
      <formula1>0</formula1>
      <formula2>C66</formula2>
    </dataValidation>
    <dataValidation type="whole" allowBlank="1" showErrorMessage="1" errorTitle="Invalid count" error="Value must be between 0 and the current implemented total." sqref="W141" xr:uid="{00000000-0002-0000-0100-00004F000000}">
      <formula1>0</formula1>
      <formula2>C67</formula2>
    </dataValidation>
    <dataValidation type="whole" allowBlank="1" showErrorMessage="1" errorTitle="Invalid overall count" error="Overall count must be between 0 and the current implemented total." sqref="Q142" xr:uid="{00000000-0002-0000-0100-000050000000}">
      <formula1>0</formula1>
      <formula2>C16</formula2>
    </dataValidation>
    <dataValidation type="whole" allowBlank="1" showErrorMessage="1" errorTitle="Invalid count" error="Value must be between 0 and the current implemented total." sqref="S142" xr:uid="{00000000-0002-0000-0100-000051000000}">
      <formula1>0</formula1>
      <formula2>C65</formula2>
    </dataValidation>
    <dataValidation type="whole" allowBlank="1" showErrorMessage="1" errorTitle="Invalid count" error="Value must be between 0 and the current implemented total." sqref="U142" xr:uid="{00000000-0002-0000-0100-000052000000}">
      <formula1>0</formula1>
      <formula2>C66</formula2>
    </dataValidation>
    <dataValidation type="whole" allowBlank="1" showErrorMessage="1" errorTitle="Invalid count" error="Value must be between 0 and the current implemented total." sqref="W142" xr:uid="{00000000-0002-0000-0100-000053000000}">
      <formula1>0</formula1>
      <formula2>C67</formula2>
    </dataValidation>
    <dataValidation type="whole" allowBlank="1" showErrorMessage="1" errorTitle="Invalid overall count" error="Overall count must be between 0 and the current implemented total." sqref="Q143" xr:uid="{00000000-0002-0000-0100-000054000000}">
      <formula1>0</formula1>
      <formula2>C16</formula2>
    </dataValidation>
    <dataValidation type="whole" allowBlank="1" showErrorMessage="1" errorTitle="Invalid count" error="Value must be between 0 and the current implemented total." sqref="S143" xr:uid="{00000000-0002-0000-0100-000055000000}">
      <formula1>0</formula1>
      <formula2>C65</formula2>
    </dataValidation>
    <dataValidation type="whole" allowBlank="1" showErrorMessage="1" errorTitle="Invalid count" error="Value must be between 0 and the current implemented total." sqref="U143" xr:uid="{00000000-0002-0000-0100-000056000000}">
      <formula1>0</formula1>
      <formula2>C66</formula2>
    </dataValidation>
    <dataValidation type="whole" allowBlank="1" showErrorMessage="1" errorTitle="Invalid count" error="Value must be between 0 and the current implemented total." sqref="W143" xr:uid="{00000000-0002-0000-0100-000057000000}">
      <formula1>0</formula1>
      <formula2>C67</formula2>
    </dataValidation>
    <dataValidation type="whole" allowBlank="1" showErrorMessage="1" errorTitle="Invalid overall count" error="Overall count must be between 0 and the current implemented total." sqref="Q144" xr:uid="{00000000-0002-0000-0100-000058000000}">
      <formula1>0</formula1>
      <formula2>C16</formula2>
    </dataValidation>
    <dataValidation type="whole" allowBlank="1" showErrorMessage="1" errorTitle="Invalid count" error="Value must be between 0 and the current implemented total." sqref="S144" xr:uid="{00000000-0002-0000-0100-000059000000}">
      <formula1>0</formula1>
      <formula2>C65</formula2>
    </dataValidation>
    <dataValidation type="whole" allowBlank="1" showErrorMessage="1" errorTitle="Invalid count" error="Value must be between 0 and the current implemented total." sqref="U144" xr:uid="{00000000-0002-0000-0100-00005A000000}">
      <formula1>0</formula1>
      <formula2>C66</formula2>
    </dataValidation>
    <dataValidation type="whole" allowBlank="1" showErrorMessage="1" errorTitle="Invalid count" error="Value must be between 0 and the current implemented total." sqref="W144" xr:uid="{00000000-0002-0000-0100-00005B000000}">
      <formula1>0</formula1>
      <formula2>C67</formula2>
    </dataValidation>
    <dataValidation type="whole" allowBlank="1" showErrorMessage="1" errorTitle="Invalid overall count" error="Overall count must be between 0 and the current implemented total." sqref="Q145" xr:uid="{00000000-0002-0000-0100-00005C000000}">
      <formula1>0</formula1>
      <formula2>C16</formula2>
    </dataValidation>
    <dataValidation type="whole" allowBlank="1" showErrorMessage="1" errorTitle="Invalid count" error="Value must be between 0 and the current implemented total." sqref="S145" xr:uid="{00000000-0002-0000-0100-00005D000000}">
      <formula1>0</formula1>
      <formula2>C65</formula2>
    </dataValidation>
    <dataValidation type="whole" allowBlank="1" showErrorMessage="1" errorTitle="Invalid count" error="Value must be between 0 and the current implemented total." sqref="U145" xr:uid="{00000000-0002-0000-0100-00005E000000}">
      <formula1>0</formula1>
      <formula2>C66</formula2>
    </dataValidation>
    <dataValidation type="whole" allowBlank="1" showErrorMessage="1" errorTitle="Invalid count" error="Value must be between 0 and the current implemented total." sqref="W145" xr:uid="{00000000-0002-0000-0100-00005F000000}">
      <formula1>0</formula1>
      <formula2>C67</formula2>
    </dataValidation>
    <dataValidation type="whole" allowBlank="1" showErrorMessage="1" errorTitle="Invalid overall count" error="Overall count must be between 0 and the current implemented total." sqref="Q146" xr:uid="{00000000-0002-0000-0100-000060000000}">
      <formula1>0</formula1>
      <formula2>C16</formula2>
    </dataValidation>
    <dataValidation type="whole" allowBlank="1" showErrorMessage="1" errorTitle="Invalid count" error="Value must be between 0 and the current implemented total." sqref="S146" xr:uid="{00000000-0002-0000-0100-000061000000}">
      <formula1>0</formula1>
      <formula2>C65</formula2>
    </dataValidation>
    <dataValidation type="whole" allowBlank="1" showErrorMessage="1" errorTitle="Invalid count" error="Value must be between 0 and the current implemented total." sqref="U146" xr:uid="{00000000-0002-0000-0100-000062000000}">
      <formula1>0</formula1>
      <formula2>C66</formula2>
    </dataValidation>
    <dataValidation type="whole" allowBlank="1" showErrorMessage="1" errorTitle="Invalid count" error="Value must be between 0 and the current implemented total." sqref="W146" xr:uid="{00000000-0002-0000-0100-000063000000}">
      <formula1>0</formula1>
      <formula2>C67</formula2>
    </dataValidation>
    <dataValidation type="whole" allowBlank="1" showErrorMessage="1" errorTitle="Invalid overall count" error="Overall count must be between 0 and the current implemented total." sqref="Q147" xr:uid="{00000000-0002-0000-0100-000064000000}">
      <formula1>0</formula1>
      <formula2>C16</formula2>
    </dataValidation>
    <dataValidation type="whole" allowBlank="1" showErrorMessage="1" errorTitle="Invalid count" error="Value must be between 0 and the current implemented total." sqref="S147" xr:uid="{00000000-0002-0000-0100-000065000000}">
      <formula1>0</formula1>
      <formula2>C65</formula2>
    </dataValidation>
    <dataValidation type="whole" allowBlank="1" showErrorMessage="1" errorTitle="Invalid count" error="Value must be between 0 and the current implemented total." sqref="U147" xr:uid="{00000000-0002-0000-0100-000066000000}">
      <formula1>0</formula1>
      <formula2>C66</formula2>
    </dataValidation>
    <dataValidation type="whole" allowBlank="1" showErrorMessage="1" errorTitle="Invalid count" error="Value must be between 0 and the current implemented total." sqref="W147" xr:uid="{00000000-0002-0000-0100-000067000000}">
      <formula1>0</formula1>
      <formula2>C67</formula2>
    </dataValidation>
    <dataValidation type="whole" allowBlank="1" showErrorMessage="1" errorTitle="Invalid overall count" error="Overall count must be between 0 and the current implemented total." sqref="Q148" xr:uid="{00000000-0002-0000-0100-000068000000}">
      <formula1>0</formula1>
      <formula2>C16</formula2>
    </dataValidation>
    <dataValidation type="whole" allowBlank="1" showErrorMessage="1" errorTitle="Invalid count" error="Value must be between 0 and the current implemented total." sqref="S148" xr:uid="{00000000-0002-0000-0100-000069000000}">
      <formula1>0</formula1>
      <formula2>C65</formula2>
    </dataValidation>
    <dataValidation type="whole" allowBlank="1" showErrorMessage="1" errorTitle="Invalid count" error="Value must be between 0 and the current implemented total." sqref="U148" xr:uid="{00000000-0002-0000-0100-00006A000000}">
      <formula1>0</formula1>
      <formula2>C66</formula2>
    </dataValidation>
    <dataValidation type="whole" allowBlank="1" showErrorMessage="1" errorTitle="Invalid count" error="Value must be between 0 and the current implemented total." sqref="W148" xr:uid="{00000000-0002-0000-0100-00006B000000}">
      <formula1>0</formula1>
      <formula2>C67</formula2>
    </dataValidation>
    <dataValidation type="whole" allowBlank="1" showErrorMessage="1" errorTitle="Invalid overall count" error="Overall count must be between 0 and the current implemented total." sqref="Q149" xr:uid="{00000000-0002-0000-0100-00006C000000}">
      <formula1>0</formula1>
      <formula2>C16</formula2>
    </dataValidation>
    <dataValidation type="whole" allowBlank="1" showErrorMessage="1" errorTitle="Invalid count" error="Value must be between 0 and the current implemented total." sqref="S149" xr:uid="{00000000-0002-0000-0100-00006D000000}">
      <formula1>0</formula1>
      <formula2>C65</formula2>
    </dataValidation>
    <dataValidation type="whole" allowBlank="1" showErrorMessage="1" errorTitle="Invalid count" error="Value must be between 0 and the current implemented total." sqref="U149" xr:uid="{00000000-0002-0000-0100-00006E000000}">
      <formula1>0</formula1>
      <formula2>C66</formula2>
    </dataValidation>
    <dataValidation type="whole" allowBlank="1" showErrorMessage="1" errorTitle="Invalid count" error="Value must be between 0 and the current implemented total." sqref="W149" xr:uid="{00000000-0002-0000-0100-00006F000000}">
      <formula1>0</formula1>
      <formula2>C67</formula2>
    </dataValidation>
    <dataValidation type="whole" allowBlank="1" showErrorMessage="1" errorTitle="Invalid overall count" error="Overall count must be between 0 and the current implemented total." sqref="Q150" xr:uid="{00000000-0002-0000-0100-000070000000}">
      <formula1>0</formula1>
      <formula2>C16</formula2>
    </dataValidation>
    <dataValidation type="whole" allowBlank="1" showErrorMessage="1" errorTitle="Invalid count" error="Value must be between 0 and the current implemented total." sqref="S150" xr:uid="{00000000-0002-0000-0100-000071000000}">
      <formula1>0</formula1>
      <formula2>C65</formula2>
    </dataValidation>
    <dataValidation type="whole" allowBlank="1" showErrorMessage="1" errorTitle="Invalid count" error="Value must be between 0 and the current implemented total." sqref="U150" xr:uid="{00000000-0002-0000-0100-000072000000}">
      <formula1>0</formula1>
      <formula2>C66</formula2>
    </dataValidation>
    <dataValidation type="whole" allowBlank="1" showErrorMessage="1" errorTitle="Invalid count" error="Value must be between 0 and the current implemented total." sqref="W150" xr:uid="{00000000-0002-0000-0100-000073000000}">
      <formula1>0</formula1>
      <formula2>C67</formula2>
    </dataValidation>
    <dataValidation type="whole" allowBlank="1" showErrorMessage="1" errorTitle="Invalid overall count" error="Overall count must be between 0 and the current implemented total." sqref="Q151" xr:uid="{00000000-0002-0000-0100-000074000000}">
      <formula1>0</formula1>
      <formula2>C16</formula2>
    </dataValidation>
    <dataValidation type="whole" allowBlank="1" showErrorMessage="1" errorTitle="Invalid count" error="Value must be between 0 and the current implemented total." sqref="S151" xr:uid="{00000000-0002-0000-0100-000075000000}">
      <formula1>0</formula1>
      <formula2>C65</formula2>
    </dataValidation>
    <dataValidation type="whole" allowBlank="1" showErrorMessage="1" errorTitle="Invalid count" error="Value must be between 0 and the current implemented total." sqref="U151" xr:uid="{00000000-0002-0000-0100-000076000000}">
      <formula1>0</formula1>
      <formula2>C66</formula2>
    </dataValidation>
    <dataValidation type="whole" allowBlank="1" showErrorMessage="1" errorTitle="Invalid count" error="Value must be between 0 and the current implemented total." sqref="W151" xr:uid="{00000000-0002-0000-0100-000077000000}">
      <formula1>0</formula1>
      <formula2>C67</formula2>
    </dataValidation>
    <dataValidation type="whole" allowBlank="1" showErrorMessage="1" errorTitle="Invalid Asset Count" error="Value must be between 0 and the Total Asset Numbers above." sqref="Q164" xr:uid="{00000000-0002-0000-0100-000078000000}">
      <formula1>0</formula1>
      <formula2>$P160</formula2>
    </dataValidation>
    <dataValidation type="whole" allowBlank="1" showErrorMessage="1" errorTitle="Invalid Asset Count" error="Value must be between 0 and the Total Asset Numbers above." sqref="Q165" xr:uid="{00000000-0002-0000-0100-000079000000}">
      <formula1>0</formula1>
      <formula2>$P160</formula2>
    </dataValidation>
    <dataValidation type="whole" allowBlank="1" showErrorMessage="1" errorTitle="Invalid Asset Count" error="Value must be between 0 and the Total Asset Numbers above." sqref="Q166" xr:uid="{00000000-0002-0000-0100-00007A000000}">
      <formula1>0</formula1>
      <formula2>$P160</formula2>
    </dataValidation>
    <dataValidation type="whole" allowBlank="1" showErrorMessage="1" errorTitle="Invalid Asset Count" error="Value must be between 0 and the Total Asset Numbers above." sqref="Q167" xr:uid="{00000000-0002-0000-0100-00007B000000}">
      <formula1>0</formula1>
      <formula2>$P160</formula2>
    </dataValidation>
    <dataValidation type="whole" allowBlank="1" showErrorMessage="1" errorTitle="Invalid Asset Count" error="Value must be between 0 and the Total Asset Numbers above." sqref="Q168" xr:uid="{00000000-0002-0000-0100-00007C000000}">
      <formula1>0</formula1>
      <formula2>$P160</formula2>
    </dataValidation>
    <dataValidation type="whole" allowBlank="1" showErrorMessage="1" errorTitle="Invalid Asset Count" error="Value must be between 0 and the Total Asset Numbers above." sqref="Q169" xr:uid="{00000000-0002-0000-0100-00007D000000}">
      <formula1>0</formula1>
      <formula2>$P160</formula2>
    </dataValidation>
    <dataValidation type="whole" allowBlank="1" showErrorMessage="1" errorTitle="Invalid Asset Count" error="Value must be between 0 and the Total Asset Numbers above." sqref="Q170" xr:uid="{00000000-0002-0000-0100-00007E000000}">
      <formula1>0</formula1>
      <formula2>$P160</formula2>
    </dataValidation>
    <dataValidation type="whole" allowBlank="1" showErrorMessage="1" errorTitle="Invalid Asset Count" error="Value must be between 0 and the Total Asset Numbers above." sqref="Q171" xr:uid="{00000000-0002-0000-0100-00007F000000}">
      <formula1>0</formula1>
      <formula2>$P160</formula2>
    </dataValidation>
    <dataValidation type="whole" allowBlank="1" showErrorMessage="1" errorTitle="Invalid Asset Count" error="Value must be between 0 and the Total Asset Numbers above." sqref="Q172" xr:uid="{00000000-0002-0000-0100-000080000000}">
      <formula1>0</formula1>
      <formula2>$P160</formula2>
    </dataValidation>
    <dataValidation type="whole" allowBlank="1" showErrorMessage="1" errorTitle="Invalid Asset Count" error="Value must be between 0 and the Total Asset Numbers above." sqref="Q173" xr:uid="{00000000-0002-0000-0100-000081000000}">
      <formula1>0</formula1>
      <formula2>$P160</formula2>
    </dataValidation>
    <dataValidation type="whole" allowBlank="1" showErrorMessage="1" errorTitle="Invalid Asset Count" error="Value must be between 0 and the Total Asset Numbers above." sqref="Q174" xr:uid="{00000000-0002-0000-0100-000082000000}">
      <formula1>0</formula1>
      <formula2>$P160</formula2>
    </dataValidation>
    <dataValidation type="whole" allowBlank="1" showErrorMessage="1" errorTitle="Invalid Asset Count" error="Value must be between 0 and the Total Asset Numbers above." sqref="Q175" xr:uid="{00000000-0002-0000-0100-000083000000}">
      <formula1>0</formula1>
      <formula2>$P160</formula2>
    </dataValidation>
    <dataValidation type="whole" allowBlank="1" showErrorMessage="1" errorTitle="Invalid Asset Count" error="Value must be between 0 and the Total Asset Numbers above." sqref="Q176" xr:uid="{00000000-0002-0000-0100-000084000000}">
      <formula1>0</formula1>
      <formula2>$P160</formula2>
    </dataValidation>
    <dataValidation type="whole" allowBlank="1" showErrorMessage="1" errorTitle="Invalid Asset Count" error="Value must be between 0 and the Total Asset Numbers above." sqref="Q177" xr:uid="{00000000-0002-0000-0100-000085000000}">
      <formula1>0</formula1>
      <formula2>$P160</formula2>
    </dataValidation>
    <dataValidation type="whole" allowBlank="1" showErrorMessage="1" errorTitle="Invalid Asset Count" error="Value must be between 0 and the Total Asset Numbers above." sqref="Q178" xr:uid="{00000000-0002-0000-0100-000086000000}">
      <formula1>0</formula1>
      <formula2>$P160</formula2>
    </dataValidation>
    <dataValidation type="whole" allowBlank="1" showErrorMessage="1" errorTitle="Invalid Asset Count" error="Value must be between 0 and the Total Asset Numbers above." sqref="Q179" xr:uid="{00000000-0002-0000-0100-000087000000}">
      <formula1>0</formula1>
      <formula2>$P160</formula2>
    </dataValidation>
    <dataValidation type="whole" allowBlank="1" showErrorMessage="1" errorTitle="Invalid Asset Count" error="Value must be between 0 and the Total Asset Numbers above." sqref="Q180" xr:uid="{00000000-0002-0000-0100-000088000000}">
      <formula1>0</formula1>
      <formula2>$P160</formula2>
    </dataValidation>
    <dataValidation type="whole" allowBlank="1" showErrorMessage="1" errorTitle="Invalid Asset Count" error="Value must be between 0 and the Total Asset Numbers above." sqref="Q181" xr:uid="{00000000-0002-0000-0100-000089000000}">
      <formula1>0</formula1>
      <formula2>$P160</formula2>
    </dataValidation>
    <dataValidation type="whole" allowBlank="1" showErrorMessage="1" errorTitle="Invalid Asset Count" error="Value must be between 0 and the Total Asset Numbers above." sqref="Q182" xr:uid="{00000000-0002-0000-0100-00008A000000}">
      <formula1>0</formula1>
      <formula2>$P160</formula2>
    </dataValidation>
    <dataValidation type="whole" allowBlank="1" showErrorMessage="1" errorTitle="Invalid Asset Count" error="Value must be between 0 and the Total Asset Numbers above." sqref="Q183" xr:uid="{00000000-0002-0000-0100-00008B000000}">
      <formula1>0</formula1>
      <formula2>$P160</formula2>
    </dataValidation>
  </dataValidations>
  <hyperlinks>
    <hyperlink ref="B187"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9"/>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5"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15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15</v>
      </c>
      <c r="D14" s="3" t="s">
        <v>16</v>
      </c>
      <c r="E14" s="3" t="s">
        <v>17</v>
      </c>
      <c r="F14" s="3" t="s">
        <v>18</v>
      </c>
      <c r="G14" s="3" t="s">
        <v>19</v>
      </c>
      <c r="H14" s="4" t="s">
        <v>19</v>
      </c>
      <c r="I14" s="1" t="s">
        <v>80</v>
      </c>
      <c r="J14" s="1" t="s">
        <v>81</v>
      </c>
      <c r="K14" s="1" t="s">
        <v>82</v>
      </c>
      <c r="L14" s="3" t="str">
        <f t="shared" si="0"/>
        <v>Outstanding</v>
      </c>
      <c r="M14" s="11" t="s">
        <v>19</v>
      </c>
    </row>
    <row r="15" spans="1:13" ht="60" customHeight="1" x14ac:dyDescent="0.35">
      <c r="A15" s="10" t="s">
        <v>83</v>
      </c>
      <c r="B15" s="5" t="s">
        <v>84</v>
      </c>
      <c r="C15" s="6" t="s">
        <v>15</v>
      </c>
      <c r="D15" s="7" t="s">
        <v>16</v>
      </c>
      <c r="E15" s="7" t="s">
        <v>17</v>
      </c>
      <c r="F15" s="7" t="s">
        <v>18</v>
      </c>
      <c r="G15" s="7" t="s">
        <v>19</v>
      </c>
      <c r="H15" s="8" t="s">
        <v>19</v>
      </c>
      <c r="I15" s="5" t="s">
        <v>85</v>
      </c>
      <c r="J15" s="5" t="s">
        <v>86</v>
      </c>
      <c r="K15" s="5" t="s">
        <v>87</v>
      </c>
      <c r="L15" s="7" t="str">
        <f t="shared" si="0"/>
        <v>Outstanding</v>
      </c>
      <c r="M15" s="12" t="s">
        <v>19</v>
      </c>
    </row>
    <row r="19" spans="1:4" ht="32" customHeight="1" x14ac:dyDescent="0.35">
      <c r="A19" s="78" t="s">
        <v>88</v>
      </c>
      <c r="B19" s="78"/>
      <c r="C19" s="78"/>
      <c r="D19" s="78"/>
    </row>
  </sheetData>
  <mergeCells count="1">
    <mergeCell ref="A19:D19"/>
  </mergeCells>
  <conditionalFormatting sqref="C2:C15">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5">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5">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5">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5" xr:uid="{00000000-0002-0000-0200-000000000000}">
      <formula1>"Must,Should,Could,Won't,Unassigned"</formula1>
    </dataValidation>
    <dataValidation type="list" showErrorMessage="1" errorTitle="Invalid Value" error="Please select a value from the list: Low, Medium, High, Unassessed." sqref="E2:E15" xr:uid="{00000000-0002-0000-0200-000001000000}">
      <formula1>"Low,Medium,High,Unassessed"</formula1>
    </dataValidation>
    <dataValidation type="list" showErrorMessage="1" errorTitle="Invalid Value" error="Please select a value from the list: Phase1, Phase2, Phase3, Phase4, Phase5, Pending." sqref="F2:F1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5" xr:uid="{00000000-0002-0000-0200-000003000000}">
      <formula1>"Implemented,Testing,Failed,Compensated,Risk Accepted,N/A"</formula1>
    </dataValidation>
  </dataValidations>
  <hyperlinks>
    <hyperlink ref="A1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214</v>
      </c>
      <c r="C2" s="95" t="s">
        <v>214</v>
      </c>
      <c r="D2" s="95" t="s">
        <v>214</v>
      </c>
      <c r="E2" s="95" t="s">
        <v>214</v>
      </c>
      <c r="F2" s="95" t="s">
        <v>214</v>
      </c>
      <c r="G2" s="95" t="s">
        <v>214</v>
      </c>
      <c r="H2" s="99" t="s">
        <v>215</v>
      </c>
      <c r="I2" s="99" t="s">
        <v>215</v>
      </c>
      <c r="J2" s="99" t="s">
        <v>215</v>
      </c>
      <c r="K2" s="99" t="s">
        <v>215</v>
      </c>
      <c r="L2" s="99" t="s">
        <v>215</v>
      </c>
      <c r="M2" s="98" t="s">
        <v>216</v>
      </c>
      <c r="N2" s="98" t="s">
        <v>216</v>
      </c>
      <c r="O2" s="100" t="s">
        <v>217</v>
      </c>
      <c r="P2" s="100" t="s">
        <v>217</v>
      </c>
      <c r="Q2" s="96" t="s">
        <v>11</v>
      </c>
      <c r="R2" s="96" t="s">
        <v>11</v>
      </c>
      <c r="S2" s="96" t="s">
        <v>11</v>
      </c>
      <c r="T2" s="97" t="s">
        <v>218</v>
      </c>
    </row>
    <row r="3" spans="2:20" ht="35" customHeight="1" x14ac:dyDescent="0.35">
      <c r="B3" s="68" t="s">
        <v>219</v>
      </c>
      <c r="C3" s="68" t="s">
        <v>220</v>
      </c>
      <c r="D3" s="68" t="s">
        <v>221</v>
      </c>
      <c r="E3" s="68" t="s">
        <v>222</v>
      </c>
      <c r="F3" s="68" t="s">
        <v>223</v>
      </c>
      <c r="G3" s="68" t="s">
        <v>9</v>
      </c>
      <c r="H3" s="69" t="s">
        <v>224</v>
      </c>
      <c r="I3" s="69" t="s">
        <v>225</v>
      </c>
      <c r="J3" s="69" t="s">
        <v>226</v>
      </c>
      <c r="K3" s="69" t="s">
        <v>227</v>
      </c>
      <c r="L3" s="69" t="s">
        <v>159</v>
      </c>
      <c r="M3" s="70" t="s">
        <v>228</v>
      </c>
      <c r="N3" s="70" t="s">
        <v>229</v>
      </c>
      <c r="O3" s="71" t="s">
        <v>230</v>
      </c>
      <c r="P3" s="71" t="s">
        <v>231</v>
      </c>
      <c r="Q3" s="72" t="s">
        <v>11</v>
      </c>
      <c r="R3" s="72" t="s">
        <v>232</v>
      </c>
      <c r="S3" s="72" t="s">
        <v>233</v>
      </c>
      <c r="T3" s="73" t="s">
        <v>234</v>
      </c>
    </row>
    <row r="4" spans="2:20" ht="60" customHeight="1" x14ac:dyDescent="0.35">
      <c r="B4" s="74" t="s">
        <v>235</v>
      </c>
      <c r="C4" s="74" t="s">
        <v>236</v>
      </c>
      <c r="D4" s="74" t="s">
        <v>237</v>
      </c>
      <c r="E4" s="74" t="s">
        <v>238</v>
      </c>
      <c r="F4" s="74" t="s">
        <v>239</v>
      </c>
      <c r="G4" s="74" t="s">
        <v>240</v>
      </c>
      <c r="H4" s="74" t="s">
        <v>241</v>
      </c>
      <c r="I4" s="74" t="s">
        <v>242</v>
      </c>
      <c r="J4" s="74" t="s">
        <v>243</v>
      </c>
      <c r="K4" s="74" t="s">
        <v>244</v>
      </c>
      <c r="L4" s="74" t="s">
        <v>245</v>
      </c>
      <c r="M4" s="74" t="s">
        <v>246</v>
      </c>
      <c r="N4" s="74" t="s">
        <v>247</v>
      </c>
      <c r="O4" s="74" t="s">
        <v>248</v>
      </c>
      <c r="P4" s="74" t="s">
        <v>249</v>
      </c>
      <c r="Q4" s="74" t="s">
        <v>250</v>
      </c>
      <c r="R4" s="74" t="s">
        <v>251</v>
      </c>
      <c r="S4" s="74" t="s">
        <v>252</v>
      </c>
      <c r="T4" s="74" t="s">
        <v>253</v>
      </c>
    </row>
    <row r="5" spans="2:20" ht="60" customHeight="1" x14ac:dyDescent="0.35">
      <c r="B5" s="36" t="s">
        <v>254</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255</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256</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257</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258</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259</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260</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261</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262</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263</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264</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265</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266</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267</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268</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269</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270</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271</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272</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273</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274</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275</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276</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277</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278</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279</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280</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281</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282</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283</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284</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285</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286</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287</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288</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289</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290</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291</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292</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293</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294</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295</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296</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297</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298</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299</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300</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301</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302</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303</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88</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Microsoft Project 2013 Security Technical Implementation Guide - SHGIR</dc:title>
  <dc:subject>Generated on: 2026-06-08 12:03:38</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2026-06-08T11:03:43Z</dcterms:modified>
  <cp:category>DISA-STIG</cp:category>
  <cp:contentStatus>Draft</cp:contentStatus>
</cp:coreProperties>
</file>