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4253B72852C8982DEF225BBFA263D68C7733BD74" xr6:coauthVersionLast="47" xr6:coauthVersionMax="47" xr10:uidLastSave="{91734C3A-D935-474E-A2BA-B56F166D0A9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E95" i="3" s="1"/>
  <c r="E87" i="3"/>
  <c r="D87" i="3"/>
  <c r="C87" i="3"/>
  <c r="E86" i="3"/>
  <c r="D86" i="3"/>
  <c r="C86" i="3"/>
  <c r="W138" i="3" s="1"/>
  <c r="E85" i="3"/>
  <c r="D85" i="3"/>
  <c r="C85" i="3"/>
  <c r="U138" i="3" s="1"/>
  <c r="F84" i="3"/>
  <c r="T170" i="3" s="1"/>
  <c r="E84" i="3"/>
  <c r="D84" i="3"/>
  <c r="C84" i="3"/>
  <c r="S138" i="3" s="1"/>
  <c r="E69" i="3"/>
  <c r="D69" i="3"/>
  <c r="C69" i="3"/>
  <c r="F69"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F45" i="3" s="1"/>
  <c r="D45" i="3"/>
  <c r="C45" i="3"/>
  <c r="E44" i="3"/>
  <c r="D44" i="3"/>
  <c r="C44" i="3"/>
  <c r="F44" i="3" s="1"/>
  <c r="E30" i="3"/>
  <c r="D30" i="3"/>
  <c r="C30" i="3"/>
  <c r="F30" i="3" s="1"/>
  <c r="E29" i="3"/>
  <c r="D29" i="3"/>
  <c r="C29" i="3"/>
  <c r="F29" i="3" s="1"/>
  <c r="E16" i="3"/>
  <c r="D16" i="3"/>
  <c r="F16" i="3" s="1"/>
  <c r="C16" i="3"/>
  <c r="Q138" i="3" s="1"/>
  <c r="D9" i="3"/>
  <c r="C9" i="3"/>
  <c r="C7" i="3" s="1"/>
  <c r="D7" i="3" s="1"/>
  <c r="D8" i="3"/>
  <c r="C8" i="3"/>
  <c r="E112" i="3" l="1"/>
  <c r="D112" i="3"/>
  <c r="C112" i="3"/>
  <c r="E73" i="3"/>
  <c r="D73" i="3"/>
  <c r="C73" i="3"/>
  <c r="E53" i="3"/>
  <c r="D53" i="3"/>
  <c r="C53" i="3"/>
  <c r="E96" i="3"/>
  <c r="D96" i="3"/>
  <c r="C96" i="3"/>
  <c r="D114" i="3"/>
  <c r="C114" i="3"/>
  <c r="E114" i="3"/>
  <c r="E58" i="3"/>
  <c r="D58" i="3"/>
  <c r="C58" i="3"/>
  <c r="D75" i="3"/>
  <c r="C75" i="3"/>
  <c r="E75" i="3"/>
  <c r="E113" i="3"/>
  <c r="D113" i="3"/>
  <c r="C113"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C20" i="3"/>
  <c r="R166" i="3"/>
  <c r="R161" i="3"/>
  <c r="R156" i="3"/>
  <c r="R151" i="3"/>
  <c r="R146" i="3"/>
  <c r="R141" i="3"/>
  <c r="E34" i="3"/>
  <c r="D34" i="3"/>
  <c r="C34" i="3"/>
  <c r="E35" i="3"/>
  <c r="D35" i="3"/>
  <c r="C35" i="3"/>
  <c r="E74" i="3"/>
  <c r="D74" i="3"/>
  <c r="C74" i="3"/>
  <c r="E54" i="3"/>
  <c r="C54" i="3"/>
  <c r="D54" i="3"/>
  <c r="D55" i="3"/>
  <c r="C55" i="3"/>
  <c r="E55" i="3"/>
  <c r="E56" i="3"/>
  <c r="D56" i="3"/>
  <c r="C56" i="3"/>
  <c r="E115" i="3"/>
  <c r="D115" i="3"/>
  <c r="C115" i="3"/>
  <c r="C92" i="3"/>
  <c r="T141" i="3"/>
  <c r="T146" i="3"/>
  <c r="T151" i="3"/>
  <c r="T156" i="3"/>
  <c r="T161" i="3"/>
  <c r="T166" i="3"/>
  <c r="D92" i="3"/>
  <c r="E92" i="3"/>
  <c r="T142" i="3"/>
  <c r="T147" i="3"/>
  <c r="T152" i="3"/>
  <c r="T157" i="3"/>
  <c r="T162" i="3"/>
  <c r="T167" i="3"/>
  <c r="T143" i="3"/>
  <c r="T148" i="3"/>
  <c r="T153" i="3"/>
  <c r="T158" i="3"/>
  <c r="T163" i="3"/>
  <c r="T168" i="3"/>
  <c r="F85" i="3"/>
  <c r="C95" i="3"/>
  <c r="D95" i="3"/>
  <c r="F86" i="3"/>
  <c r="T144" i="3"/>
  <c r="T149" i="3"/>
  <c r="T154" i="3"/>
  <c r="T159" i="3"/>
  <c r="T164" i="3"/>
  <c r="T169" i="3"/>
  <c r="C57" i="3"/>
  <c r="D57" i="3"/>
  <c r="T140" i="3"/>
  <c r="T145" i="3"/>
  <c r="T150" i="3"/>
  <c r="T155" i="3"/>
  <c r="T160" i="3"/>
  <c r="T165" i="3"/>
  <c r="X170" i="3" l="1"/>
  <c r="X165" i="3"/>
  <c r="X160" i="3"/>
  <c r="X155" i="3"/>
  <c r="X150" i="3"/>
  <c r="X145" i="3"/>
  <c r="X140" i="3"/>
  <c r="X169" i="3"/>
  <c r="X164" i="3"/>
  <c r="X159" i="3"/>
  <c r="X154" i="3"/>
  <c r="X149" i="3"/>
  <c r="X144" i="3"/>
  <c r="X168" i="3"/>
  <c r="X163" i="3"/>
  <c r="X158" i="3"/>
  <c r="X153" i="3"/>
  <c r="X148" i="3"/>
  <c r="X143" i="3"/>
  <c r="D94" i="3"/>
  <c r="E94" i="3"/>
  <c r="X167" i="3"/>
  <c r="X162" i="3"/>
  <c r="X157" i="3"/>
  <c r="X152" i="3"/>
  <c r="X147" i="3"/>
  <c r="X142" i="3"/>
  <c r="C94" i="3"/>
  <c r="X166" i="3"/>
  <c r="X161" i="3"/>
  <c r="X156" i="3"/>
  <c r="X151" i="3"/>
  <c r="X146" i="3"/>
  <c r="X141" i="3"/>
  <c r="V170" i="3"/>
  <c r="V165" i="3"/>
  <c r="V160" i="3"/>
  <c r="V155" i="3"/>
  <c r="V150" i="3"/>
  <c r="V145" i="3"/>
  <c r="V140" i="3"/>
  <c r="V169" i="3"/>
  <c r="V164" i="3"/>
  <c r="V159" i="3"/>
  <c r="V154" i="3"/>
  <c r="V149" i="3"/>
  <c r="V144" i="3"/>
  <c r="V168" i="3"/>
  <c r="V163" i="3"/>
  <c r="V158" i="3"/>
  <c r="V153" i="3"/>
  <c r="V148" i="3"/>
  <c r="V143" i="3"/>
  <c r="C93" i="3"/>
  <c r="V167" i="3"/>
  <c r="V162" i="3"/>
  <c r="V157" i="3"/>
  <c r="V152" i="3"/>
  <c r="V147" i="3"/>
  <c r="V142" i="3"/>
  <c r="E93" i="3"/>
  <c r="D93" i="3"/>
  <c r="V166" i="3"/>
  <c r="V161" i="3"/>
  <c r="V156" i="3"/>
  <c r="V151" i="3"/>
  <c r="V146" i="3"/>
  <c r="V141" i="3"/>
</calcChain>
</file>

<file path=xl/sharedStrings.xml><?xml version="1.0" encoding="utf-8"?>
<sst xmlns="http://schemas.openxmlformats.org/spreadsheetml/2006/main" count="1430" uniqueCount="461">
  <si>
    <t>Id</t>
  </si>
  <si>
    <t>Title</t>
  </si>
  <si>
    <t>Severity</t>
  </si>
  <si>
    <t>Component</t>
  </si>
  <si>
    <t>MoSCoW</t>
  </si>
  <si>
    <t>OpsImpact</t>
  </si>
  <si>
    <t>Phase</t>
  </si>
  <si>
    <t>ImplStatus</t>
  </si>
  <si>
    <t>Notes</t>
  </si>
  <si>
    <t>Remediation</t>
  </si>
  <si>
    <t>Description</t>
  </si>
  <si>
    <t>Audit</t>
  </si>
  <si>
    <t>Status</t>
  </si>
  <si>
    <t>LogID</t>
  </si>
  <si>
    <t>V-255167</t>
  </si>
  <si>
    <r>
      <rPr>
        <sz val="11"/>
        <rFont val="Calibri"/>
      </rPr>
      <t>Microsoft Android 11 must be configured to enforce a minimum password length of six characters.</t>
    </r>
  </si>
  <si>
    <t>CAT II (Medium)</t>
  </si>
  <si>
    <t>COBO</t>
  </si>
  <si>
    <t>Unassigned</t>
  </si>
  <si>
    <t>Unassessed</t>
  </si>
  <si>
    <t>Pending</t>
  </si>
  <si>
    <t/>
  </si>
  <si>
    <r>
      <rPr>
        <sz val="11"/>
        <color rgb="FF000000"/>
        <rFont val="Calibri"/>
      </rPr>
      <t>Configure the Microsoft Android 11 device to enforce a minimum password length of six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Choose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Enter in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</si>
  <si>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</si>
  <si>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Microsoft Android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Check that Numeric Complex, Alphabetic, Alphanumeric, or Complex is selected.</t>
    </r>
    <r>
      <rPr>
        <sz val="11"/>
        <color rgb="FF000000"/>
        <rFont val="Calibri"/>
      </rPr>
      <t xml:space="preserve">
</t>
    </r>
    <r>
      <rPr>
        <sz val="11"/>
        <color rgb="FF000000"/>
        <rFont val="Calibri"/>
      </rPr>
      <t>5. Verify that "Minimum password length" is "6".</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"Password or PIN".</t>
    </r>
    <r>
      <rPr>
        <sz val="11"/>
        <color rgb="FF000000"/>
        <rFont val="Calibri"/>
      </rPr>
      <t xml:space="preserve">
</t>
    </r>
    <r>
      <rPr>
        <sz val="11"/>
        <color rgb="FF000000"/>
        <rFont val="Calibri"/>
      </rPr>
      <t>4. Verify Password length listed is at least "6".</t>
    </r>
    <r>
      <rPr>
        <sz val="11"/>
        <color rgb="FF000000"/>
        <rFont val="Calibri"/>
      </rPr>
      <t xml:space="preserve">
</t>
    </r>
    <r>
      <rPr>
        <sz val="11"/>
        <color rgb="FF000000"/>
        <rFont val="Calibri"/>
      </rPr>
      <t>If the device password length is not set to six characters or more on EMM console or on the Android 11 device, this is a finding.</t>
    </r>
  </si>
  <si>
    <t>V-255168</t>
  </si>
  <si>
    <r>
      <rPr>
        <sz val="11"/>
        <rFont val="Calibri"/>
      </rPr>
      <t>Microsoft Android 11 must be configured to not allow passwords that include more than two repeating or sequential characters.</t>
    </r>
  </si>
  <si>
    <r>
      <rPr>
        <sz val="11"/>
        <color rgb="FF000000"/>
        <rFont val="Calibri"/>
      </rPr>
      <t>Configure the Microsoft Android 11 device to prevent passwords from containing more than two repeating or sequential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</si>
  <si>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 The numeric (complex) setting allows the use of a numeric only keyboard for passwords plus enforces the repeating or sequential characters limitation.</t>
    </r>
    <r>
      <rPr>
        <sz val="11"/>
        <color rgb="FF000000"/>
        <rFont val="Calibri"/>
      </rPr>
      <t xml:space="preserve">
</t>
    </r>
    <r>
      <rPr>
        <sz val="11"/>
        <color rgb="FF000000"/>
        <rFont val="Calibri"/>
      </rPr>
      <t>SFR ID: FMT_SMF_EXT.1.1 #1b</t>
    </r>
  </si>
  <si>
    <r>
      <rPr>
        <sz val="11"/>
        <color rgb="FF000000"/>
        <rFont val="Calibri"/>
      </rPr>
      <t>Review Microsoft Android device configuration settings to determine if the mobile device is prohibiting passwords with more than two repeating or sequential characters.</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quality is set to "Numeric (Complex)".</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"Password".</t>
    </r>
    <r>
      <rPr>
        <sz val="11"/>
        <color rgb="FF000000"/>
        <rFont val="Calibri"/>
      </rPr>
      <t xml:space="preserve">
</t>
    </r>
    <r>
      <rPr>
        <sz val="11"/>
        <color rgb="FF000000"/>
        <rFont val="Calibri"/>
      </rPr>
      <t>4. Try to enter a new PIN or Password with repeating numbers or characters.</t>
    </r>
    <r>
      <rPr>
        <sz val="11"/>
        <color rgb="FF000000"/>
        <rFont val="Calibri"/>
      </rPr>
      <t xml:space="preserve">
</t>
    </r>
    <r>
      <rPr>
        <sz val="11"/>
        <color rgb="FF000000"/>
        <rFont val="Calibri"/>
      </rPr>
      <t>5. Verify Password complexity requirements are listed: Ascending, descending, or repeated sequence of digits is not allowed.</t>
    </r>
    <r>
      <rPr>
        <sz val="11"/>
        <color rgb="FF000000"/>
        <rFont val="Calibri"/>
      </rPr>
      <t xml:space="preserve">
</t>
    </r>
    <r>
      <rPr>
        <sz val="11"/>
        <color rgb="FF000000"/>
        <rFont val="Calibri"/>
      </rPr>
      <t>If the EMM console device policy is set to a password with more than two repeating or sequential characters or on the Android 11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</si>
  <si>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V-255169</t>
  </si>
  <si>
    <r>
      <rPr>
        <sz val="11"/>
        <rFont val="Calibri"/>
      </rPr>
      <t>Microsoft Android 11 must be configured to enable a screen-lock policy that will lock the display after a period of inactivity.</t>
    </r>
  </si>
  <si>
    <r>
      <rPr>
        <sz val="11"/>
        <color rgb="FF000000"/>
        <rFont val="Calibri"/>
      </rPr>
      <t>Configure the Microsoft Android 11 device to enable a screen-lock policy that will lock the display after a period of inactivity.</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any number desired. Units are in seconds.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</si>
  <si>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</si>
  <si>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Microsoft Android device configuration settings to determine if the mobile device is enforcing a screen-lock policy that will lock the display after a period of inactivity.</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any number desired. Units are in seconds.</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the desired value and cannot be set to a larger value.</t>
    </r>
    <r>
      <rPr>
        <sz val="11"/>
        <color rgb="FF000000"/>
        <rFont val="Calibri"/>
      </rPr>
      <t xml:space="preserve">
</t>
    </r>
    <r>
      <rPr>
        <sz val="11"/>
        <color rgb="FF000000"/>
        <rFont val="Calibri"/>
      </rPr>
      <t xml:space="preserve">If on the EMM console, the device policy is not set to enable a screen-lock policy that will lock the display after a period of inactivity, this is a finding. </t>
    </r>
    <r>
      <rPr>
        <sz val="11"/>
        <color rgb="FF000000"/>
        <rFont val="Calibri"/>
      </rPr>
      <t xml:space="preserve">
</t>
    </r>
    <r>
      <rPr>
        <sz val="11"/>
        <color rgb="FF000000"/>
        <rFont val="Calibri"/>
      </rPr>
      <t>If on the Android 11 device, the device policy is not set to enable a screen-lock policy that will lock the display after a period of inactivity, this is a finding.</t>
    </r>
  </si>
  <si>
    <t>V-255170</t>
  </si>
  <si>
    <r>
      <rPr>
        <sz val="11"/>
        <rFont val="Calibri"/>
      </rPr>
      <t>Microsoft Android 11 must be configured to lock the display after 15 minutes (or less) of inactivity.</t>
    </r>
  </si>
  <si>
    <r>
      <rPr>
        <sz val="11"/>
        <color rgb="FF000000"/>
        <rFont val="Calibri"/>
      </rPr>
      <t>Configure the Microsoft Android 11 device to lock the device display after 15 minutes (or less) of inactivity.</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any number between 1 and 900. Units are in seconds, so 900 represents 15 minutes (15 * 60 seconds).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</si>
  <si>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</si>
  <si>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Microsoft Android device configuration settings to determine if the mobile device has the screen lock timeout set to 15 minutes or less.</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any number between 1 and 900. Units are in seconds, so 900 represents 15 minutes.</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a period of 15 minutes or less.</t>
    </r>
    <r>
      <rPr>
        <sz val="11"/>
        <color rgb="FF000000"/>
        <rFont val="Calibri"/>
      </rPr>
      <t xml:space="preserve">
</t>
    </r>
    <r>
      <rPr>
        <sz val="11"/>
        <color rgb="FF000000"/>
        <rFont val="Calibri"/>
      </rPr>
      <t>If the EMM console device policy is not set to 15 minutes or less for the screen lock timeout or on the Android 11 device, the device policy is not set to 15 minutes or less for the screen lock timeout, this is a finding.</t>
    </r>
  </si>
  <si>
    <t>V-255171</t>
  </si>
  <si>
    <r>
      <rPr>
        <sz val="11"/>
        <rFont val="Calibri"/>
      </rPr>
      <t>Microsoft Android 11 must be configured to not allow more than 10 consecutive failed authentication attempts.</t>
    </r>
  </si>
  <si>
    <r>
      <rPr>
        <sz val="11"/>
        <color rgb="FF000000"/>
        <rFont val="Calibri"/>
      </rPr>
      <t>Configure the Microsoft Android 11 device to allow only 10 or fewer consecutive failed authentication attempts.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password failures for local wipe"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</si>
  <si>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</si>
  <si>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Microsoft Android device configuration settings to determine if the mobile device has the maximum number of consecutive failed authentication attempts set at 10 or fewer. </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password failures for local wipe" is set to a number between 1 and 10.</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Lock the device screen, then attempt to unlock the screen and validate that the device autowipes after specified number if invalid entries.</t>
    </r>
    <r>
      <rPr>
        <sz val="11"/>
        <color rgb="FF000000"/>
        <rFont val="Calibri"/>
      </rPr>
      <t xml:space="preserve">
</t>
    </r>
    <r>
      <rPr>
        <sz val="11"/>
        <color rgb="FF000000"/>
        <rFont val="Calibri"/>
      </rPr>
      <t>If the EMM console device policy is not set to the maximum number of consecutive failed authentication attempts at 10 or fewer, or if on the Android 11 device the device policy is not set to the maximum number of consecutive failed authentication attempts at 10 or fewer, this is a finding.</t>
    </r>
  </si>
  <si>
    <t>V-255172</t>
  </si>
  <si>
    <r>
      <rPr>
        <sz val="11"/>
        <rFont val="Calibri"/>
      </rPr>
      <t>Microsoft Android 11 must be configured to enforce an application installation policy by specifying one or more authorized application repositories, including [selection: DOD-approved commercial app repository, EMM server, mobile application store].</t>
    </r>
  </si>
  <si>
    <r>
      <rPr>
        <sz val="11"/>
        <color rgb="FF000000"/>
        <rFont val="Calibri"/>
      </rPr>
      <t>Configure the Microsoft Android 11 device to disable unauthorized application repositories.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install unknown sources" to "on".</t>
    </r>
    <r>
      <rPr>
        <sz val="11"/>
        <color rgb="FF000000"/>
        <rFont val="Calibri"/>
      </rPr>
      <t xml:space="preserve">
</t>
    </r>
    <r>
      <rPr>
        <sz val="11"/>
        <color rgb="FF000000"/>
        <rFont val="Calibri"/>
      </rPr>
      <t>3.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</si>
  <si>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</si>
  <si>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Microsoft Android device configuration settings to determine if the mobile device has only approved application repositories (DOD-approved commercial app repository, EMM server, and/or mobile application store).</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Open Settings &gt;&gt; Apps and notifications &gt;&gt; Advanced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by admin" is listed under the app name.</t>
    </r>
    <r>
      <rPr>
        <sz val="11"/>
        <color rgb="FF000000"/>
        <rFont val="Calibri"/>
      </rPr>
      <t xml:space="preserve">
</t>
    </r>
    <r>
      <rPr>
        <sz val="11"/>
        <color rgb="FF000000"/>
        <rFont val="Calibri"/>
      </rPr>
      <t>If the EMM console device policy is not set to allow connections to only approved application repositories or on the Android 11 device, the device policy is not set to allow connections to only approved application repositories, this is a finding.</t>
    </r>
  </si>
  <si>
    <t>V-255173</t>
  </si>
  <si>
    <r>
      <rPr>
        <sz val="11"/>
        <rFont val="Calibri"/>
      </rPr>
      <t>Microsoft Android 11 must be configured to enforce an application installation policy by specifying an application allow list that restricts applications by the following characteristics: [selection: list of digital signatures, cryptographic hash values, names, application version].</t>
    </r>
  </si>
  <si>
    <r>
      <rPr>
        <sz val="11"/>
        <color rgb="FF000000"/>
        <rFont val="Calibri"/>
      </rPr>
      <t>Configure the Microsoft Android 11 device to use an application allow list.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always a allow listed App Store.</t>
    </r>
  </si>
  <si>
    <r>
      <rPr>
        <sz val="11"/>
        <color rgb="FF000000"/>
        <rFont val="Calibri"/>
      </rPr>
      <t xml:space="preserve">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 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</si>
  <si>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Microsoft Android device configuration settings to determine if the mobile device has an application allow list configured. Verify all applications listed on the allow list have been approved by the Approving Official (AO).</t>
    </r>
    <r>
      <rPr>
        <sz val="11"/>
        <color rgb="FF000000"/>
        <rFont val="Calibri"/>
      </rPr>
      <t xml:space="preserve">
</t>
    </r>
    <r>
      <rPr>
        <sz val="11"/>
        <color rgb="FF000000"/>
        <rFont val="Calibri"/>
      </rPr>
      <t>This validation procedure is performed both on the EMM Administration console and mobile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AO-approved.</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Open the managed Google Play store and verify that only the approved apps are visible.</t>
    </r>
    <r>
      <rPr>
        <sz val="11"/>
        <color rgb="FF000000"/>
        <rFont val="Calibri"/>
      </rPr>
      <t xml:space="preserve">
</t>
    </r>
    <r>
      <rPr>
        <sz val="11"/>
        <color rgb="FF000000"/>
        <rFont val="Calibri"/>
      </rPr>
      <t>Note: Managed Google Play is always an allow listed App Store.</t>
    </r>
    <r>
      <rPr>
        <sz val="11"/>
        <color rgb="FF000000"/>
        <rFont val="Calibri"/>
      </rPr>
      <t xml:space="preserve">
</t>
    </r>
    <r>
      <rPr>
        <sz val="11"/>
        <color rgb="FF000000"/>
        <rFont val="Calibri"/>
      </rPr>
      <t>If on the EMM console the list of selected Managed Google Play apps included non-approved apps, this is a finding.</t>
    </r>
    <r>
      <rPr>
        <sz val="11"/>
        <color rgb="FF000000"/>
        <rFont val="Calibri"/>
      </rPr>
      <t xml:space="preserve">
</t>
    </r>
    <r>
      <rPr>
        <sz val="11"/>
        <color rgb="FF000000"/>
        <rFont val="Calibri"/>
      </rPr>
      <t>Note: The application allow list will include approved core applications (included in the OS by the OS vendor) and preinstalled applications (provided by the MD vendor and wireless carrier), or the MD must provide an alternate method of restricting user access/execution to core and preinstalled applications. For Microsoft Android, there are no preinstalled applications.</t>
    </r>
  </si>
  <si>
    <t>V-255174</t>
  </si>
  <si>
    <r>
      <rPr>
        <sz val="11"/>
        <rFont val="Calibri"/>
      </rPr>
      <t>Microsoft Android 11 allow 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140-2/FIPS 140-3 validated) data sharing with other MDs or printers.</t>
    </r>
  </si>
  <si>
    <r>
      <rPr>
        <sz val="11"/>
        <color rgb="FF000000"/>
        <rFont val="Calibri"/>
      </rPr>
      <t>Configure the Microsoft Android 11 device application allow list to exclude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140-2/FIPS 140-3 validated) data sharing with other MDs, display screens (screen mirroring), or printers.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</si>
  <si>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</si>
  <si>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Microsoft Android device configuration settings to determine if the mobile device has an application allow list configured and that the application allow 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140-2/FIPS 140-3 validated) data sharing with other MDs, display screens (screen mirroring), or printers.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</si>
  <si>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V-255175</t>
  </si>
  <si>
    <r>
      <rPr>
        <sz val="11"/>
        <rFont val="Calibri"/>
      </rPr>
      <t>Microsoft Android 11 must be configured to disable Bluetooth or configured via User Based Enforcement (UBE) to allow Bluetooth for only Headset Profile (HSP), HandsFree Profile (HFP), and Serial Port Profile (SPP).</t>
    </r>
  </si>
  <si>
    <t>CAT III (Low)</t>
  </si>
  <si>
    <r>
      <rPr>
        <sz val="11"/>
        <color rgb="FF000000"/>
        <rFont val="Calibri"/>
      </rPr>
      <t>Configure the Microsoft Android 11 device to disable Bluetooth or if the AO has approved the use of Bluetooth (for example, for car hands-free use), train the user to connect to only authorized Bluetooth devices using only HSP, HFP, or SPP Bluetooth capable devices (User Based Enforcement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MSFT-11-008700.</t>
    </r>
  </si>
  <si>
    <r>
      <rPr>
        <sz val="11"/>
        <color rgb="FF000000"/>
        <rFont val="Calibri"/>
      </rPr>
      <t>Some Bluetooth profiles provide the capability for remote transfer of sensitive DOD data without encryption or otherwise do not meet DOD IT security policies and therefore should be disabled.</t>
    </r>
    <r>
      <rPr>
        <sz val="11"/>
        <color rgb="FF000000"/>
        <rFont val="Calibri"/>
      </rPr>
      <t xml:space="preserve">
</t>
    </r>
    <r>
      <rPr>
        <sz val="11"/>
        <color rgb="FF000000"/>
        <rFont val="Calibri"/>
      </rPr>
      <t>SFR ID: FMT_SMF_EXT.1.1 #18h</t>
    </r>
  </si>
  <si>
    <r>
      <rPr>
        <sz val="11"/>
        <color rgb="FF000000"/>
        <rFont val="Calibri"/>
      </rPr>
      <t>Determine if the AO has approved the use of Bluetooth at the site.</t>
    </r>
    <r>
      <rPr>
        <sz val="11"/>
        <color rgb="FF000000"/>
        <rFont val="Calibri"/>
      </rPr>
      <t xml:space="preserve">
</t>
    </r>
    <r>
      <rPr>
        <sz val="11"/>
        <color rgb="FF000000"/>
        <rFont val="Calibri"/>
      </rPr>
      <t>If the AO has not approved the use of Bluetooth, verify Bluetooth has been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Verify that "Disallow Bluetooth" is toggled to "On".</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Ensure that it is set to "Off" and cannot be toggled to "On".</t>
    </r>
    <r>
      <rPr>
        <sz val="11"/>
        <color rgb="FF000000"/>
        <rFont val="Calibri"/>
      </rPr>
      <t xml:space="preserve">
</t>
    </r>
    <r>
      <rPr>
        <sz val="11"/>
        <color rgb="FF000000"/>
        <rFont val="Calibri"/>
      </rPr>
      <t>If the AO has approved the use of Bluetooth, on the Microsoft Android 11 device do the following:</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 connected devices using approved profiles are listed.</t>
    </r>
    <r>
      <rPr>
        <sz val="11"/>
        <color rgb="FF000000"/>
        <rFont val="Calibri"/>
      </rPr>
      <t xml:space="preserve">
</t>
    </r>
    <r>
      <rPr>
        <sz val="11"/>
        <color rgb="FF000000"/>
        <rFont val="Calibri"/>
      </rPr>
      <t>If the AO has not approved the use of Bluetooth, and Bluetooth use is not disabled via an EMM 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</si>
  <si>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V-255176</t>
  </si>
  <si>
    <r>
      <rPr>
        <sz val="11"/>
        <rFont val="Calibri"/>
      </rPr>
      <t>Microsoft Android 11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</si>
  <si>
    <r>
      <rPr>
        <sz val="11"/>
        <color rgb="FF000000"/>
        <rFont val="Calibri"/>
      </rPr>
      <t>Configure the Microsoft Android 11 device to not display (work profile) notifications when the device is locked.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Select "Work Profile".</t>
    </r>
    <r>
      <rPr>
        <sz val="11"/>
        <color rgb="FF000000"/>
        <rFont val="Calibri"/>
      </rPr>
      <t xml:space="preserve">
</t>
    </r>
    <r>
      <rPr>
        <sz val="11"/>
        <color rgb="FF000000"/>
        <rFont val="Calibri"/>
      </rPr>
      <t>3. Toggle "Disable Unredacted 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</si>
  <si>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Microsoft Android device to not send notifications to the lock screen mitigates this risk.</t>
    </r>
    <r>
      <rPr>
        <sz val="11"/>
        <color rgb="FF000000"/>
        <rFont val="Calibri"/>
      </rPr>
      <t xml:space="preserve">
</t>
    </r>
    <r>
      <rPr>
        <sz val="11"/>
        <color rgb="FF000000"/>
        <rFont val="Calibri"/>
      </rPr>
      <t>SFR ID: FMT_SMF_EXT.1.1 #19</t>
    </r>
  </si>
  <si>
    <r>
      <rPr>
        <sz val="11"/>
        <color rgb="FF000000"/>
        <rFont val="Calibri"/>
      </rPr>
      <t xml:space="preserve">Review Microsoft Android device settings to determine if the Microsoft Android device displays (work container)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Select "Work Profile".</t>
    </r>
    <r>
      <rPr>
        <sz val="11"/>
        <color rgb="FF000000"/>
        <rFont val="Calibri"/>
      </rPr>
      <t xml:space="preserve">
</t>
    </r>
    <r>
      <rPr>
        <sz val="11"/>
        <color rgb="FF000000"/>
        <rFont val="Calibri"/>
      </rPr>
      <t>3. Verify that "Disable Unredacted Notifications" is toggled to "On".</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 xml:space="preserve">1. Go to Settings &gt;&gt; Display &gt;&gt; Advanced. </t>
    </r>
    <r>
      <rPr>
        <sz val="11"/>
        <color rgb="FF000000"/>
        <rFont val="Calibri"/>
      </rPr>
      <t xml:space="preserve">
</t>
    </r>
    <r>
      <rPr>
        <sz val="11"/>
        <color rgb="FF000000"/>
        <rFont val="Calibri"/>
      </rPr>
      <t>2. Tap on Lock screen display.</t>
    </r>
    <r>
      <rPr>
        <sz val="11"/>
        <color rgb="FF000000"/>
        <rFont val="Calibri"/>
      </rPr>
      <t xml:space="preserve">
</t>
    </r>
    <r>
      <rPr>
        <sz val="11"/>
        <color rgb="FF000000"/>
        <rFont val="Calibri"/>
      </rPr>
      <t>3. Ensure "Hide sensitive work content" is listed under "When work profile is locked".</t>
    </r>
    <r>
      <rPr>
        <sz val="11"/>
        <color rgb="FF000000"/>
        <rFont val="Calibri"/>
      </rPr>
      <t xml:space="preserve">
</t>
    </r>
    <r>
      <rPr>
        <sz val="11"/>
        <color rgb="FF000000"/>
        <rFont val="Calibri"/>
      </rPr>
      <t>If the EMM console device policy allows work notifications on the lock screen, or the Android 11 device allows work notifications on the lock screen, this is a finding.</t>
    </r>
  </si>
  <si>
    <t>V-255177</t>
  </si>
  <si>
    <r>
      <rPr>
        <sz val="11"/>
        <rFont val="Calibri"/>
      </rPr>
      <t>Microsoft Android 11 must be configured to enable encryption for data at rest on removable storage media or alternately, the use of removable storage media must be disabled.</t>
    </r>
  </si>
  <si>
    <t>CAT I (High)</t>
  </si>
  <si>
    <r>
      <rPr>
        <sz val="11"/>
        <color rgb="FF000000"/>
        <rFont val="Calibri"/>
      </rPr>
      <t>Configure the Microsoft Android 11 device to disable use of removable storage media.</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usb file transfer" to "On".</t>
    </r>
    <r>
      <rPr>
        <sz val="11"/>
        <color rgb="FF000000"/>
        <rFont val="Calibri"/>
      </rPr>
      <t xml:space="preserve">
</t>
    </r>
    <r>
      <rPr>
        <sz val="11"/>
        <color rgb="FF000000"/>
        <rFont val="Calibri"/>
      </rPr>
      <t>3. Toggle "Disallow mount physical media" to "On".</t>
    </r>
  </si>
  <si>
    <r>
      <rPr>
        <sz val="11"/>
        <color rgb="FF000000"/>
        <rFont val="Calibri"/>
      </rPr>
      <t>The Microsoft Android device must ensure the data being written to the mobile device's removable media is protected from unauthorized access. If data at rest is unencrypted, it is vulnerable to disclosure. Even if the operating system enforces permissions on data access, an adversary can read removable media directly, thereby circumventing operating system controls. Encrypting the data ensures confidentiality is protected even when the operating system is not running.</t>
    </r>
    <r>
      <rPr>
        <sz val="11"/>
        <color rgb="FF000000"/>
        <rFont val="Calibri"/>
      </rPr>
      <t xml:space="preserve">
</t>
    </r>
    <r>
      <rPr>
        <sz val="11"/>
        <color rgb="FF000000"/>
        <rFont val="Calibri"/>
      </rPr>
      <t>SFR ID: FMT_SMF_EXT.1.1 #21, #47f</t>
    </r>
  </si>
  <si>
    <r>
      <rPr>
        <sz val="11"/>
        <color rgb="FF000000"/>
        <rFont val="Calibri"/>
      </rPr>
      <t>Review Microsoft Android device settings to determine if the Microsoft Android device has disabled use of removable storage media.</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usb file transfer" is toggled to "On".</t>
    </r>
    <r>
      <rPr>
        <sz val="11"/>
        <color rgb="FF000000"/>
        <rFont val="Calibri"/>
      </rPr>
      <t xml:space="preserve">
</t>
    </r>
    <r>
      <rPr>
        <sz val="11"/>
        <color rgb="FF000000"/>
        <rFont val="Calibri"/>
      </rPr>
      <t>3. Verify that "Disallow mount physical media" is toggled to "On".</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Insert SD card and/or attach a USB storage device.</t>
    </r>
    <r>
      <rPr>
        <sz val="11"/>
        <color rgb="FF000000"/>
        <rFont val="Calibri"/>
      </rPr>
      <t xml:space="preserve">
</t>
    </r>
    <r>
      <rPr>
        <sz val="11"/>
        <color rgb="FF000000"/>
        <rFont val="Calibri"/>
      </rPr>
      <t>2. Validate that use of either is unavailable for storing data.</t>
    </r>
    <r>
      <rPr>
        <sz val="11"/>
        <color rgb="FF000000"/>
        <rFont val="Calibri"/>
      </rPr>
      <t xml:space="preserve">
</t>
    </r>
    <r>
      <rPr>
        <sz val="11"/>
        <color rgb="FF000000"/>
        <rFont val="Calibri"/>
      </rPr>
      <t>If the use of removable storage has not been disabled, this is a finding.</t>
    </r>
  </si>
  <si>
    <t>V-255178</t>
  </si>
  <si>
    <r>
      <rPr>
        <sz val="11"/>
        <rFont val="Calibri"/>
      </rPr>
      <t>Microsoft Android 11 must be configured to disable trust agents. Note: This requirement is not applicable (NA) for specific biometric authentication factors included in the product</t>
    </r>
    <r>
      <rPr>
        <sz val="11"/>
        <color rgb="FF000000"/>
        <rFont val="Calibri"/>
      </rPr>
      <t>'</t>
    </r>
    <r>
      <rPr>
        <sz val="11"/>
        <color rgb="FF000000"/>
        <rFont val="Calibri"/>
      </rPr>
      <t>s Common Criteria evaluation.</t>
    </r>
  </si>
  <si>
    <r>
      <rPr>
        <sz val="11"/>
        <color rgb="FF000000"/>
        <rFont val="Calibri"/>
      </rPr>
      <t xml:space="preserve">Configure Microsoft Android 11 device to disable trust agents.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Toggle "Disable trust agents"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Toggle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</si>
  <si>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#23,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</si>
  <si>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Microsoft Android 11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"Disable trust agents" is toggled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Verify that "Disable trust agents" is toggled to "On".</t>
    </r>
    <r>
      <rPr>
        <sz val="11"/>
        <color rgb="FF000000"/>
        <rFont val="Calibri"/>
      </rPr>
      <t xml:space="preserve">
</t>
    </r>
    <r>
      <rPr>
        <sz val="11"/>
        <color rgb="FF000000"/>
        <rFont val="Calibri"/>
      </rPr>
      <t xml:space="preserve">On the Microsoft Android 11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 xml:space="preserve">3. Tap "Advanced".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 xml:space="preserve">5. Verify that all listed trust agents are disabled and cannot be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"disable trust agents" is not selected, or on the Android 11 device a trust agent can be enabled, this is a finding.</t>
    </r>
  </si>
  <si>
    <t>V-255179</t>
  </si>
  <si>
    <r>
      <rPr>
        <sz val="11"/>
        <rFont val="Calibri"/>
      </rPr>
      <t>Microsoft Android 11 must be configured to disable developer modes.</t>
    </r>
  </si>
  <si>
    <r>
      <rPr>
        <sz val="11"/>
        <color rgb="FF000000"/>
        <rFont val="Calibri"/>
      </rPr>
      <t>Configure the Microsoft Android 11 device to disable developer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section.</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3. Open "Set user restrictions on parent" section.</t>
    </r>
    <r>
      <rPr>
        <sz val="11"/>
        <color rgb="FF000000"/>
        <rFont val="Calibri"/>
      </rPr>
      <t xml:space="preserve">
</t>
    </r>
    <r>
      <rPr>
        <sz val="11"/>
        <color rgb="FF000000"/>
        <rFont val="Calibri"/>
      </rPr>
      <t>4. Toggle "Disallow debugging features" to "On".</t>
    </r>
  </si>
  <si>
    <r>
      <rPr>
        <sz val="11"/>
        <color rgb="FF000000"/>
        <rFont val="Calibri"/>
      </rPr>
      <t>Developer modes expose features of the Microsoft Android device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</si>
  <si>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Microsoft Android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section.</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3. Open "Set user restrictions on parent" section.</t>
    </r>
    <r>
      <rPr>
        <sz val="11"/>
        <color rgb="FF000000"/>
        <rFont val="Calibri"/>
      </rPr>
      <t xml:space="preserve">
</t>
    </r>
    <r>
      <rPr>
        <sz val="11"/>
        <color rgb="FF000000"/>
        <rFont val="Calibri"/>
      </rPr>
      <t>4. Verify that "Disallow debugging features" is toggled to "On".</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Developer Options is not listed.</t>
    </r>
    <r>
      <rPr>
        <sz val="11"/>
        <color rgb="FF000000"/>
        <rFont val="Calibri"/>
      </rPr>
      <t xml:space="preserve">
</t>
    </r>
    <r>
      <rPr>
        <sz val="11"/>
        <color rgb="FF000000"/>
        <rFont val="Calibri"/>
      </rPr>
      <t>3. Go to Settings &gt;&gt; About.</t>
    </r>
    <r>
      <rPr>
        <sz val="11"/>
        <color rgb="FF000000"/>
        <rFont val="Calibri"/>
      </rPr>
      <t xml:space="preserve">
</t>
    </r>
    <r>
      <rPr>
        <sz val="11"/>
        <color rgb="FF000000"/>
        <rFont val="Calibri"/>
      </rPr>
      <t>4. Tap on the Build number to try to enable Developer Options and validate that action is blocked (tap on Build number several times).</t>
    </r>
    <r>
      <rPr>
        <sz val="11"/>
        <color rgb="FF000000"/>
        <rFont val="Calibri"/>
      </rPr>
      <t xml:space="preserve">
</t>
    </r>
    <r>
      <rPr>
        <sz val="11"/>
        <color rgb="FF000000"/>
        <rFont val="Calibri"/>
      </rPr>
      <t>If the EMM console device policy is not set to disable developer mode or on the Android 11 device, the device policy is not set to disable developer mode, this is a finding.</t>
    </r>
  </si>
  <si>
    <t>V-255180</t>
  </si>
  <si>
    <r>
      <rPr>
        <sz val="11"/>
        <rFont val="Calibri"/>
      </rPr>
      <t>Microsoft Android 11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</si>
  <si>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1. By placing the DOD warning banner text in the user agreement signed by each Microsoft Android 11 device user (preferred method).</t>
    </r>
    <r>
      <rPr>
        <sz val="11"/>
        <color rgb="FF000000"/>
        <rFont val="Calibri"/>
      </rPr>
      <t xml:space="preserve">
</t>
    </r>
    <r>
      <rPr>
        <sz val="11"/>
        <color rgb="FF000000"/>
        <rFont val="Calibri"/>
      </rPr>
      <t>2. By configuring the warning banner text on the EMM console and installing the banner on each managed mobile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Enter in message.</t>
    </r>
  </si>
  <si>
    <r>
      <rPr>
        <sz val="11"/>
        <color rgb="FF000000"/>
        <rFont val="Calibri"/>
      </rPr>
      <t>The Microsoft Android 11 is required to display the DOD-approved system use notification message or banner before granting access to the system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KS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</si>
  <si>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Description):</t>
    </r>
    <r>
      <rPr>
        <sz val="11"/>
        <color rgb="FF000000"/>
        <rFont val="Calibri"/>
      </rPr>
      <t xml:space="preserve">
</t>
    </r>
    <r>
      <rPr>
        <sz val="11"/>
        <color rgb="FF000000"/>
        <rFont val="Calibri"/>
      </rPr>
      <t>1. By placing the DOD warning banner text in the user agreement signed by each Microsoft Android device user (preferred method).</t>
    </r>
    <r>
      <rPr>
        <sz val="11"/>
        <color rgb="FF000000"/>
        <rFont val="Calibri"/>
      </rPr>
      <t xml:space="preserve">
</t>
    </r>
    <r>
      <rPr>
        <sz val="11"/>
        <color rgb="FF000000"/>
        <rFont val="Calibri"/>
      </rPr>
      <t>2. By configuring the warning banner text on the EMM console and installing the banner on each managed mobile device.</t>
    </r>
    <r>
      <rPr>
        <sz val="11"/>
        <color rgb="FF000000"/>
        <rFont val="Calibri"/>
      </rPr>
      <t xml:space="preserve">
</t>
    </r>
    <r>
      <rPr>
        <sz val="11"/>
        <color rgb="FF000000"/>
        <rFont val="Calibri"/>
      </rPr>
      <t>Determine which method is used at the Microsoft Android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Microsoft Android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Verify message.</t>
    </r>
    <r>
      <rPr>
        <sz val="11"/>
        <color rgb="FF000000"/>
        <rFont val="Calibri"/>
      </rPr>
      <t xml:space="preserve">
</t>
    </r>
    <r>
      <rPr>
        <sz val="11"/>
        <color rgb="FF000000"/>
        <rFont val="Calibri"/>
      </rPr>
      <t>If, for Method #1 the required warning banner text is not on all signed user agreements reviewed, or for Method #2, the EMM console device policy is not set to display a warning banner with the appropriate designated wording or on the Android 11 device, the device policy is not set to display a warning banner with the appropriate designated wording, this is a finding.</t>
    </r>
  </si>
  <si>
    <t>V-255181</t>
  </si>
  <si>
    <r>
      <rPr>
        <sz val="11"/>
        <rFont val="Calibri"/>
      </rPr>
      <t>Microsoft Android 11 must be configured to disable USB mass storage mode.</t>
    </r>
  </si>
  <si>
    <r>
      <rPr>
        <sz val="11"/>
        <color rgb="FF000000"/>
        <rFont val="Calibri"/>
      </rPr>
      <t>Configure the Microsoft Android 11 device to disable USB mass storage mode.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"User restrictions on parent".</t>
    </r>
    <r>
      <rPr>
        <sz val="11"/>
        <color rgb="FF000000"/>
        <rFont val="Calibri"/>
      </rPr>
      <t xml:space="preserve">
</t>
    </r>
    <r>
      <rPr>
        <sz val="11"/>
        <color rgb="FF000000"/>
        <rFont val="Calibri"/>
      </rPr>
      <t>2. Toggle "Disallow usb file transfer".</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</si>
  <si>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#39a</t>
    </r>
  </si>
  <si>
    <r>
      <rPr>
        <sz val="11"/>
        <color rgb="FF000000"/>
        <rFont val="Calibri"/>
      </rPr>
      <t xml:space="preserve">Review Microsoft Android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"User restrictions on parent".</t>
    </r>
    <r>
      <rPr>
        <sz val="11"/>
        <color rgb="FF000000"/>
        <rFont val="Calibri"/>
      </rPr>
      <t xml:space="preserve">
</t>
    </r>
    <r>
      <rPr>
        <sz val="11"/>
        <color rgb="FF000000"/>
        <rFont val="Calibri"/>
      </rPr>
      <t>2. Verify that "Disallow usb file transfer" is toggled to "On".</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 xml:space="preserve">1. Plug a USB cable into Android 11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Ensure "No data transfer" is selected.</t>
    </r>
    <r>
      <rPr>
        <sz val="11"/>
        <color rgb="FF000000"/>
        <rFont val="Calibri"/>
      </rPr>
      <t xml:space="preserve">
</t>
    </r>
    <r>
      <rPr>
        <sz val="11"/>
        <color rgb="FF000000"/>
        <rFont val="Calibri"/>
      </rPr>
      <t>If the EMM console device policy is not set to disable USB mass storage mode or on the Android 11 device, the device policy is not set to disable USB mass storage mode, this is a finding.</t>
    </r>
  </si>
  <si>
    <t>V-255182</t>
  </si>
  <si>
    <r>
      <rPr>
        <sz val="11"/>
        <rFont val="Calibri"/>
      </rPr>
      <t>Microsoft Android 11 must be configured to not allow backup of [all applications, configuration data] to locally connected systems.</t>
    </r>
  </si>
  <si>
    <r>
      <rPr>
        <sz val="11"/>
        <color rgb="FF000000"/>
        <rFont val="Calibri"/>
      </rPr>
      <t>Configure the Microsoft Android 11 device to disable backup to locally connected systems.</t>
    </r>
    <r>
      <rPr>
        <sz val="11"/>
        <color rgb="FF000000"/>
        <rFont val="Calibri"/>
      </rPr>
      <t xml:space="preserve">
</t>
    </r>
    <r>
      <rPr>
        <sz val="11"/>
        <color rgb="FF000000"/>
        <rFont val="Calibri"/>
      </rPr>
      <t>Note: On Restrictions, the backup features for Android are not in the framework.</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backup service" to "Off".</t>
    </r>
    <r>
      <rPr>
        <sz val="11"/>
        <color rgb="FF000000"/>
        <rFont val="Calibri"/>
      </rPr>
      <t xml:space="preserve">
</t>
    </r>
    <r>
      <rPr>
        <sz val="11"/>
        <color rgb="FF000000"/>
        <rFont val="Calibri"/>
      </rPr>
      <t>3. Open "User restrictions on parent".</t>
    </r>
    <r>
      <rPr>
        <sz val="11"/>
        <color rgb="FF000000"/>
        <rFont val="Calibri"/>
      </rPr>
      <t xml:space="preserve">
</t>
    </r>
    <r>
      <rPr>
        <sz val="11"/>
        <color rgb="FF000000"/>
        <rFont val="Calibri"/>
      </rPr>
      <t>4. Select "Disallow usb file transfer".</t>
    </r>
  </si>
  <si>
    <r>
      <rPr>
        <sz val="11"/>
        <color rgb="FF000000"/>
        <rFont val="Calibri"/>
      </rPr>
      <t>Data on mobile devices is protected by numerous mechanisms, including user authentication, access control, and cryptography. When the data is backed up to an external system (either locally connected or cloud-based),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</si>
  <si>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Microsoft Android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backup service" is toggled to "Off".</t>
    </r>
    <r>
      <rPr>
        <sz val="11"/>
        <color rgb="FF000000"/>
        <rFont val="Calibri"/>
      </rPr>
      <t xml:space="preserve">
</t>
    </r>
    <r>
      <rPr>
        <sz val="11"/>
        <color rgb="FF000000"/>
        <rFont val="Calibri"/>
      </rPr>
      <t>3. Open "User restrictions on parent".</t>
    </r>
    <r>
      <rPr>
        <sz val="11"/>
        <color rgb="FF000000"/>
        <rFont val="Calibri"/>
      </rPr>
      <t xml:space="preserve">
</t>
    </r>
    <r>
      <rPr>
        <sz val="11"/>
        <color rgb="FF000000"/>
        <rFont val="Calibri"/>
      </rPr>
      <t>4. Verify that "Disallow usb file transfer" is toggled to "On".</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 xml:space="preserve">1. Plug a USB cable into Android 11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Ensure “No data transfer" is selected.</t>
    </r>
    <r>
      <rPr>
        <sz val="11"/>
        <color rgb="FF000000"/>
        <rFont val="Calibri"/>
      </rPr>
      <t xml:space="preserve">
</t>
    </r>
    <r>
      <rPr>
        <sz val="11"/>
        <color rgb="FF000000"/>
        <rFont val="Calibri"/>
      </rPr>
      <t>If the EMM console device policy is not set to disable the capability to back up to a locally connected system or on the Android 11 device, the device policy is not set to disable the capability to back up to a locally connected system, this is a finding.</t>
    </r>
  </si>
  <si>
    <t>V-255183</t>
  </si>
  <si>
    <r>
      <rPr>
        <sz val="11"/>
        <rFont val="Calibri"/>
      </rPr>
      <t>Microsoft Android 11 must be configured to not allow backup of all applications and configuration data to remote systems.</t>
    </r>
  </si>
  <si>
    <r>
      <rPr>
        <sz val="11"/>
        <color rgb="FF000000"/>
        <rFont val="Calibri"/>
      </rPr>
      <t>Configure the Microsoft Android 11 device to disable backup to remote systems (including commercial clouds).</t>
    </r>
    <r>
      <rPr>
        <sz val="11"/>
        <color rgb="FF000000"/>
        <rFont val="Calibri"/>
      </rPr>
      <t xml:space="preserve">
</t>
    </r>
    <r>
      <rPr>
        <sz val="11"/>
        <color rgb="FF000000"/>
        <rFont val="Calibri"/>
      </rPr>
      <t>Note: On a Restrictions, data in the work profile cannot be backed up by default.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Ensure "Enable backup service" is not selected.</t>
    </r>
    <r>
      <rPr>
        <sz val="11"/>
        <color rgb="FF000000"/>
        <rFont val="Calibri"/>
      </rPr>
      <t xml:space="preserve">
</t>
    </r>
    <r>
      <rPr>
        <sz val="11"/>
        <color rgb="FF000000"/>
        <rFont val="Calibri"/>
      </rPr>
      <t>Note: Since personal accounts cannot be added to the work profile (MSFT-11-009200), this control only impacts personal profile accounts. Site can allow backup based on local policy.</t>
    </r>
  </si>
  <si>
    <r>
      <rPr>
        <sz val="11"/>
        <color rgb="FF000000"/>
        <rFont val="Calibri"/>
      </rPr>
      <t>Backups to remote systems (including cloud backup) can leave data vulnerable to breach on the external systems, which often offer less protection than the Microsoft Android device.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</si>
  <si>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 xml:space="preserve">Review Microsoft Android device configuration settings to determine if the capability to back up to a remote system has been disabled. </t>
    </r>
    <r>
      <rPr>
        <sz val="11"/>
        <color rgb="FF000000"/>
        <rFont val="Calibri"/>
      </rPr>
      <t xml:space="preserve">
</t>
    </r>
    <r>
      <rPr>
        <sz val="11"/>
        <color rgb="FF000000"/>
        <rFont val="Calibri"/>
      </rPr>
      <t>Note: Since personal accounts cannot be added to the work profile (MSFT-11-009200), this control only impacts personal profile accounts. Site can allow backup based on local policy.</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backup service" is toggled to "Off".</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Backup is set to "Off".</t>
    </r>
    <r>
      <rPr>
        <sz val="11"/>
        <color rgb="FF000000"/>
        <rFont val="Calibri"/>
      </rPr>
      <t xml:space="preserve">
</t>
    </r>
    <r>
      <rPr>
        <sz val="11"/>
        <color rgb="FF000000"/>
        <rFont val="Calibri"/>
      </rPr>
      <t>If the EMM console device policy is not set to disable the capability to back up to a remote system or on the Android 11 device, the device policy is not set to disable the capability to back up to a remote system, this is a finding.</t>
    </r>
  </si>
  <si>
    <t>V-255184</t>
  </si>
  <si>
    <r>
      <rPr>
        <sz val="11"/>
        <rFont val="Calibri"/>
      </rPr>
      <t>Microsoft Android 11 must be configured to disable multi-user modes.</t>
    </r>
  </si>
  <si>
    <r>
      <rPr>
        <sz val="11"/>
        <color rgb="FF000000"/>
        <rFont val="Calibri"/>
      </rPr>
      <t>Configure the Microsoft Android 11 device to disable multi-user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modify accounts" to "On".</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</si>
  <si>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#47b</t>
    </r>
  </si>
  <si>
    <r>
      <rPr>
        <sz val="11"/>
        <color rgb="FF000000"/>
        <rFont val="Calibri"/>
      </rPr>
      <t>Review documentation on the Microsoft Android device and inspect the configuration on the Microsoft Android device to disable multi-user modes.</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modify accounts" is toggled to "On".</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Go to Settings &gt;&gt; Accounts &gt;&gt; Advanced &gt;&gt; Work.</t>
    </r>
    <r>
      <rPr>
        <sz val="11"/>
        <color rgb="FF000000"/>
        <rFont val="Calibri"/>
      </rPr>
      <t xml:space="preserve">
</t>
    </r>
    <r>
      <rPr>
        <sz val="11"/>
        <color rgb="FF000000"/>
        <rFont val="Calibri"/>
      </rPr>
      <t>2. Validate that "Add Account" is grayed out.</t>
    </r>
    <r>
      <rPr>
        <sz val="11"/>
        <color rgb="FF000000"/>
        <rFont val="Calibri"/>
      </rPr>
      <t xml:space="preserve">
</t>
    </r>
    <r>
      <rPr>
        <sz val="11"/>
        <color rgb="FF000000"/>
        <rFont val="Calibri"/>
      </rPr>
      <t>If the EMM console device policy is not set to disable multi-user modes or on the Android 11 device, the device policy is not set to disable multi-user modes, this is a finding.</t>
    </r>
  </si>
  <si>
    <t>V-255185</t>
  </si>
  <si>
    <r>
      <rPr>
        <sz val="11"/>
        <rFont val="Calibri"/>
      </rPr>
      <t>The mobile operating system must allow only the Administrator (MDM) to perform the following management function: Enable/disable location services.</t>
    </r>
  </si>
  <si>
    <r>
      <rPr>
        <sz val="11"/>
        <color rgb="FF000000"/>
        <rFont val="Calibri"/>
      </rPr>
      <t>Configure the Microsoft Android 11 device to enable/disable location services.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location" to "On".</t>
    </r>
    <r>
      <rPr>
        <sz val="11"/>
        <color rgb="FF000000"/>
        <rFont val="Calibri"/>
      </rPr>
      <t xml:space="preserve">
</t>
    </r>
    <r>
      <rPr>
        <sz val="11"/>
        <color rgb="FF000000"/>
        <rFont val="Calibri"/>
      </rPr>
      <t>3. Toggle "Disallow share location" to "On".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</si>
  <si>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#22</t>
    </r>
  </si>
  <si>
    <r>
      <rPr>
        <sz val="11"/>
        <color rgb="FF000000"/>
        <rFont val="Calibri"/>
      </rPr>
      <t>Review Microsoft Android device configuration settings to determine if the mobile device has location services on/off.</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that "Disallow config location" is toggled to "On".</t>
    </r>
    <r>
      <rPr>
        <sz val="11"/>
        <color rgb="FF000000"/>
        <rFont val="Calibri"/>
      </rPr>
      <t xml:space="preserve">
</t>
    </r>
    <r>
      <rPr>
        <sz val="11"/>
        <color rgb="FF000000"/>
        <rFont val="Calibri"/>
      </rPr>
      <t>3. Verify that "Disallow share location" is toggled to "On".</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Open Settings &gt;&gt; Location.</t>
    </r>
    <r>
      <rPr>
        <sz val="11"/>
        <color rgb="FF000000"/>
        <rFont val="Calibri"/>
      </rPr>
      <t xml:space="preserve">
</t>
    </r>
    <r>
      <rPr>
        <sz val="11"/>
        <color rgb="FF000000"/>
        <rFont val="Calibri"/>
      </rPr>
      <t>2. Validate that Location Services is off for Work and Personal.</t>
    </r>
    <r>
      <rPr>
        <sz val="11"/>
        <color rgb="FF000000"/>
        <rFont val="Calibri"/>
      </rPr>
      <t xml:space="preserve">
</t>
    </r>
    <r>
      <rPr>
        <sz val="11"/>
        <color rgb="FF000000"/>
        <rFont val="Calibri"/>
      </rPr>
      <t>If location services has not been disabled, this is a finding.</t>
    </r>
  </si>
  <si>
    <t>V-255186</t>
  </si>
  <si>
    <r>
      <rPr>
        <sz val="11"/>
        <rFont val="Calibri"/>
      </rPr>
      <t>Microsoft Android 11 must allow the Administrator (EMM) to perform the following management function: Wipe Enterprise data.</t>
    </r>
  </si>
  <si>
    <r>
      <rPr>
        <sz val="11"/>
        <color rgb="FF000000"/>
        <rFont val="Calibri"/>
      </rPr>
      <t>To perform the wipe Enterprise of data function on a Microsoft Android 11 device (when required):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Select "Wipe Data".</t>
    </r>
  </si>
  <si>
    <r>
      <rPr>
        <sz val="11"/>
        <color rgb="FF000000"/>
        <rFont val="Calibri"/>
      </rPr>
      <t>When a user's device is lost or stolen, it is useful to remotely wipe it as soon as possible to avoid loss of DOD sensitive information. The Administrator must have the capability to force a wipe on a lost or stolen device to reduce the risk of compromise of sensitive DOD data. This capability mitigates that risk.</t>
    </r>
    <r>
      <rPr>
        <sz val="11"/>
        <color rgb="FF000000"/>
        <rFont val="Calibri"/>
      </rPr>
      <t xml:space="preserve">
</t>
    </r>
    <r>
      <rPr>
        <sz val="11"/>
        <color rgb="FF000000"/>
        <rFont val="Calibri"/>
      </rPr>
      <t>SFR ID: FMT_SMF_EXT.1.1 #28</t>
    </r>
  </si>
  <si>
    <r>
      <rPr>
        <sz val="11"/>
        <color rgb="FF000000"/>
        <rFont val="Calibri"/>
      </rPr>
      <t>Review Microsoft Android device configuration settings to determine if the mobile device function to wipe Enterprise data works.</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"Managed work profile specific policies".</t>
    </r>
    <r>
      <rPr>
        <sz val="11"/>
        <color rgb="FF000000"/>
        <rFont val="Calibri"/>
      </rPr>
      <t xml:space="preserve">
</t>
    </r>
    <r>
      <rPr>
        <sz val="11"/>
        <color rgb="FF000000"/>
        <rFont val="Calibri"/>
      </rPr>
      <t>2. Select "Remove work profile".</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Verify the work profile has been removed from the Android 11 device.</t>
    </r>
    <r>
      <rPr>
        <sz val="11"/>
        <color rgb="FF000000"/>
        <rFont val="Calibri"/>
      </rPr>
      <t xml:space="preserve">
</t>
    </r>
    <r>
      <rPr>
        <sz val="11"/>
        <color rgb="FF000000"/>
        <rFont val="Calibri"/>
      </rPr>
      <t>If the EMM cannot wipe enterprise data (work profile), this is a finding.</t>
    </r>
  </si>
  <si>
    <t>V-255187</t>
  </si>
  <si>
    <r>
      <rPr>
        <sz val="11"/>
        <rFont val="Calibri"/>
      </rPr>
      <t>Microsoft Android 11 must be configured to enable audit logging.</t>
    </r>
  </si>
  <si>
    <r>
      <rPr>
        <sz val="11"/>
        <color rgb="FF000000"/>
        <rFont val="Calibri"/>
      </rPr>
      <t>Configure the Microsoft Android 11 device to enable audit logging.</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</si>
  <si>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To be useful, Administrators must have the ability to view the audit logs.</t>
    </r>
    <r>
      <rPr>
        <sz val="11"/>
        <color rgb="FF000000"/>
        <rFont val="Calibri"/>
      </rPr>
      <t xml:space="preserve">
</t>
    </r>
    <r>
      <rPr>
        <sz val="11"/>
        <color rgb="FF000000"/>
        <rFont val="Calibri"/>
      </rPr>
      <t>SFR ID: FMT_SMF_EXT.1.1 #32</t>
    </r>
  </si>
  <si>
    <r>
      <rPr>
        <sz val="11"/>
        <color rgb="FF000000"/>
        <rFont val="Calibri"/>
      </rPr>
      <t>Review documentation on the Microsoft Android device and inspect the configuration on the Microsoft Android device to enable audit logging.</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audit logging, this is a finding.</t>
    </r>
  </si>
  <si>
    <t>V-255188</t>
  </si>
  <si>
    <r>
      <rPr>
        <sz val="11"/>
        <rFont val="Calibri"/>
      </rPr>
      <t>Microsoft Android 11 must be configured to generate audit records for the following auditable events: Detected integrity violations.</t>
    </r>
  </si>
  <si>
    <r>
      <rPr>
        <sz val="11"/>
        <color rgb="FF000000"/>
        <rFont val="Calibri"/>
      </rPr>
      <t>Configure the Microsoft Android 11 device to generate audit records for the following auditable events: Detected integrity violations.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</si>
  <si>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The Requirement Statement lists key events that the system must generate an audit record for.</t>
    </r>
    <r>
      <rPr>
        <sz val="11"/>
        <color rgb="FF000000"/>
        <rFont val="Calibri"/>
      </rPr>
      <t xml:space="preserve">
</t>
    </r>
    <r>
      <rPr>
        <sz val="11"/>
        <color rgb="FF000000"/>
        <rFont val="Calibri"/>
      </rPr>
      <t>Application note: Requirement applies only to integrity violation detections that can be logged by the audit logging component.</t>
    </r>
    <r>
      <rPr>
        <sz val="11"/>
        <color rgb="FF000000"/>
        <rFont val="Calibri"/>
      </rPr>
      <t xml:space="preserve">
</t>
    </r>
    <r>
      <rPr>
        <sz val="11"/>
        <color rgb="FF000000"/>
        <rFont val="Calibri"/>
      </rPr>
      <t>SFR ID: FMT_SMF_EXT.1.1 #37</t>
    </r>
  </si>
  <si>
    <r>
      <rPr>
        <sz val="11"/>
        <color rgb="FF000000"/>
        <rFont val="Calibri"/>
      </rPr>
      <t>Review Microsoft Android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security logging, this is a finding.</t>
    </r>
  </si>
  <si>
    <t>V-255189</t>
  </si>
  <si>
    <r>
      <rPr>
        <sz val="11"/>
        <rFont val="Calibri"/>
      </rPr>
      <t>Microsoft Android 11 users must complete required training.</t>
    </r>
  </si>
  <si>
    <r>
      <rPr>
        <sz val="11"/>
        <color rgb="FF000000"/>
        <rFont val="Calibri"/>
      </rPr>
      <t xml:space="preserve">All Microsoft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Operational security concerns introduced by unmanaged applications/unmanaged personal space (personal profile), including applications using global positioning system (GPS) tracking. </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 xml:space="preserve">  **Secure use of Calendar Alarm.</t>
    </r>
    <r>
      <rPr>
        <sz val="11"/>
        <color rgb="FF000000"/>
        <rFont val="Calibri"/>
      </rPr>
      <t xml:space="preserve">
</t>
    </r>
    <r>
      <rPr>
        <sz val="11"/>
        <color rgb="FF000000"/>
        <rFont val="Calibri"/>
      </rPr>
      <t xml:space="preserve">  **Local screen mirroring and Mirroring procedures (authorized/not authorized for use).</t>
    </r>
    <r>
      <rPr>
        <sz val="11"/>
        <color rgb="FF000000"/>
        <rFont val="Calibri"/>
      </rPr>
      <t xml:space="preserve">
</t>
    </r>
    <r>
      <rPr>
        <sz val="11"/>
        <color rgb="FF000000"/>
        <rFont val="Calibri"/>
      </rPr>
      <t xml:space="preserve">  **Do not upload DOD contacts via smart call and caller ID services.</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**Disable Wi-Fi Sharing. </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xml:space="preserve">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AO guidance on acceptable use and restrictions, if any, on downloading and installing personal apps and data (music, photos, etc.) in the Google device personal space.</t>
    </r>
  </si>
  <si>
    <r>
      <rPr>
        <sz val="11"/>
        <color rgb="FF000000"/>
        <rFont val="Calibri"/>
      </rPr>
      <t>The security posture of Android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</si>
  <si>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Microsoft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Microsoft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Microsoft device user has not completed the required training, this is a finding.</t>
    </r>
  </si>
  <si>
    <t>V-255190</t>
  </si>
  <si>
    <r>
      <rPr>
        <sz val="11"/>
        <rFont val="Calibri"/>
      </rPr>
      <t>Microsoft Android 11 must be configured to enforce that Wi-Fi Sharing is disabled.</t>
    </r>
  </si>
  <si>
    <r>
      <rPr>
        <sz val="11"/>
        <color rgb="FF000000"/>
        <rFont val="Calibri"/>
      </rPr>
      <t xml:space="preserve">Configure Microsoft Android 11 device to disable Wi-Fi Sharing.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AO has not approved Mobile Hotspot, and it has been disabled on the EMM console, no further action is needed. If Mobile Hotspot is being used, use the following procedure to disable Wi-Fi Sharing: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</si>
  <si>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</si>
  <si>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Authorizing Official (AO) has not approved Mobile Hotspot, and it has been verified as disabled on the EMM console, no further action is needed. If Mobile Hotspot is being used, use the following procedure to verify Wi-Fi Sharing is disabled: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that "Disallow config tethering" is toggled to "On".</t>
    </r>
    <r>
      <rPr>
        <sz val="11"/>
        <color rgb="FF000000"/>
        <rFont val="Calibri"/>
      </rPr>
      <t xml:space="preserve">
</t>
    </r>
    <r>
      <rPr>
        <sz val="11"/>
        <color rgb="FF000000"/>
        <rFont val="Calibri"/>
      </rPr>
      <t xml:space="preserve">On the Microsoft Android 11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"Networks &amp; internet". </t>
    </r>
    <r>
      <rPr>
        <sz val="11"/>
        <color rgb="FF000000"/>
        <rFont val="Calibri"/>
      </rPr>
      <t xml:space="preserve">
</t>
    </r>
    <r>
      <rPr>
        <sz val="11"/>
        <color rgb="FF000000"/>
        <rFont val="Calibri"/>
      </rPr>
      <t xml:space="preserve">3. Verify that "Hotspots &amp; tethering"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Microsoft Android 11 device "Wi-Fi sharing" is enabled, this is a finding.</t>
    </r>
  </si>
  <si>
    <t>V-255191</t>
  </si>
  <si>
    <r>
      <rPr>
        <sz val="11"/>
        <rFont val="Calibri"/>
      </rPr>
      <t>Microsoft Android 11 must have the DOD root and intermediate PKI certificates installed.</t>
    </r>
  </si>
  <si>
    <r>
      <rPr>
        <sz val="11"/>
        <color rgb="FF000000"/>
        <rFont val="Calibri"/>
      </rPr>
      <t xml:space="preserve">Configure Microsoft Android 11 device to install DOD root and intermediate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upload DOD root and intermediate certificates as part of a device and/or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</si>
  <si>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#47</t>
    </r>
  </si>
  <si>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Microsoft Android 11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Microsoft Android 11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Microsoft Android 11 device does not list the DOD root and intermediate certificates under the user tab, this is a finding.</t>
    </r>
  </si>
  <si>
    <t>V-255192</t>
  </si>
  <si>
    <r>
      <rPr>
        <sz val="11"/>
        <rFont val="Calibri"/>
      </rPr>
      <t>Microsoft Android 11 must allow only the administrator (EMM) to install/remove DOD root and intermediate PKI certificates.</t>
    </r>
  </si>
  <si>
    <r>
      <rPr>
        <sz val="11"/>
        <color rgb="FF000000"/>
        <rFont val="Calibri"/>
      </rPr>
      <t>Configure Microsoft Android 11 device to prevent a user from removing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credentials" to "On".</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</si>
  <si>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</si>
  <si>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config credentials" is toggled to "On".</t>
    </r>
    <r>
      <rPr>
        <sz val="11"/>
        <color rgb="FF000000"/>
        <rFont val="Calibri"/>
      </rPr>
      <t xml:space="preserve">
</t>
    </r>
    <r>
      <rPr>
        <sz val="11"/>
        <color rgb="FF000000"/>
        <rFont val="Calibri"/>
      </rPr>
      <t xml:space="preserve">On the Microsoft Android 11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Microsoft Android 11 device the user is able to remove certificates, this is a finding.</t>
    </r>
  </si>
  <si>
    <t>V-255193</t>
  </si>
  <si>
    <r>
      <rPr>
        <sz val="11"/>
        <rFont val="Calibri"/>
      </rPr>
      <t>The Microsoft Android 11 Work Profile must be configured to prevent users from adding personal email accounts to the work email app.</t>
    </r>
  </si>
  <si>
    <r>
      <rPr>
        <sz val="11"/>
        <color rgb="FF000000"/>
        <rFont val="Calibri"/>
      </rPr>
      <t xml:space="preserve">Configure Microsoft Android 11 device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modify accounts" to "On".</t>
    </r>
    <r>
      <rPr>
        <sz val="11"/>
        <color rgb="FF000000"/>
        <rFont val="Calibri"/>
      </rPr>
      <t xml:space="preserve">
</t>
    </r>
    <r>
      <rPr>
        <sz val="11"/>
        <color rgb="FF000000"/>
        <rFont val="Calibri"/>
      </rPr>
      <t>Refer to the EMM documentation to determine how to provision users' work email accounts for the work email app.</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</si>
  <si>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allow listed accounts mitigates this vulnerability.</t>
    </r>
    <r>
      <rPr>
        <sz val="11"/>
        <color rgb="FF000000"/>
        <rFont val="Calibri"/>
      </rPr>
      <t xml:space="preserve">
</t>
    </r>
    <r>
      <rPr>
        <sz val="11"/>
        <color rgb="FF000000"/>
        <rFont val="Calibri"/>
      </rPr>
      <t>SFR ID: FMT_SMF_EXT.1.1 #47</t>
    </r>
  </si>
  <si>
    <r>
      <rPr>
        <sz val="11"/>
        <color rgb="FF000000"/>
        <rFont val="Calibri"/>
      </rPr>
      <t xml:space="preserve">Review the Microsoft Android 11 Work Profile configuration settings to confirm that users are prevented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Administrator console and the Microsoft Android 11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modify accounts" is toggled to "On".</t>
    </r>
    <r>
      <rPr>
        <sz val="11"/>
        <color rgb="FF000000"/>
        <rFont val="Calibri"/>
      </rPr>
      <t xml:space="preserve">
</t>
    </r>
    <r>
      <rPr>
        <sz val="11"/>
        <color rgb="FF000000"/>
        <rFont val="Calibri"/>
      </rPr>
      <t xml:space="preserve">On the Microsoft Android 11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"Accounts". </t>
    </r>
    <r>
      <rPr>
        <sz val="11"/>
        <color rgb="FF000000"/>
        <rFont val="Calibri"/>
      </rPr>
      <t xml:space="preserve">
</t>
    </r>
    <r>
      <rPr>
        <sz val="11"/>
        <color rgb="FF000000"/>
        <rFont val="Calibri"/>
      </rPr>
      <t>3. Verify that "Add account" is grayed out under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restriction to "Disallow modify accounts" is not set, or on the Microsoft Android 11 device the user is able to add an account in the Work section, this is a finding.</t>
    </r>
  </si>
  <si>
    <t>V-255194</t>
  </si>
  <si>
    <r>
      <rPr>
        <sz val="11"/>
        <rFont val="Calibri"/>
      </rPr>
      <t>Microsoft Android 11 Work Profile must be configured to enforce the system application disable list.</t>
    </r>
  </si>
  <si>
    <r>
      <rPr>
        <sz val="11"/>
        <color rgb="FF000000"/>
        <rFont val="Calibri"/>
      </rPr>
      <t xml:space="preserve">Configure Microsoft Android 11 device Work Profile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 xml:space="preserve">3. Enter package names of apps. </t>
    </r>
    <r>
      <rPr>
        <sz val="11"/>
        <color rgb="FF000000"/>
        <rFont val="Calibri"/>
      </rPr>
      <t xml:space="preserve">
</t>
    </r>
    <r>
      <rPr>
        <sz val="11"/>
        <color rgb="FF000000"/>
        <rFont val="Calibri"/>
      </rPr>
      <t>Configure a list of approved Microsoft Surface Duo 2 core and preinstalled apps in the core app allow 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</si>
  <si>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Microsoft Android 11 by Google.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Microsoft Android 11 build by Google, Microsoft,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</si>
  <si>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Microsoft Android 11 Work Profile configuration settings to confirm the system application disable list is enforced. This setting is enforced by default. What needs to happen is to verify only approved system apps have been placed on the core allow 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 list and verify only approved apps are on the list.</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Verify package names of apps.</t>
    </r>
    <r>
      <rPr>
        <sz val="11"/>
        <color rgb="FF000000"/>
        <rFont val="Calibri"/>
      </rPr>
      <t xml:space="preserve">
</t>
    </r>
    <r>
      <rPr>
        <sz val="11"/>
        <color rgb="FF000000"/>
        <rFont val="Calibri"/>
      </rPr>
      <t>If on the EMM console the system app allow list contains unapproved core apps, this is a finding.</t>
    </r>
  </si>
  <si>
    <t>V-255195</t>
  </si>
  <si>
    <r>
      <rPr>
        <sz val="11"/>
        <rFont val="Calibri"/>
      </rPr>
      <t>Microsoft Android 11 Work Profile must be configured to disable automatic completion of work space internet browser text input.</t>
    </r>
  </si>
  <si>
    <r>
      <rPr>
        <sz val="11"/>
        <color rgb="FF000000"/>
        <rFont val="Calibri"/>
      </rPr>
      <t>Configure Chrome Browser in Microsoft Android 11 device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"SearchSuggestEnabled" is turned off.</t>
    </r>
    <r>
      <rPr>
        <sz val="11"/>
        <color rgb="FF000000"/>
        <rFont val="Calibri"/>
      </rPr>
      <t xml:space="preserve">
</t>
    </r>
    <r>
      <rPr>
        <sz val="11"/>
        <color rgb="FF000000"/>
        <rFont val="Calibri"/>
      </rPr>
      <t>Refer to the EMM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</si>
  <si>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Microsoft Android 11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</si>
  <si>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Chrome Browser in Microsoft Android 11 Work Profile autofill setting.</t>
    </r>
    <r>
      <rPr>
        <sz val="11"/>
        <color rgb="FF000000"/>
        <rFont val="Calibri"/>
      </rPr>
      <t xml:space="preserve">
</t>
    </r>
    <r>
      <rPr>
        <sz val="11"/>
        <color rgb="FF000000"/>
        <rFont val="Calibri"/>
      </rPr>
      <t xml:space="preserve">This procedure is performed only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that "SearchSuggestEnabled"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autofill is set to on in the Chrome Browser Settings, this is a finding.</t>
    </r>
  </si>
  <si>
    <t>V-255196</t>
  </si>
  <si>
    <r>
      <rPr>
        <sz val="11"/>
        <rFont val="Calibri"/>
      </rPr>
      <t>Microsoft Android 11 Work Profile must be configured to disable the autofill services.</t>
    </r>
  </si>
  <si>
    <r>
      <rPr>
        <sz val="11"/>
        <color rgb="FF000000"/>
        <rFont val="Calibri"/>
      </rPr>
      <t xml:space="preserve">Configure Microsoft Android 11 device work profile to disable the autofill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"Disable autofill" to "On".</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</si>
  <si>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Microsoft Android 11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</si>
  <si>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Microsoft Android 11 work profile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"Disable autofill"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autofill" is selected, this is a finding.</t>
    </r>
  </si>
  <si>
    <t>V-255197</t>
  </si>
  <si>
    <r>
      <rPr>
        <sz val="11"/>
        <rFont val="Calibri"/>
      </rPr>
      <t>Microsoft Android 11 must be configured to disallow configuration of date and time.</t>
    </r>
  </si>
  <si>
    <r>
      <rPr>
        <sz val="11"/>
        <color rgb="FF000000"/>
        <rFont val="Calibri"/>
      </rPr>
      <t>Configure Microsoft Android 11 work Profile to set auto network 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date time" is "On".</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</si>
  <si>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Microsoft Android 11 are an authoritative time server that is synchronized with redundant United States Naval Observatory (USNO) time servers as designated for the appropriate DOD network (NIPRNet or SIPRNet), or the Global Positioning System (GPS),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audit system in Microsoft Android 11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</si>
  <si>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 xml:space="preserve">Review the Microsoft Android 11 Work Profile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Microsoft Android 11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that "Disallow config date time"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Microsoft Android 11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"System". </t>
    </r>
    <r>
      <rPr>
        <sz val="11"/>
        <color rgb="FF000000"/>
        <rFont val="Calibri"/>
      </rPr>
      <t xml:space="preserve">
</t>
    </r>
    <r>
      <rPr>
        <sz val="11"/>
        <color rgb="FF000000"/>
        <rFont val="Calibri"/>
      </rPr>
      <t xml:space="preserve">3. Tap "Date &amp; times". </t>
    </r>
    <r>
      <rPr>
        <sz val="11"/>
        <color rgb="FF000000"/>
        <rFont val="Calibri"/>
      </rPr>
      <t xml:space="preserve">
</t>
    </r>
    <r>
      <rPr>
        <sz val="11"/>
        <color rgb="FF000000"/>
        <rFont val="Calibri"/>
      </rPr>
      <t>4. Validate that "Use network-provided time" is set to "On" and grayed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config date time" is not enabled, or on the Microsoft Android 11 device "Use network-provided time" is not on and grayed out, this is a finding.</t>
    </r>
  </si>
  <si>
    <t>V-255198</t>
  </si>
  <si>
    <r>
      <rPr>
        <sz val="11"/>
        <rFont val="Calibri"/>
      </rPr>
      <t>Microsoft Android 11 devices must have the latest available Microsoft Android 11 operating system installed.</t>
    </r>
  </si>
  <si>
    <r>
      <rPr>
        <sz val="11"/>
        <color rgb="FF000000"/>
        <rFont val="Calibri"/>
      </rPr>
      <t>Install the latest released version of the Microsoft Android 11 operating system on all managed Microsoft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Microsoft Android 11 versions are located here: https://support.microsoft.com/en-us/surface/surface-duo-2-update-history-a3e72e49-8165-4ea6-b490-7fdc2a76c262.</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</si>
  <si>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</si>
  <si>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the Microsoft Android device recently released version of Microsoft Android 11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console and the Microsoft Android 11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EMM management console, review the version of Microsoft Android 11 installed on a sample of managed devices. This procedure will vary depending on the EMM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Microsoft Android 11 device, to determine the installed operating system version: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"About phone". </t>
    </r>
    <r>
      <rPr>
        <sz val="11"/>
        <color rgb="FF000000"/>
        <rFont val="Calibri"/>
      </rPr>
      <t xml:space="preserve">
</t>
    </r>
    <r>
      <rPr>
        <sz val="11"/>
        <color rgb="FF000000"/>
        <rFont val="Calibri"/>
      </rPr>
      <t xml:space="preserve">3. Verify "Build number".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Android operating system on any reviewed Microsoft devices is not the latest released by Microsoft, this is a finding. </t>
    </r>
    <r>
      <rPr>
        <sz val="11"/>
        <color rgb="FF000000"/>
        <rFont val="Calibri"/>
      </rPr>
      <t xml:space="preserve">
</t>
    </r>
    <r>
      <rPr>
        <sz val="11"/>
        <color rgb="FF000000"/>
        <rFont val="Calibri"/>
      </rPr>
      <t>Microsoft Android 11 versions are located here: https://support.microsoft.com/en-us/surface/surface-duo-2-update-history-a3e72e49-8165-4ea6-b490-7fdc2a76c262.</t>
    </r>
  </si>
  <si>
    <t>V-255199</t>
  </si>
  <si>
    <r>
      <rPr>
        <sz val="11"/>
        <rFont val="Calibri"/>
      </rPr>
      <t>Microsoft Android 11 devices must be configured to disable the use of third-party keyboards.</t>
    </r>
  </si>
  <si>
    <r>
      <rPr>
        <sz val="11"/>
        <color rgb="FF000000"/>
        <rFont val="Calibri"/>
      </rPr>
      <t xml:space="preserve">Configure Microsoft Android 11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an application allow list for Google Play that does not have any third-party keyboards.</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</si>
  <si>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</si>
  <si>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no third-party keyboards are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verify the application allow list for Google Play does not have any third-party keyboards. </t>
    </r>
    <r>
      <rPr>
        <sz val="11"/>
        <color rgb="FF000000"/>
        <rFont val="Calibri"/>
      </rPr>
      <t xml:space="preserve">
</t>
    </r>
    <r>
      <rPr>
        <sz val="11"/>
        <color rgb="FF000000"/>
        <rFont val="Calibri"/>
      </rPr>
      <t>If third-party keyboards are installed, this is a finding.</t>
    </r>
  </si>
  <si>
    <t>V-255200</t>
  </si>
  <si>
    <r>
      <rPr>
        <sz val="11"/>
        <rFont val="Calibri"/>
      </rPr>
      <t>Microsoft Android 11 devices must be configured to enable Common Criteria Mode (CC Mode).</t>
    </r>
  </si>
  <si>
    <r>
      <rPr>
        <sz val="11"/>
        <color rgb="FF000000"/>
        <rFont val="Calibri"/>
      </rPr>
      <t xml:space="preserve">Configure Microsoft Android 11 device to implement CC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enable "CC Mode".</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</si>
  <si>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CC Mode implements the following behavioral/functional changes: How the Bluetooth and Wi-Fi keys are stored using different types of encryption.</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</si>
  <si>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CC Mode is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the EMM management console, verify CC Mode has been enabled.</t>
    </r>
    <r>
      <rPr>
        <sz val="11"/>
        <color rgb="FF000000"/>
        <rFont val="Calibri"/>
      </rPr>
      <t xml:space="preserve">
</t>
    </r>
    <r>
      <rPr>
        <sz val="11"/>
        <color rgb="FF000000"/>
        <rFont val="Calibri"/>
      </rPr>
      <t>If CC Mode is not enabled, this is a finding.</t>
    </r>
  </si>
  <si>
    <t>V-255201</t>
  </si>
  <si>
    <t>COPE</t>
  </si>
  <si>
    <t>V-255202</t>
  </si>
  <si>
    <t>V-255203</t>
  </si>
  <si>
    <r>
      <rPr>
        <sz val="11"/>
        <color rgb="FF000000"/>
        <rFont val="Calibri"/>
      </rPr>
      <t>Review Microsoft Android device configuration settings to determine if the mobile device is enforcing a screen-lock policy that will lock the display after a period of inactivity.</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any number desired. Units are in seconds.</t>
    </r>
    <r>
      <rPr>
        <sz val="11"/>
        <color rgb="FF000000"/>
        <rFont val="Calibri"/>
      </rPr>
      <t xml:space="preserve">
</t>
    </r>
    <r>
      <rPr>
        <sz val="11"/>
        <color rgb="FF000000"/>
        <rFont val="Calibri"/>
      </rPr>
      <t>On the Microsoft Android 11 device:</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the desired value and cannot be set to a larger value.</t>
    </r>
    <r>
      <rPr>
        <sz val="11"/>
        <color rgb="FF000000"/>
        <rFont val="Calibri"/>
      </rPr>
      <t xml:space="preserve">
</t>
    </r>
    <r>
      <rPr>
        <sz val="11"/>
        <color rgb="FF000000"/>
        <rFont val="Calibri"/>
      </rPr>
      <t>If on the EMM console, the device policy is not set to enable a screen-lock policy that will lock the display after a period of inactivity, this is a finding.</t>
    </r>
    <r>
      <rPr>
        <sz val="11"/>
        <color rgb="FF000000"/>
        <rFont val="Calibri"/>
      </rPr>
      <t xml:space="preserve">
</t>
    </r>
    <r>
      <rPr>
        <sz val="11"/>
        <color rgb="FF000000"/>
        <rFont val="Calibri"/>
      </rPr>
      <t>If on the Android 11 device, the device policy is not set to enable a screen-lock policy that will lock the display after a period of inactivity, this is a finding.</t>
    </r>
  </si>
  <si>
    <t>V-255204</t>
  </si>
  <si>
    <t>V-255205</t>
  </si>
  <si>
    <t>V-255206</t>
  </si>
  <si>
    <t>V-255207</t>
  </si>
  <si>
    <t>V-255208</t>
  </si>
  <si>
    <r>
      <rPr>
        <sz val="11"/>
        <rFont val="Calibri"/>
      </rPr>
      <t>Microsoft Android 11 allow list must be configured to not include applications with the following characteristics: - Back up MD data to non-DOD cloud servers (including user and application access to cloud backup services);- Transmit MD diagnostic data to non-DOD servers;- Voice assistant application if available when MD is locked;- Voice dialing application if available when MD is locked;- Allows synchronization of data or applications between devices associated with user; and- Allows unencrypted (or encrypted but not FIPS 140-2/FIPS 140-3 validated) data sharing with other MDs or printers.</t>
    </r>
  </si>
  <si>
    <t>V-255209</t>
  </si>
  <si>
    <t>V-255210</t>
  </si>
  <si>
    <r>
      <rPr>
        <sz val="11"/>
        <rFont val="Calibri"/>
      </rPr>
      <t>Microsoft Android 11 must be configured to not display the following (work profile) notifications when the device is locked: [selection:- Email notifications - Calendar appointments - Contact associated with phone call notification - Text message notification- Other application-based notifications- All notifications].</t>
    </r>
  </si>
  <si>
    <t>V-255211</t>
  </si>
  <si>
    <t>V-255212</t>
  </si>
  <si>
    <t>V-255213</t>
  </si>
  <si>
    <t>V-255214</t>
  </si>
  <si>
    <t>V-255215</t>
  </si>
  <si>
    <t>V-255216</t>
  </si>
  <si>
    <t>V-255217</t>
  </si>
  <si>
    <t>V-255218</t>
  </si>
  <si>
    <r>
      <rPr>
        <sz val="11"/>
        <rFont val="Calibri"/>
      </rPr>
      <t>Microsoft Android 11 must be configured to disable exceptions to the access control policy that prevent application processes from accessing all data stored by other application processes.</t>
    </r>
  </si>
  <si>
    <r>
      <rPr>
        <sz val="11"/>
        <color rgb="FF000000"/>
        <rFont val="Calibri"/>
      </rPr>
      <t>Configure the Microsoft Android 11 device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 xml:space="preserve">Note: All application data is inherently sandboxed and isolated from other applications. </t>
    </r>
    <r>
      <rPr>
        <sz val="11"/>
        <color rgb="FF000000"/>
        <rFont val="Calibri"/>
      </rPr>
      <t xml:space="preserve">
</t>
    </r>
    <r>
      <rPr>
        <sz val="11"/>
        <color rgb="FF000000"/>
        <rFont val="Calibri"/>
      </rPr>
      <t>To disable copy/paste 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cross profile copy/paste" to "On".</t>
    </r>
    <r>
      <rPr>
        <sz val="11"/>
        <color rgb="FF000000"/>
        <rFont val="Calibri"/>
      </rPr>
      <t xml:space="preserve">
</t>
    </r>
    <r>
      <rPr>
        <sz val="11"/>
        <color rgb="FF000000"/>
        <rFont val="Calibri"/>
      </rPr>
      <t>3. Toggle "Disallow sharing data into the profile" to "On".</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</si>
  <si>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</si>
  <si>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Microsoft Android device and inspect the configuration on the Microsoft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cross profile copy/paste" is toggled to "On".</t>
    </r>
    <r>
      <rPr>
        <sz val="11"/>
        <color rgb="FF000000"/>
        <rFont val="Calibri"/>
      </rPr>
      <t xml:space="preserve">
</t>
    </r>
    <r>
      <rPr>
        <sz val="11"/>
        <color rgb="FF000000"/>
        <rFont val="Calibri"/>
      </rPr>
      <t>3. Verify that "Disallow sharing data into the profile" is toggled to "On".</t>
    </r>
    <r>
      <rPr>
        <sz val="11"/>
        <color rgb="FF000000"/>
        <rFont val="Calibri"/>
      </rPr>
      <t xml:space="preserve">
</t>
    </r>
    <r>
      <rPr>
        <sz val="11"/>
        <color rgb="FF000000"/>
        <rFont val="Calibri"/>
      </rPr>
      <t>If the EMM console device policy is not set to disable data sharing between profiles, this is a finding.</t>
    </r>
  </si>
  <si>
    <t>V-255219</t>
  </si>
  <si>
    <t>V-255220</t>
  </si>
  <si>
    <t>V-255221</t>
  </si>
  <si>
    <r>
      <rPr>
        <sz val="11"/>
        <color rgb="FF000000"/>
        <rFont val="Calibri"/>
      </rPr>
      <t>To perform the wipe Enterprise of data function on a Microsoft Android 11 device (when required).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"Managed work profile specific policies".</t>
    </r>
    <r>
      <rPr>
        <sz val="11"/>
        <color rgb="FF000000"/>
        <rFont val="Calibri"/>
      </rPr>
      <t xml:space="preserve">
</t>
    </r>
    <r>
      <rPr>
        <sz val="11"/>
        <color rgb="FF000000"/>
        <rFont val="Calibri"/>
      </rPr>
      <t>2. Select "Remove work profile".</t>
    </r>
  </si>
  <si>
    <r>
      <rPr>
        <sz val="11"/>
        <color rgb="FF000000"/>
        <rFont val="Calibri"/>
      </rPr>
      <t>Review Microsoft Android device configuration settings to determine if the mobile device function to wipe Enterprise data works.</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"Managed work profile specific policies".</t>
    </r>
    <r>
      <rPr>
        <sz val="11"/>
        <color rgb="FF000000"/>
        <rFont val="Calibri"/>
      </rPr>
      <t xml:space="preserve">
</t>
    </r>
    <r>
      <rPr>
        <sz val="11"/>
        <color rgb="FF000000"/>
        <rFont val="Calibri"/>
      </rPr>
      <t>2. Select "Remove work profile".</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Verify the work profile has been removed from the Android 11 device.</t>
    </r>
    <r>
      <rPr>
        <sz val="11"/>
        <color rgb="FF000000"/>
        <rFont val="Calibri"/>
      </rPr>
      <t xml:space="preserve">
</t>
    </r>
    <r>
      <rPr>
        <sz val="11"/>
        <color rgb="FF000000"/>
        <rFont val="Calibri"/>
      </rPr>
      <t>If the EMM cannot wipe enterprise data (work profile), this is a finding.</t>
    </r>
  </si>
  <si>
    <t>V-255222</t>
  </si>
  <si>
    <r>
      <rPr>
        <sz val="11"/>
        <color rgb="FF000000"/>
        <rFont val="Calibri"/>
      </rPr>
      <t>Review documentation on the Microsoft Android device and inspect the configuration on the Microsoft Android device to enable audit logging.</t>
    </r>
    <r>
      <rPr>
        <sz val="11"/>
        <color rgb="FF000000"/>
        <rFont val="Calibri"/>
      </rPr>
      <t xml:space="preserve">
</t>
    </r>
    <r>
      <rPr>
        <sz val="11"/>
        <color rgb="FF000000"/>
        <rFont val="Calibri"/>
      </rPr>
      <t xml:space="preserve">This validation procedure is performed on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audit logging, this is a finding.</t>
    </r>
  </si>
  <si>
    <t>V-255223</t>
  </si>
  <si>
    <t>V-255224</t>
  </si>
  <si>
    <t>V-255225</t>
  </si>
  <si>
    <t>V-255226</t>
  </si>
  <si>
    <t>V-255227</t>
  </si>
  <si>
    <t>V-255228</t>
  </si>
  <si>
    <t>V-255229</t>
  </si>
  <si>
    <t>V-255230</t>
  </si>
  <si>
    <r>
      <rPr>
        <sz val="11"/>
        <rFont val="Calibri"/>
      </rPr>
      <t>Microsoft Android 11 must be provisioned as a fully managed device and configured to create a work profile.</t>
    </r>
  </si>
  <si>
    <r>
      <rPr>
        <sz val="11"/>
        <color rgb="FF000000"/>
        <rFont val="Calibri"/>
      </rPr>
      <t>Configure Microsoft Android 11 device as corporate owned with a work profile.</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Refer to the EMM documentation to determine how to configure the device.</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</si>
  <si>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</si>
  <si>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Review that Microsoft Android 11 is configured as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Administrator console and the Microsoft Android 11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Microsoft Android 11 device: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a Personal tab and a Work tab are present.</t>
    </r>
    <r>
      <rPr>
        <sz val="11"/>
        <color rgb="FF000000"/>
        <rFont val="Calibri"/>
      </rPr>
      <t xml:space="preserve">
</t>
    </r>
    <r>
      <rPr>
        <sz val="11"/>
        <color rgb="FF000000"/>
        <rFont val="Calibri"/>
      </rPr>
      <t>If on the EMM console the account the default enrollment is set to Corporate Owned Work Managed or on the Microsoft Android 11 device the user does not see a Work tab, this is a finding.</t>
    </r>
  </si>
  <si>
    <t>V-255231</t>
  </si>
  <si>
    <t>V-255232</t>
  </si>
  <si>
    <t>V-255233</t>
  </si>
  <si>
    <t>V-255234</t>
  </si>
  <si>
    <t>V-255235</t>
  </si>
  <si>
    <t>V-255236</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</si>
  <si>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</si>
  <si>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</si>
  <si>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</si>
  <si>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</si>
  <si>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</si>
  <si>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</si>
  <si>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</si>
  <si>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</si>
  <si>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</si>
  <si>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</si>
  <si>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</si>
  <si>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</si>
  <si>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</si>
  <si>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</si>
  <si>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</si>
  <si>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</si>
  <si>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</si>
  <si>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</si>
  <si>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</si>
  <si>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</si>
  <si>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</si>
  <si>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</si>
  <si>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</si>
  <si>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</si>
  <si>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</si>
  <si>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</si>
  <si>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</si>
  <si>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</si>
  <si>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</si>
  <si>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Android 11 Security Technical Implementation Guide V1R1</t>
  </si>
  <si>
    <t>Developed By:</t>
  </si>
  <si>
    <t>Microsoft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</si>
  <si>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</si>
  <si>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09 November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70</t>
    </r>
  </si>
  <si>
    <t>Download Url:</t>
  </si>
  <si>
    <t>https://www.cyber.mil/stigs</t>
  </si>
  <si>
    <t>Guide Overview:</t>
  </si>
  <si>
    <r>
      <rPr>
        <sz val="11"/>
        <color rgb="FF000000"/>
        <rFont val="Calibri"/>
      </rPr>
      <t>This Security Technical Implementation Guide is published as a tool to improve the security of Department of Defense (DOD) information systems. The requirements are derived from the National Institute of Standards and Technology (NIST) 800-53 and related documents. Comments or proposed revisions to this document should be sent via email to the following address: disa.stig_spt@mail.mil.</t>
    </r>
  </si>
  <si>
    <t>Components:</t>
  </si>
  <si>
    <r>
      <rPr>
        <i/>
        <sz val="11"/>
        <color rgb="FF000000"/>
        <rFont val="Calibri"/>
      </rPr>
      <t>Title:</t>
    </r>
    <r>
      <rPr>
        <sz val="11"/>
        <color rgb="FF000000"/>
        <rFont val="Calibri"/>
      </rPr>
      <t xml:space="preserve"> Microsoft Android 11 COBO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09 November 2022     </t>
    </r>
    <r>
      <rPr>
        <i/>
        <sz val="11"/>
        <color rgb="FF000000"/>
        <rFont val="Calibri"/>
      </rPr>
      <t>Recommendation Count:</t>
    </r>
    <r>
      <rPr>
        <sz val="11"/>
        <color rgb="FF000000"/>
        <rFont val="Calibri"/>
      </rPr>
      <t xml:space="preserve"> 34</t>
    </r>
  </si>
  <si>
    <r>
      <rPr>
        <i/>
        <sz val="11"/>
        <color rgb="FF000000"/>
        <rFont val="Calibri"/>
      </rPr>
      <t>Title:</t>
    </r>
    <r>
      <rPr>
        <sz val="11"/>
        <color rgb="FF000000"/>
        <rFont val="Calibri"/>
      </rPr>
      <t xml:space="preserve"> Microsoft Android 11 COPE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09 November 2022     </t>
    </r>
    <r>
      <rPr>
        <i/>
        <sz val="11"/>
        <color rgb="FF000000"/>
        <rFont val="Calibri"/>
      </rPr>
      <t>Recommendation Count:</t>
    </r>
    <r>
      <rPr>
        <sz val="11"/>
        <color rgb="FF000000"/>
        <rFont val="Calibri"/>
      </rPr>
      <t xml:space="preserve"> 36</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</si>
  <si>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</si>
  <si>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</si>
  <si>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</si>
  <si>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</si>
  <si>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</si>
  <si>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</si>
  <si>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</si>
  <si>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</si>
  <si>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</si>
  <si>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</si>
  <si>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</si>
  <si>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</si>
  <si>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</si>
  <si>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</si>
  <si>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</si>
  <si>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</si>
  <si>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</si>
  <si>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</si>
  <si>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</si>
  <si>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</si>
  <si>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</si>
  <si>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</si>
  <si>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Android 11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</si>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</sst>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D41-46E1-9554-59D82AE2D9D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D41-46E1-9554-59D82AE2D9D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70</c:v>
                </c:pt>
              </c:numCache>
            </c:numRef>
          </c:val>
          <c:extLst>
            <c:ext xmlns:c16="http://schemas.microsoft.com/office/drawing/2014/chart" uri="{C3380CC4-5D6E-409C-BE32-E72D297353CC}">
              <c16:uniqueId val="{00000002-2D41-46E1-9554-59D82AE2D9D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E78-440A-9317-1E057929ADB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E78-440A-9317-1E057929ADB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34</c:v>
                </c:pt>
                <c:pt idx="1">
                  <c:v>36</c:v>
                </c:pt>
              </c:numCache>
            </c:numRef>
          </c:val>
          <c:extLst>
            <c:ext xmlns:c16="http://schemas.microsoft.com/office/drawing/2014/chart" uri="{C3380CC4-5D6E-409C-BE32-E72D297353CC}">
              <c16:uniqueId val="{00000002-7E78-440A-9317-1E057929ADB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E20-4BD3-A350-B6C1BA2392D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E20-4BD3-A350-B6C1BA2392D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70</c:v>
                </c:pt>
              </c:numCache>
            </c:numRef>
          </c:val>
          <c:extLst>
            <c:ext xmlns:c16="http://schemas.microsoft.com/office/drawing/2014/chart" uri="{C3380CC4-5D6E-409C-BE32-E72D297353CC}">
              <c16:uniqueId val="{00000002-CE20-4BD3-A350-B6C1BA2392D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42C0-43B3-AC26-EC4236A5F17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42C0-43B3-AC26-EC4236A5F17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56</c:v>
                </c:pt>
                <c:pt idx="2">
                  <c:v>10</c:v>
                </c:pt>
              </c:numCache>
            </c:numRef>
          </c:val>
          <c:extLst>
            <c:ext xmlns:c16="http://schemas.microsoft.com/office/drawing/2014/chart" uri="{C3380CC4-5D6E-409C-BE32-E72D297353CC}">
              <c16:uniqueId val="{00000002-42C0-43B3-AC26-EC4236A5F17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5FE-4A52-8A4C-3B6E143B6C3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5FE-4A52-8A4C-3B6E143B6C3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70</c:v>
                </c:pt>
              </c:numCache>
            </c:numRef>
          </c:val>
          <c:extLst>
            <c:ext xmlns:c16="http://schemas.microsoft.com/office/drawing/2014/chart" uri="{C3380CC4-5D6E-409C-BE32-E72D297353CC}">
              <c16:uniqueId val="{00000002-B5FE-4A52-8A4C-3B6E143B6C3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D35-4DD5-B62D-30E0739430F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D35-4DD5-B62D-30E0739430F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70</c:v>
                </c:pt>
              </c:numCache>
            </c:numRef>
          </c:val>
          <c:extLst>
            <c:ext xmlns:c16="http://schemas.microsoft.com/office/drawing/2014/chart" uri="{C3380CC4-5D6E-409C-BE32-E72D297353CC}">
              <c16:uniqueId val="{00000002-8D35-4DD5-B62D-30E0739430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F82-4934-A3B1-9D85BD6072F6}"/>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F82-4934-A3B1-9D85BD6072F6}"/>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F82-4934-A3B1-9D85BD6072F6}"/>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F82-4934-A3B1-9D85BD6072F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A9E-4F05-A57F-44A19022F1C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2l5p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y1uqy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nxy5k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vwfjq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wiz50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mt0bv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ftrxv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dmfs4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71">
  <autoFilter ref="A1:N71"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244</v>
      </c>
    </row>
    <row r="3" spans="2:3" ht="15" customHeight="1" x14ac:dyDescent="0.35"/>
    <row r="4" spans="2:3" ht="58" x14ac:dyDescent="0.35">
      <c r="B4" s="20" t="s">
        <v>245</v>
      </c>
      <c r="C4" s="21" t="s">
        <v>246</v>
      </c>
    </row>
    <row r="5" spans="2:3" x14ac:dyDescent="0.35">
      <c r="C5" s="21" t="s">
        <v>247</v>
      </c>
    </row>
    <row r="6" spans="2:3" x14ac:dyDescent="0.35">
      <c r="C6" s="18" t="s">
        <v>248</v>
      </c>
    </row>
    <row r="7" spans="2:3" ht="10" customHeight="1" x14ac:dyDescent="0.35"/>
    <row r="8" spans="2:3" ht="232" x14ac:dyDescent="0.35">
      <c r="B8" s="22" t="s">
        <v>249</v>
      </c>
      <c r="C8" s="21" t="s">
        <v>250</v>
      </c>
    </row>
    <row r="9" spans="2:3" ht="10" customHeight="1" x14ac:dyDescent="0.35"/>
    <row r="10" spans="2:3" ht="35" customHeight="1" x14ac:dyDescent="0.35">
      <c r="B10" s="22" t="s">
        <v>251</v>
      </c>
      <c r="C10" s="21" t="s">
        <v>252</v>
      </c>
    </row>
    <row r="11" spans="2:3" ht="75" customHeight="1" x14ac:dyDescent="0.35">
      <c r="B11" s="18" t="s">
        <v>21</v>
      </c>
      <c r="C11" s="21" t="s">
        <v>253</v>
      </c>
    </row>
    <row r="12" spans="2:3" ht="47" customHeight="1" x14ac:dyDescent="0.35">
      <c r="B12" s="18" t="s">
        <v>21</v>
      </c>
      <c r="C12" s="21" t="s">
        <v>254</v>
      </c>
    </row>
    <row r="13" spans="2:3" ht="35" customHeight="1" x14ac:dyDescent="0.35">
      <c r="B13" s="18" t="s">
        <v>21</v>
      </c>
      <c r="C13" s="21" t="s">
        <v>255</v>
      </c>
    </row>
    <row r="14" spans="2:3" ht="32" customHeight="1" x14ac:dyDescent="0.35">
      <c r="B14" s="18" t="s">
        <v>21</v>
      </c>
      <c r="C14" s="21" t="s">
        <v>256</v>
      </c>
    </row>
    <row r="15" spans="2:3" ht="30" customHeight="1" x14ac:dyDescent="0.35">
      <c r="B15" s="18" t="s">
        <v>21</v>
      </c>
      <c r="C15" s="21" t="s">
        <v>257</v>
      </c>
    </row>
    <row r="16" spans="2:3" ht="10" customHeight="1" x14ac:dyDescent="0.35"/>
    <row r="17" spans="1:3" ht="145" customHeight="1" x14ac:dyDescent="0.35">
      <c r="B17" s="22" t="s">
        <v>258</v>
      </c>
      <c r="C17" s="21" t="s">
        <v>259</v>
      </c>
    </row>
    <row r="18" spans="1:3" ht="10" customHeight="1" x14ac:dyDescent="0.35"/>
    <row r="19" spans="1:3" ht="3" customHeight="1" x14ac:dyDescent="0.35">
      <c r="B19" s="23"/>
      <c r="C19" s="23"/>
    </row>
    <row r="20" spans="1:3" ht="12" customHeight="1" x14ac:dyDescent="0.35"/>
    <row r="21" spans="1:3" ht="35" customHeight="1" x14ac:dyDescent="0.35">
      <c r="A21" s="25"/>
      <c r="B21" s="26" t="s">
        <v>260</v>
      </c>
      <c r="C21" s="27" t="s">
        <v>261</v>
      </c>
    </row>
    <row r="22" spans="1:3" ht="18" customHeight="1" x14ac:dyDescent="0.35">
      <c r="A22" s="25"/>
      <c r="B22" s="25" t="s">
        <v>21</v>
      </c>
      <c r="C22" s="27" t="s">
        <v>262</v>
      </c>
    </row>
    <row r="23" spans="1:3" ht="18" customHeight="1" x14ac:dyDescent="0.35">
      <c r="A23" s="25"/>
      <c r="B23" s="25" t="s">
        <v>21</v>
      </c>
      <c r="C23" s="27" t="s">
        <v>263</v>
      </c>
    </row>
    <row r="24" spans="1:3" ht="18" customHeight="1" x14ac:dyDescent="0.35">
      <c r="A24" s="25"/>
      <c r="B24" s="25" t="s">
        <v>21</v>
      </c>
      <c r="C24" s="27" t="s">
        <v>264</v>
      </c>
    </row>
    <row r="25" spans="1:3" ht="18" customHeight="1" x14ac:dyDescent="0.35">
      <c r="A25" s="25"/>
      <c r="B25" s="25" t="s">
        <v>21</v>
      </c>
      <c r="C25" s="27" t="s">
        <v>265</v>
      </c>
    </row>
    <row r="26" spans="1:3" ht="18" customHeight="1" x14ac:dyDescent="0.35">
      <c r="A26" s="25"/>
      <c r="B26" s="25" t="s">
        <v>21</v>
      </c>
      <c r="C26" s="27" t="s">
        <v>266</v>
      </c>
    </row>
    <row r="27" spans="1:3" ht="18" customHeight="1" x14ac:dyDescent="0.35">
      <c r="A27" s="25"/>
      <c r="B27" s="25" t="s">
        <v>21</v>
      </c>
      <c r="C27" s="27" t="s">
        <v>267</v>
      </c>
    </row>
    <row r="28" spans="1:3" ht="18" customHeight="1" x14ac:dyDescent="0.35">
      <c r="A28" s="25"/>
      <c r="B28" s="25" t="s">
        <v>21</v>
      </c>
      <c r="C28" s="27" t="s">
        <v>268</v>
      </c>
    </row>
    <row r="29" spans="1:3" ht="18" customHeight="1" x14ac:dyDescent="0.35">
      <c r="A29" s="25"/>
      <c r="B29" s="25" t="s">
        <v>21</v>
      </c>
      <c r="C29" s="27" t="s">
        <v>269</v>
      </c>
    </row>
    <row r="30" spans="1:3" ht="44" customHeight="1" x14ac:dyDescent="0.35">
      <c r="A30" s="25"/>
      <c r="B30" s="25" t="s">
        <v>21</v>
      </c>
      <c r="C30" s="28" t="s">
        <v>270</v>
      </c>
    </row>
    <row r="31" spans="1:3" ht="10" customHeight="1" x14ac:dyDescent="0.35"/>
    <row r="32" spans="1:3" ht="3" customHeight="1" x14ac:dyDescent="0.35">
      <c r="B32" s="23"/>
      <c r="C32" s="23"/>
    </row>
    <row r="33" spans="2:3" ht="12" customHeight="1" x14ac:dyDescent="0.35"/>
    <row r="34" spans="2:3" ht="24" customHeight="1" x14ac:dyDescent="0.35">
      <c r="B34" s="29" t="s">
        <v>271</v>
      </c>
      <c r="C34" s="30" t="s">
        <v>272</v>
      </c>
    </row>
    <row r="35" spans="2:3" ht="18.5" x14ac:dyDescent="0.35">
      <c r="B35" s="29" t="s">
        <v>273</v>
      </c>
      <c r="C35" s="31" t="s">
        <v>274</v>
      </c>
    </row>
    <row r="36" spans="2:3" ht="27" customHeight="1" x14ac:dyDescent="0.35">
      <c r="B36" s="32" t="s">
        <v>275</v>
      </c>
      <c r="C36" s="24" t="s">
        <v>276</v>
      </c>
    </row>
    <row r="37" spans="2:3" x14ac:dyDescent="0.35">
      <c r="B37" s="29" t="s">
        <v>277</v>
      </c>
      <c r="C37" s="33" t="s">
        <v>278</v>
      </c>
    </row>
    <row r="38" spans="2:3" ht="10" customHeight="1" x14ac:dyDescent="0.35"/>
    <row r="39" spans="2:3" ht="58" x14ac:dyDescent="0.35">
      <c r="B39" s="29" t="s">
        <v>279</v>
      </c>
      <c r="C39" s="34" t="s">
        <v>280</v>
      </c>
    </row>
    <row r="40" spans="2:3" ht="10" customHeight="1" x14ac:dyDescent="0.35"/>
    <row r="41" spans="2:3" ht="20" customHeight="1" x14ac:dyDescent="0.35">
      <c r="B41" s="29" t="s">
        <v>281</v>
      </c>
      <c r="C41" s="35" t="s">
        <v>17</v>
      </c>
    </row>
    <row r="42" spans="2:3" ht="29" x14ac:dyDescent="0.35">
      <c r="C42" s="21" t="s">
        <v>282</v>
      </c>
    </row>
    <row r="43" spans="2:3" ht="10" customHeight="1" x14ac:dyDescent="0.35"/>
    <row r="44" spans="2:3" ht="20" customHeight="1" x14ac:dyDescent="0.35">
      <c r="C44" s="35" t="s">
        <v>193</v>
      </c>
    </row>
    <row r="45" spans="2:3" ht="29" x14ac:dyDescent="0.35">
      <c r="C45" s="21" t="s">
        <v>283</v>
      </c>
    </row>
    <row r="46" spans="2:3" ht="10" customHeight="1" x14ac:dyDescent="0.35"/>
    <row r="47" spans="2:3" ht="43.5" x14ac:dyDescent="0.35">
      <c r="B47" s="29" t="s">
        <v>284</v>
      </c>
      <c r="C47" s="21" t="s">
        <v>285</v>
      </c>
    </row>
    <row r="48" spans="2:3" ht="10" customHeight="1" x14ac:dyDescent="0.35"/>
    <row r="49" spans="2:3" ht="15.5" x14ac:dyDescent="0.35">
      <c r="C49" s="36" t="s">
        <v>73</v>
      </c>
    </row>
    <row r="50" spans="2:3" ht="29" x14ac:dyDescent="0.35">
      <c r="C50" s="21" t="s">
        <v>286</v>
      </c>
    </row>
    <row r="51" spans="2:3" ht="10" customHeight="1" x14ac:dyDescent="0.35"/>
    <row r="52" spans="2:3" ht="15.5" x14ac:dyDescent="0.35">
      <c r="C52" s="37" t="s">
        <v>16</v>
      </c>
    </row>
    <row r="53" spans="2:3" ht="29" x14ac:dyDescent="0.35">
      <c r="C53" s="21" t="s">
        <v>287</v>
      </c>
    </row>
    <row r="54" spans="2:3" ht="10" customHeight="1" x14ac:dyDescent="0.35"/>
    <row r="55" spans="2:3" ht="15.5" x14ac:dyDescent="0.35">
      <c r="C55" s="38" t="s">
        <v>62</v>
      </c>
    </row>
    <row r="56" spans="2:3" ht="29" x14ac:dyDescent="0.35">
      <c r="C56" s="21" t="s">
        <v>288</v>
      </c>
    </row>
    <row r="57" spans="2:3" ht="10" customHeight="1" x14ac:dyDescent="0.35"/>
    <row r="58" spans="2:3" ht="3" customHeight="1" x14ac:dyDescent="0.35">
      <c r="B58" s="23"/>
      <c r="C58" s="23"/>
    </row>
    <row r="59" spans="2:3" ht="12" customHeight="1" x14ac:dyDescent="0.35"/>
    <row r="60" spans="2:3" ht="130.5" x14ac:dyDescent="0.35">
      <c r="B60" s="20" t="s">
        <v>289</v>
      </c>
      <c r="C60" s="21" t="s">
        <v>290</v>
      </c>
    </row>
    <row r="61" spans="2:3" ht="6" customHeight="1" x14ac:dyDescent="0.35"/>
    <row r="62" spans="2:3" ht="217.5" x14ac:dyDescent="0.35">
      <c r="C62" s="21" t="s">
        <v>291</v>
      </c>
    </row>
    <row r="63" spans="2:3" ht="6" customHeight="1" x14ac:dyDescent="0.35"/>
    <row r="64" spans="2:3" ht="43.5" x14ac:dyDescent="0.35">
      <c r="C64" s="21" t="s">
        <v>292</v>
      </c>
    </row>
    <row r="65" spans="2:3" ht="10" customHeight="1" x14ac:dyDescent="0.35"/>
    <row r="66" spans="2:3" ht="3" customHeight="1" x14ac:dyDescent="0.35">
      <c r="B66" s="23"/>
      <c r="C66" s="23"/>
    </row>
    <row r="67" spans="2:3" ht="12" customHeight="1" x14ac:dyDescent="0.35"/>
    <row r="68" spans="2:3" ht="145" x14ac:dyDescent="0.35">
      <c r="B68" s="20" t="s">
        <v>293</v>
      </c>
      <c r="C68" s="21" t="s">
        <v>294</v>
      </c>
    </row>
    <row r="69" spans="2:3" ht="6" customHeight="1" x14ac:dyDescent="0.35"/>
    <row r="70" spans="2:3" ht="203" x14ac:dyDescent="0.35">
      <c r="C70" s="21" t="s">
        <v>295</v>
      </c>
    </row>
    <row r="71" spans="2:3" ht="6" customHeight="1" x14ac:dyDescent="0.35"/>
    <row r="72" spans="2:3" ht="43.5" x14ac:dyDescent="0.35">
      <c r="C72" s="21" t="s">
        <v>296</v>
      </c>
    </row>
    <row r="73" spans="2:3" ht="10" customHeight="1" x14ac:dyDescent="0.35"/>
    <row r="74" spans="2:3" ht="3" customHeight="1" x14ac:dyDescent="0.35">
      <c r="B74" s="23"/>
      <c r="C74" s="23"/>
    </row>
    <row r="75" spans="2:3" ht="12" customHeight="1" x14ac:dyDescent="0.35"/>
    <row r="76" spans="2:3" ht="101.5" x14ac:dyDescent="0.35">
      <c r="B76" s="20" t="s">
        <v>297</v>
      </c>
      <c r="C76" s="21" t="s">
        <v>298</v>
      </c>
    </row>
    <row r="77" spans="2:3" ht="6" customHeight="1" x14ac:dyDescent="0.35"/>
    <row r="78" spans="2:3" ht="145" x14ac:dyDescent="0.35">
      <c r="C78" s="21" t="s">
        <v>299</v>
      </c>
    </row>
    <row r="79" spans="2:3" ht="6" customHeight="1" x14ac:dyDescent="0.35"/>
    <row r="80" spans="2:3" ht="43.5" x14ac:dyDescent="0.35">
      <c r="C80" s="21" t="s">
        <v>300</v>
      </c>
    </row>
    <row r="84" spans="2:3" ht="32" customHeight="1" x14ac:dyDescent="0.35">
      <c r="B84" s="81" t="s">
        <v>243</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301</v>
      </c>
      <c r="C2" s="83"/>
      <c r="D2" s="83"/>
      <c r="E2" s="83"/>
      <c r="F2" s="83"/>
      <c r="G2" s="83"/>
      <c r="H2" s="83"/>
      <c r="I2" s="83"/>
    </row>
    <row r="4" spans="2:15" ht="18.5" x14ac:dyDescent="0.45">
      <c r="B4" s="40" t="s">
        <v>302</v>
      </c>
    </row>
    <row r="5" spans="2:15" x14ac:dyDescent="0.35">
      <c r="B5" s="42" t="s">
        <v>21</v>
      </c>
      <c r="C5" s="42" t="s">
        <v>303</v>
      </c>
      <c r="D5" s="42" t="s">
        <v>304</v>
      </c>
      <c r="F5" s="84" t="s">
        <v>305</v>
      </c>
      <c r="G5" s="84"/>
      <c r="H5" s="84"/>
      <c r="I5" s="85" t="s">
        <v>306</v>
      </c>
      <c r="J5" s="85"/>
      <c r="K5" s="85"/>
      <c r="L5" s="85"/>
      <c r="M5" s="85"/>
      <c r="N5" s="85"/>
      <c r="O5" s="85"/>
    </row>
    <row r="6" spans="2:15" x14ac:dyDescent="0.35">
      <c r="B6" s="48" t="s">
        <v>307</v>
      </c>
      <c r="C6" s="49">
        <v>70</v>
      </c>
      <c r="D6" s="50" t="s">
        <v>21</v>
      </c>
      <c r="F6" s="84" t="s">
        <v>308</v>
      </c>
      <c r="G6" s="84"/>
      <c r="H6" s="84"/>
      <c r="I6" s="86" t="s">
        <v>309</v>
      </c>
      <c r="J6" s="86"/>
      <c r="K6" s="86"/>
      <c r="L6" s="86"/>
      <c r="M6" s="86"/>
      <c r="N6" s="86"/>
      <c r="O6" s="86"/>
    </row>
    <row r="7" spans="2:15" x14ac:dyDescent="0.35">
      <c r="B7" s="51" t="s">
        <v>310</v>
      </c>
      <c r="C7" s="52">
        <f>C6-C8-C9</f>
        <v>70</v>
      </c>
      <c r="D7" s="53">
        <f>IF(C6&gt;0,C7/C6,0)</f>
        <v>1</v>
      </c>
      <c r="F7" s="84" t="s">
        <v>311</v>
      </c>
      <c r="G7" s="84"/>
      <c r="H7" s="84"/>
      <c r="I7" s="86" t="s">
        <v>309</v>
      </c>
      <c r="J7" s="86"/>
      <c r="K7" s="86"/>
      <c r="L7" s="86"/>
      <c r="M7" s="86"/>
      <c r="N7" s="86"/>
      <c r="O7" s="86"/>
    </row>
    <row r="8" spans="2:15" x14ac:dyDescent="0.35">
      <c r="B8" s="44" t="s">
        <v>312</v>
      </c>
      <c r="C8" s="45">
        <f>COUNTIF('Recommendations'!H:H,"Risk Accepted")</f>
        <v>0</v>
      </c>
      <c r="D8" s="46">
        <f>IF(C6&gt;0,C8/C6,0)</f>
        <v>0</v>
      </c>
      <c r="F8" s="84" t="s">
        <v>313</v>
      </c>
      <c r="G8" s="84"/>
      <c r="H8" s="84"/>
      <c r="I8" s="86" t="s">
        <v>309</v>
      </c>
      <c r="J8" s="86"/>
      <c r="K8" s="86"/>
      <c r="L8" s="86"/>
      <c r="M8" s="86"/>
      <c r="N8" s="86"/>
      <c r="O8" s="86"/>
    </row>
    <row r="9" spans="2:15" x14ac:dyDescent="0.35">
      <c r="B9" s="44" t="s">
        <v>314</v>
      </c>
      <c r="C9" s="45">
        <f>COUNTIF('Recommendations'!H:H,"N/A")</f>
        <v>0</v>
      </c>
      <c r="D9" s="46">
        <f>IF(C6&gt;0,C9/C6,0)</f>
        <v>0</v>
      </c>
      <c r="F9" s="84" t="s">
        <v>315</v>
      </c>
      <c r="G9" s="84"/>
      <c r="H9" s="84"/>
      <c r="I9" s="86" t="s">
        <v>309</v>
      </c>
      <c r="J9" s="86"/>
      <c r="K9" s="86"/>
      <c r="L9" s="86"/>
      <c r="M9" s="86"/>
      <c r="N9" s="86"/>
      <c r="O9" s="86"/>
    </row>
    <row r="12" spans="2:15" ht="18.5" x14ac:dyDescent="0.45">
      <c r="B12" s="40" t="s">
        <v>316</v>
      </c>
    </row>
    <row r="14" spans="2:15" x14ac:dyDescent="0.35">
      <c r="B14" s="54" t="s">
        <v>317</v>
      </c>
    </row>
    <row r="15" spans="2:15" x14ac:dyDescent="0.35">
      <c r="B15" s="42" t="s">
        <v>21</v>
      </c>
      <c r="C15" s="42" t="s">
        <v>318</v>
      </c>
      <c r="D15" s="42" t="s">
        <v>319</v>
      </c>
      <c r="E15" s="42" t="s">
        <v>320</v>
      </c>
      <c r="F15" s="42" t="s">
        <v>321</v>
      </c>
    </row>
    <row r="16" spans="2:15" x14ac:dyDescent="0.35">
      <c r="B16" s="44" t="s">
        <v>322</v>
      </c>
      <c r="C16" s="45">
        <f>COUNTIF('Recommendations'!M:M,"Resolved")</f>
        <v>0</v>
      </c>
      <c r="D16" s="45">
        <f>COUNTIF('Recommendations'!M:M,"Testing")</f>
        <v>0</v>
      </c>
      <c r="E16" s="45">
        <f>COUNTIF('Recommendations'!M:M,"Outstanding")</f>
        <v>70</v>
      </c>
      <c r="F16" s="45">
        <f>SUM(C16:E16)</f>
        <v>70</v>
      </c>
    </row>
    <row r="18" spans="2:6" x14ac:dyDescent="0.35">
      <c r="B18" s="54" t="s">
        <v>323</v>
      </c>
    </row>
    <row r="19" spans="2:6" x14ac:dyDescent="0.35">
      <c r="B19" s="55" t="s">
        <v>21</v>
      </c>
      <c r="C19" s="55" t="s">
        <v>318</v>
      </c>
      <c r="D19" s="55" t="s">
        <v>319</v>
      </c>
      <c r="E19" s="55" t="s">
        <v>320</v>
      </c>
      <c r="F19" s="55" t="s">
        <v>21</v>
      </c>
    </row>
    <row r="20" spans="2:6" x14ac:dyDescent="0.35">
      <c r="B20" s="44" t="s">
        <v>322</v>
      </c>
      <c r="C20" s="46">
        <f>IF(F16&gt;0, C16/F16, 0)</f>
        <v>0</v>
      </c>
      <c r="D20" s="46">
        <f>IF(F16&gt;0, D16/F16, 0)</f>
        <v>0</v>
      </c>
      <c r="E20" s="46">
        <f>IF(F16&gt;0, E16/F16, 0)</f>
        <v>1</v>
      </c>
      <c r="F20" s="47" t="s">
        <v>21</v>
      </c>
    </row>
    <row r="25" spans="2:6" ht="18.5" x14ac:dyDescent="0.45">
      <c r="B25" s="40" t="s">
        <v>324</v>
      </c>
    </row>
    <row r="27" spans="2:6" x14ac:dyDescent="0.35">
      <c r="B27" s="54" t="s">
        <v>317</v>
      </c>
    </row>
    <row r="28" spans="2:6" x14ac:dyDescent="0.35">
      <c r="B28" s="42" t="s">
        <v>3</v>
      </c>
      <c r="C28" s="42" t="s">
        <v>318</v>
      </c>
      <c r="D28" s="42" t="s">
        <v>319</v>
      </c>
      <c r="E28" s="42" t="s">
        <v>320</v>
      </c>
      <c r="F28" s="42" t="s">
        <v>321</v>
      </c>
    </row>
    <row r="29" spans="2:6" x14ac:dyDescent="0.35">
      <c r="B29" s="44" t="s">
        <v>17</v>
      </c>
      <c r="C29" s="45">
        <f>COUNTIFS('Recommendations'!D:D,"COBO",'Recommendations'!M:M,"=Resolved")</f>
        <v>0</v>
      </c>
      <c r="D29" s="45">
        <f>COUNTIFS('Recommendations'!D:D,"=COBO",'Recommendations'!M:M,"=Testing")</f>
        <v>0</v>
      </c>
      <c r="E29" s="45">
        <f>COUNTIFS('Recommendations'!D:D,"=COBO",'Recommendations'!M:M,"=Outstanding")</f>
        <v>34</v>
      </c>
      <c r="F29" s="45">
        <f>SUM(C29:E29)</f>
        <v>34</v>
      </c>
    </row>
    <row r="30" spans="2:6" x14ac:dyDescent="0.35">
      <c r="B30" s="44" t="s">
        <v>193</v>
      </c>
      <c r="C30" s="45">
        <f>COUNTIFS('Recommendations'!D:D,"COPE",'Recommendations'!M:M,"=Resolved")</f>
        <v>0</v>
      </c>
      <c r="D30" s="45">
        <f>COUNTIFS('Recommendations'!D:D,"=COPE",'Recommendations'!M:M,"=Testing")</f>
        <v>0</v>
      </c>
      <c r="E30" s="45">
        <f>COUNTIFS('Recommendations'!D:D,"=COPE",'Recommendations'!M:M,"=Outstanding")</f>
        <v>36</v>
      </c>
      <c r="F30" s="45">
        <f>SUM(C30:E30)</f>
        <v>36</v>
      </c>
    </row>
    <row r="32" spans="2:6" x14ac:dyDescent="0.35">
      <c r="B32" s="54" t="s">
        <v>323</v>
      </c>
    </row>
    <row r="33" spans="2:6" x14ac:dyDescent="0.35">
      <c r="B33" s="55" t="s">
        <v>3</v>
      </c>
      <c r="C33" s="55" t="s">
        <v>318</v>
      </c>
      <c r="D33" s="55" t="s">
        <v>319</v>
      </c>
      <c r="E33" s="55" t="s">
        <v>320</v>
      </c>
      <c r="F33" s="55" t="s">
        <v>21</v>
      </c>
    </row>
    <row r="34" spans="2:6" x14ac:dyDescent="0.35">
      <c r="B34" s="44" t="s">
        <v>17</v>
      </c>
      <c r="C34" s="46">
        <f>IF(F29&gt;0, C29/F29, 0)</f>
        <v>0</v>
      </c>
      <c r="D34" s="46">
        <f>IF(F29&gt;0, D29/F29, 0)</f>
        <v>0</v>
      </c>
      <c r="E34" s="46">
        <f>IF(F29&gt;0, E29/F29, 0)</f>
        <v>1</v>
      </c>
      <c r="F34" s="47" t="s">
        <v>21</v>
      </c>
    </row>
    <row r="35" spans="2:6" x14ac:dyDescent="0.35">
      <c r="B35" s="44" t="s">
        <v>193</v>
      </c>
      <c r="C35" s="46">
        <f>IF(F30&gt;0, C30/F30, 0)</f>
        <v>0</v>
      </c>
      <c r="D35" s="46">
        <f>IF(F30&gt;0, D30/F30, 0)</f>
        <v>0</v>
      </c>
      <c r="E35" s="46">
        <f>IF(F30&gt;0, E30/F30, 0)</f>
        <v>1</v>
      </c>
      <c r="F35" s="47" t="s">
        <v>21</v>
      </c>
    </row>
    <row r="40" spans="2:6" ht="18.5" x14ac:dyDescent="0.45">
      <c r="B40" s="40" t="s">
        <v>325</v>
      </c>
    </row>
    <row r="42" spans="2:6" x14ac:dyDescent="0.35">
      <c r="B42" s="54" t="s">
        <v>317</v>
      </c>
    </row>
    <row r="43" spans="2:6" x14ac:dyDescent="0.35">
      <c r="B43" s="42" t="s">
        <v>6</v>
      </c>
      <c r="C43" s="42" t="s">
        <v>318</v>
      </c>
      <c r="D43" s="42" t="s">
        <v>319</v>
      </c>
      <c r="E43" s="42" t="s">
        <v>320</v>
      </c>
      <c r="F43" s="42" t="s">
        <v>321</v>
      </c>
    </row>
    <row r="44" spans="2:6" x14ac:dyDescent="0.35">
      <c r="B44" s="44" t="s">
        <v>326</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327</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328</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329</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330</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70</v>
      </c>
      <c r="F49" s="45">
        <f t="shared" si="0"/>
        <v>70</v>
      </c>
    </row>
    <row r="51" spans="2:6" x14ac:dyDescent="0.35">
      <c r="B51" s="54" t="s">
        <v>323</v>
      </c>
    </row>
    <row r="52" spans="2:6" x14ac:dyDescent="0.35">
      <c r="B52" s="55" t="s">
        <v>6</v>
      </c>
      <c r="C52" s="55" t="s">
        <v>318</v>
      </c>
      <c r="D52" s="55" t="s">
        <v>319</v>
      </c>
      <c r="E52" s="55" t="s">
        <v>320</v>
      </c>
      <c r="F52" s="55" t="s">
        <v>21</v>
      </c>
    </row>
    <row r="53" spans="2:6" x14ac:dyDescent="0.35">
      <c r="B53" s="44" t="s">
        <v>326</v>
      </c>
      <c r="C53" s="46">
        <f t="shared" ref="C53:C58" si="1">IF(F44&gt;0, C44/F44, 0)</f>
        <v>0</v>
      </c>
      <c r="D53" s="46">
        <f t="shared" ref="D53:D58" si="2">IF(F44&gt;0, D44/F44, 0)</f>
        <v>0</v>
      </c>
      <c r="E53" s="46">
        <f t="shared" ref="E53:E58" si="3">IF(F44&gt;0, E44/F44, 0)</f>
        <v>0</v>
      </c>
      <c r="F53" s="47" t="s">
        <v>21</v>
      </c>
    </row>
    <row r="54" spans="2:6" x14ac:dyDescent="0.35">
      <c r="B54" s="44" t="s">
        <v>327</v>
      </c>
      <c r="C54" s="46">
        <f t="shared" si="1"/>
        <v>0</v>
      </c>
      <c r="D54" s="46">
        <f t="shared" si="2"/>
        <v>0</v>
      </c>
      <c r="E54" s="46">
        <f t="shared" si="3"/>
        <v>0</v>
      </c>
      <c r="F54" s="47" t="s">
        <v>21</v>
      </c>
    </row>
    <row r="55" spans="2:6" x14ac:dyDescent="0.35">
      <c r="B55" s="44" t="s">
        <v>328</v>
      </c>
      <c r="C55" s="46">
        <f t="shared" si="1"/>
        <v>0</v>
      </c>
      <c r="D55" s="46">
        <f t="shared" si="2"/>
        <v>0</v>
      </c>
      <c r="E55" s="46">
        <f t="shared" si="3"/>
        <v>0</v>
      </c>
      <c r="F55" s="47" t="s">
        <v>21</v>
      </c>
    </row>
    <row r="56" spans="2:6" x14ac:dyDescent="0.35">
      <c r="B56" s="44" t="s">
        <v>329</v>
      </c>
      <c r="C56" s="46">
        <f t="shared" si="1"/>
        <v>0</v>
      </c>
      <c r="D56" s="46">
        <f t="shared" si="2"/>
        <v>0</v>
      </c>
      <c r="E56" s="46">
        <f t="shared" si="3"/>
        <v>0</v>
      </c>
      <c r="F56" s="47" t="s">
        <v>21</v>
      </c>
    </row>
    <row r="57" spans="2:6" x14ac:dyDescent="0.35">
      <c r="B57" s="44" t="s">
        <v>330</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331</v>
      </c>
    </row>
    <row r="65" spans="2:6" x14ac:dyDescent="0.35">
      <c r="B65" s="54" t="s">
        <v>317</v>
      </c>
    </row>
    <row r="66" spans="2:6" x14ac:dyDescent="0.35">
      <c r="B66" s="42" t="s">
        <v>2</v>
      </c>
      <c r="C66" s="42" t="s">
        <v>318</v>
      </c>
      <c r="D66" s="42" t="s">
        <v>319</v>
      </c>
      <c r="E66" s="42" t="s">
        <v>320</v>
      </c>
      <c r="F66" s="42" t="s">
        <v>321</v>
      </c>
    </row>
    <row r="67" spans="2:6" x14ac:dyDescent="0.35">
      <c r="B67" s="44" t="s">
        <v>73</v>
      </c>
      <c r="C67" s="45">
        <f>COUNTIFS('Recommendations'!C:C,"CAT I (High)",'Recommendations'!M:M,"=Resolved")</f>
        <v>0</v>
      </c>
      <c r="D67" s="45">
        <f>COUNTIFS('Recommendations'!C:C,"=CAT I (High)",'Recommendations'!M:M,"=Testing")</f>
        <v>0</v>
      </c>
      <c r="E67" s="45">
        <f>COUNTIFS('Recommendations'!C:C,"=CAT I (High)",'Recommendations'!M:M,"=Outstanding")</f>
        <v>4</v>
      </c>
      <c r="F67" s="45">
        <f>SUM(C67:E67)</f>
        <v>4</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56</v>
      </c>
      <c r="F68" s="45">
        <f>SUM(C68:E68)</f>
        <v>56</v>
      </c>
    </row>
    <row r="69" spans="2:6" x14ac:dyDescent="0.35">
      <c r="B69" s="44" t="s">
        <v>62</v>
      </c>
      <c r="C69" s="45">
        <f>COUNTIFS('Recommendations'!C:C,"CAT III (Low)",'Recommendations'!M:M,"=Resolved")</f>
        <v>0</v>
      </c>
      <c r="D69" s="45">
        <f>COUNTIFS('Recommendations'!C:C,"=CAT III (Low)",'Recommendations'!M:M,"=Testing")</f>
        <v>0</v>
      </c>
      <c r="E69" s="45">
        <f>COUNTIFS('Recommendations'!C:C,"=CAT III (Low)",'Recommendations'!M:M,"=Outstanding")</f>
        <v>10</v>
      </c>
      <c r="F69" s="45">
        <f>SUM(C69:E69)</f>
        <v>10</v>
      </c>
    </row>
    <row r="71" spans="2:6" x14ac:dyDescent="0.35">
      <c r="B71" s="54" t="s">
        <v>323</v>
      </c>
    </row>
    <row r="72" spans="2:6" x14ac:dyDescent="0.35">
      <c r="B72" s="55" t="s">
        <v>2</v>
      </c>
      <c r="C72" s="55" t="s">
        <v>318</v>
      </c>
      <c r="D72" s="55" t="s">
        <v>319</v>
      </c>
      <c r="E72" s="55" t="s">
        <v>320</v>
      </c>
      <c r="F72" s="55" t="s">
        <v>21</v>
      </c>
    </row>
    <row r="73" spans="2:6" x14ac:dyDescent="0.35">
      <c r="B73" s="44" t="s">
        <v>73</v>
      </c>
      <c r="C73" s="46">
        <f>IF(F67&gt;0, C67/F67, 0)</f>
        <v>0</v>
      </c>
      <c r="D73" s="46">
        <f>IF(F67&gt;0, D67/F67, 0)</f>
        <v>0</v>
      </c>
      <c r="E73" s="46">
        <f>IF(F67&gt;0, E67/F67, 0)</f>
        <v>1</v>
      </c>
      <c r="F73" s="47" t="s">
        <v>21</v>
      </c>
    </row>
    <row r="74" spans="2:6" x14ac:dyDescent="0.35">
      <c r="B74" s="44" t="s">
        <v>16</v>
      </c>
      <c r="C74" s="46">
        <f>IF(F68&gt;0, C68/F68, 0)</f>
        <v>0</v>
      </c>
      <c r="D74" s="46">
        <f>IF(F68&gt;0, D68/F68, 0)</f>
        <v>0</v>
      </c>
      <c r="E74" s="46">
        <f>IF(F68&gt;0, E68/F68, 0)</f>
        <v>1</v>
      </c>
      <c r="F74" s="47" t="s">
        <v>21</v>
      </c>
    </row>
    <row r="75" spans="2:6" x14ac:dyDescent="0.35">
      <c r="B75" s="44" t="s">
        <v>62</v>
      </c>
      <c r="C75" s="46">
        <f>IF(F69&gt;0, C69/F69, 0)</f>
        <v>0</v>
      </c>
      <c r="D75" s="46">
        <f>IF(F69&gt;0, D69/F69, 0)</f>
        <v>0</v>
      </c>
      <c r="E75" s="46">
        <f>IF(F69&gt;0, E69/F69, 0)</f>
        <v>1</v>
      </c>
      <c r="F75" s="47" t="s">
        <v>21</v>
      </c>
    </row>
    <row r="80" spans="2:6" ht="18.5" x14ac:dyDescent="0.45">
      <c r="B80" s="40" t="s">
        <v>332</v>
      </c>
    </row>
    <row r="82" spans="2:6" x14ac:dyDescent="0.35">
      <c r="B82" s="54" t="s">
        <v>317</v>
      </c>
    </row>
    <row r="83" spans="2:6" x14ac:dyDescent="0.35">
      <c r="B83" s="42" t="s">
        <v>4</v>
      </c>
      <c r="C83" s="42" t="s">
        <v>318</v>
      </c>
      <c r="D83" s="42" t="s">
        <v>319</v>
      </c>
      <c r="E83" s="42" t="s">
        <v>320</v>
      </c>
      <c r="F83" s="42" t="s">
        <v>321</v>
      </c>
    </row>
    <row r="84" spans="2:6" x14ac:dyDescent="0.35">
      <c r="B84" s="44" t="s">
        <v>333</v>
      </c>
      <c r="C84" s="45">
        <f>COUNTIFS('Recommendations'!E:E,"Must",'Recommendations'!M:M,"=Resolved")</f>
        <v>0</v>
      </c>
      <c r="D84" s="45">
        <f>COUNTIFS('Recommendations'!E:E,"=Must",'Recommendations'!M:M,"=Testing")</f>
        <v>0</v>
      </c>
      <c r="E84" s="45">
        <f>COUNTIFS('Recommendations'!E:E,"=Must",'Recommendations'!M:M,"=Outstanding")</f>
        <v>0</v>
      </c>
      <c r="F84" s="45">
        <f>SUM(C84:E84)</f>
        <v>0</v>
      </c>
    </row>
    <row r="85" spans="2:6" x14ac:dyDescent="0.35">
      <c r="B85" s="44" t="s">
        <v>334</v>
      </c>
      <c r="C85" s="45">
        <f>COUNTIFS('Recommendations'!E:E,"Should",'Recommendations'!M:M,"=Resolved")</f>
        <v>0</v>
      </c>
      <c r="D85" s="45">
        <f>COUNTIFS('Recommendations'!E:E,"=Should",'Recommendations'!M:M,"=Testing")</f>
        <v>0</v>
      </c>
      <c r="E85" s="45">
        <f>COUNTIFS('Recommendations'!E:E,"=Should",'Recommendations'!M:M,"=Outstanding")</f>
        <v>0</v>
      </c>
      <c r="F85" s="45">
        <f>SUM(C85:E85)</f>
        <v>0</v>
      </c>
    </row>
    <row r="86" spans="2:6" x14ac:dyDescent="0.35">
      <c r="B86" s="44" t="s">
        <v>335</v>
      </c>
      <c r="C86" s="45">
        <f>COUNTIFS('Recommendations'!E:E,"Could",'Recommendations'!M:M,"=Resolved")</f>
        <v>0</v>
      </c>
      <c r="D86" s="45">
        <f>COUNTIFS('Recommendations'!E:E,"=Could",'Recommendations'!M:M,"=Testing")</f>
        <v>0</v>
      </c>
      <c r="E86" s="45">
        <f>COUNTIFS('Recommendations'!E:E,"=Could",'Recommendations'!M:M,"=Outstanding")</f>
        <v>0</v>
      </c>
      <c r="F86" s="45">
        <f>SUM(C86:E86)</f>
        <v>0</v>
      </c>
    </row>
    <row r="87" spans="2:6" x14ac:dyDescent="0.35">
      <c r="B87" s="44" t="s">
        <v>336</v>
      </c>
      <c r="C87" s="45">
        <f>COUNTIFS('Recommendations'!E:E,"Won't",'Recommendations'!M:M,"=Resolved")</f>
        <v>0</v>
      </c>
      <c r="D87" s="45">
        <f>COUNTIFS('Recommendations'!E:E,"=Won't",'Recommendations'!M:M,"=Testing")</f>
        <v>0</v>
      </c>
      <c r="E87" s="45">
        <f>COUNTIFS('Recommendations'!E:E,"=Won't",'Recommendations'!M:M,"=Outstanding")</f>
        <v>0</v>
      </c>
      <c r="F87" s="45">
        <f>SUM(C87:E87)</f>
        <v>0</v>
      </c>
    </row>
    <row r="88" spans="2:6" x14ac:dyDescent="0.35">
      <c r="B88" s="44" t="s">
        <v>18</v>
      </c>
      <c r="C88" s="45">
        <f>COUNTIFS('Recommendations'!E:E,"Unassigned",'Recommendations'!M:M,"=Resolved")</f>
        <v>0</v>
      </c>
      <c r="D88" s="45">
        <f>COUNTIFS('Recommendations'!E:E,"=Unassigned",'Recommendations'!M:M,"=Testing")</f>
        <v>0</v>
      </c>
      <c r="E88" s="45">
        <f>COUNTIFS('Recommendations'!E:E,"=Unassigned",'Recommendations'!M:M,"=Outstanding")</f>
        <v>70</v>
      </c>
      <c r="F88" s="45">
        <f>SUM(C88:E88)</f>
        <v>70</v>
      </c>
    </row>
    <row r="90" spans="2:6" x14ac:dyDescent="0.35">
      <c r="B90" s="54" t="s">
        <v>323</v>
      </c>
    </row>
    <row r="91" spans="2:6" x14ac:dyDescent="0.35">
      <c r="B91" s="55" t="s">
        <v>4</v>
      </c>
      <c r="C91" s="55" t="s">
        <v>318</v>
      </c>
      <c r="D91" s="55" t="s">
        <v>319</v>
      </c>
      <c r="E91" s="55" t="s">
        <v>320</v>
      </c>
      <c r="F91" s="55" t="s">
        <v>21</v>
      </c>
    </row>
    <row r="92" spans="2:6" x14ac:dyDescent="0.35">
      <c r="B92" s="44" t="s">
        <v>333</v>
      </c>
      <c r="C92" s="46">
        <f>IF(F84&gt;0, C84/F84, 0)</f>
        <v>0</v>
      </c>
      <c r="D92" s="46">
        <f>IF(F84&gt;0, D84/F84, 0)</f>
        <v>0</v>
      </c>
      <c r="E92" s="46">
        <f>IF(F84&gt;0, E84/F84, 0)</f>
        <v>0</v>
      </c>
      <c r="F92" s="47" t="s">
        <v>21</v>
      </c>
    </row>
    <row r="93" spans="2:6" x14ac:dyDescent="0.35">
      <c r="B93" s="44" t="s">
        <v>334</v>
      </c>
      <c r="C93" s="46">
        <f>IF(F85&gt;0, C85/F85, 0)</f>
        <v>0</v>
      </c>
      <c r="D93" s="46">
        <f>IF(F85&gt;0, D85/F85, 0)</f>
        <v>0</v>
      </c>
      <c r="E93" s="46">
        <f>IF(F85&gt;0, E85/F85, 0)</f>
        <v>0</v>
      </c>
      <c r="F93" s="47" t="s">
        <v>21</v>
      </c>
    </row>
    <row r="94" spans="2:6" x14ac:dyDescent="0.35">
      <c r="B94" s="44" t="s">
        <v>335</v>
      </c>
      <c r="C94" s="46">
        <f>IF(F86&gt;0, C86/F86, 0)</f>
        <v>0</v>
      </c>
      <c r="D94" s="46">
        <f>IF(F86&gt;0, D86/F86, 0)</f>
        <v>0</v>
      </c>
      <c r="E94" s="46">
        <f>IF(F86&gt;0, E86/F86, 0)</f>
        <v>0</v>
      </c>
      <c r="F94" s="47" t="s">
        <v>21</v>
      </c>
    </row>
    <row r="95" spans="2:6" x14ac:dyDescent="0.35">
      <c r="B95" s="44" t="s">
        <v>336</v>
      </c>
      <c r="C95" s="46">
        <f>IF(F87&gt;0, C87/F87, 0)</f>
        <v>0</v>
      </c>
      <c r="D95" s="46">
        <f>IF(F87&gt;0, D87/F87, 0)</f>
        <v>0</v>
      </c>
      <c r="E95" s="46">
        <f>IF(F87&gt;0, E87/F87, 0)</f>
        <v>0</v>
      </c>
      <c r="F95" s="47" t="s">
        <v>21</v>
      </c>
    </row>
    <row r="96" spans="2:6" x14ac:dyDescent="0.35">
      <c r="B96" s="44" t="s">
        <v>18</v>
      </c>
      <c r="C96" s="46">
        <f>IF(F88&gt;0, C88/F88, 0)</f>
        <v>0</v>
      </c>
      <c r="D96" s="46">
        <f>IF(F88&gt;0, D88/F88, 0)</f>
        <v>0</v>
      </c>
      <c r="E96" s="46">
        <f>IF(F88&gt;0, E88/F88, 0)</f>
        <v>1</v>
      </c>
      <c r="F96" s="47" t="s">
        <v>21</v>
      </c>
    </row>
    <row r="101" spans="2:6" ht="18.5" x14ac:dyDescent="0.45">
      <c r="B101" s="40" t="s">
        <v>337</v>
      </c>
    </row>
    <row r="103" spans="2:6" x14ac:dyDescent="0.35">
      <c r="B103" s="54" t="s">
        <v>317</v>
      </c>
    </row>
    <row r="104" spans="2:6" x14ac:dyDescent="0.35">
      <c r="B104" s="42" t="s">
        <v>338</v>
      </c>
      <c r="C104" s="42" t="s">
        <v>318</v>
      </c>
      <c r="D104" s="42" t="s">
        <v>319</v>
      </c>
      <c r="E104" s="42" t="s">
        <v>320</v>
      </c>
      <c r="F104" s="42" t="s">
        <v>321</v>
      </c>
    </row>
    <row r="105" spans="2:6" x14ac:dyDescent="0.35">
      <c r="B105" s="44" t="s">
        <v>339</v>
      </c>
      <c r="C105" s="45">
        <f>COUNTIFS('Recommendations'!F:F,"Low",'Recommendations'!M:M,"=Resolved")</f>
        <v>0</v>
      </c>
      <c r="D105" s="45">
        <f>COUNTIFS('Recommendations'!F:F,"=Low",'Recommendations'!M:M,"=Testing")</f>
        <v>0</v>
      </c>
      <c r="E105" s="45">
        <f>COUNTIFS('Recommendations'!F:F,"=Low",'Recommendations'!M:M,"=Outstanding")</f>
        <v>0</v>
      </c>
      <c r="F105" s="45">
        <f>SUM(C105:E105)</f>
        <v>0</v>
      </c>
    </row>
    <row r="106" spans="2:6" x14ac:dyDescent="0.35">
      <c r="B106" s="44" t="s">
        <v>340</v>
      </c>
      <c r="C106" s="45">
        <f>COUNTIFS('Recommendations'!F:F,"Medium",'Recommendations'!M:M,"=Resolved")</f>
        <v>0</v>
      </c>
      <c r="D106" s="45">
        <f>COUNTIFS('Recommendations'!F:F,"=Medium",'Recommendations'!M:M,"=Testing")</f>
        <v>0</v>
      </c>
      <c r="E106" s="45">
        <f>COUNTIFS('Recommendations'!F:F,"=Medium",'Recommendations'!M:M,"=Outstanding")</f>
        <v>0</v>
      </c>
      <c r="F106" s="45">
        <f>SUM(C106:E106)</f>
        <v>0</v>
      </c>
    </row>
    <row r="107" spans="2:6" x14ac:dyDescent="0.35">
      <c r="B107" s="44" t="s">
        <v>341</v>
      </c>
      <c r="C107" s="45">
        <f>COUNTIFS('Recommendations'!F:F,"High",'Recommendations'!M:M,"=Resolved")</f>
        <v>0</v>
      </c>
      <c r="D107" s="45">
        <f>COUNTIFS('Recommendations'!F:F,"=High",'Recommendations'!M:M,"=Testing")</f>
        <v>0</v>
      </c>
      <c r="E107" s="45">
        <f>COUNTIFS('Recommendations'!F:F,"=High",'Recommendations'!M:M,"=Outstanding")</f>
        <v>0</v>
      </c>
      <c r="F107" s="45">
        <f>SUM(C107:E107)</f>
        <v>0</v>
      </c>
    </row>
    <row r="108" spans="2:6" x14ac:dyDescent="0.35">
      <c r="B108" s="44" t="s">
        <v>19</v>
      </c>
      <c r="C108" s="45">
        <f>COUNTIFS('Recommendations'!F:F,"Unassessed",'Recommendations'!M:M,"=Resolved")</f>
        <v>0</v>
      </c>
      <c r="D108" s="45">
        <f>COUNTIFS('Recommendations'!F:F,"=Unassessed",'Recommendations'!M:M,"=Testing")</f>
        <v>0</v>
      </c>
      <c r="E108" s="45">
        <f>COUNTIFS('Recommendations'!F:F,"=Unassessed",'Recommendations'!M:M,"=Outstanding")</f>
        <v>70</v>
      </c>
      <c r="F108" s="45">
        <f>SUM(C108:E108)</f>
        <v>70</v>
      </c>
    </row>
    <row r="110" spans="2:6" x14ac:dyDescent="0.35">
      <c r="B110" s="54" t="s">
        <v>323</v>
      </c>
    </row>
    <row r="111" spans="2:6" x14ac:dyDescent="0.35">
      <c r="B111" s="55" t="s">
        <v>338</v>
      </c>
      <c r="C111" s="55" t="s">
        <v>318</v>
      </c>
      <c r="D111" s="55" t="s">
        <v>319</v>
      </c>
      <c r="E111" s="55" t="s">
        <v>320</v>
      </c>
      <c r="F111" s="55" t="s">
        <v>21</v>
      </c>
    </row>
    <row r="112" spans="2:6" x14ac:dyDescent="0.35">
      <c r="B112" s="44" t="s">
        <v>339</v>
      </c>
      <c r="C112" s="46">
        <f>IF(F105&gt;0, C105/F105, 0)</f>
        <v>0</v>
      </c>
      <c r="D112" s="46">
        <f>IF(F105&gt;0, D105/F105, 0)</f>
        <v>0</v>
      </c>
      <c r="E112" s="46">
        <f>IF(F105&gt;0, E105/F105, 0)</f>
        <v>0</v>
      </c>
      <c r="F112" s="47" t="s">
        <v>21</v>
      </c>
    </row>
    <row r="113" spans="2:15" x14ac:dyDescent="0.35">
      <c r="B113" s="44" t="s">
        <v>340</v>
      </c>
      <c r="C113" s="46">
        <f>IF(F106&gt;0, C106/F106, 0)</f>
        <v>0</v>
      </c>
      <c r="D113" s="46">
        <f>IF(F106&gt;0, D106/F106, 0)</f>
        <v>0</v>
      </c>
      <c r="E113" s="46">
        <f>IF(F106&gt;0, E106/F106, 0)</f>
        <v>0</v>
      </c>
      <c r="F113" s="47" t="s">
        <v>21</v>
      </c>
    </row>
    <row r="114" spans="2:15" x14ac:dyDescent="0.35">
      <c r="B114" s="44" t="s">
        <v>341</v>
      </c>
      <c r="C114" s="46">
        <f>IF(F107&gt;0, C107/F107, 0)</f>
        <v>0</v>
      </c>
      <c r="D114" s="46">
        <f>IF(F107&gt;0, D107/F107, 0)</f>
        <v>0</v>
      </c>
      <c r="E114" s="46">
        <f>IF(F107&gt;0, E107/F107, 0)</f>
        <v>0</v>
      </c>
      <c r="F114" s="47" t="s">
        <v>21</v>
      </c>
    </row>
    <row r="115" spans="2:15" x14ac:dyDescent="0.35">
      <c r="B115" s="44" t="s">
        <v>19</v>
      </c>
      <c r="C115" s="46">
        <f>IF(F108&gt;0, C108/F108, 0)</f>
        <v>0</v>
      </c>
      <c r="D115" s="46">
        <f>IF(F108&gt;0, D108/F108, 0)</f>
        <v>0</v>
      </c>
      <c r="E115" s="46">
        <f>IF(F108&gt;0, E108/F108, 0)</f>
        <v>1</v>
      </c>
      <c r="F115" s="47" t="s">
        <v>21</v>
      </c>
    </row>
    <row r="120" spans="2:15" ht="18.5" x14ac:dyDescent="0.45">
      <c r="B120" s="40" t="s">
        <v>342</v>
      </c>
      <c r="J120" s="40" t="s">
        <v>343</v>
      </c>
    </row>
    <row r="121" spans="2:15" x14ac:dyDescent="0.35">
      <c r="B121" s="42" t="s">
        <v>6</v>
      </c>
      <c r="C121" s="87" t="s">
        <v>344</v>
      </c>
      <c r="D121" s="87"/>
      <c r="E121" s="42" t="s">
        <v>310</v>
      </c>
      <c r="F121" s="42" t="s">
        <v>318</v>
      </c>
      <c r="G121" s="87" t="s">
        <v>345</v>
      </c>
      <c r="H121" s="87"/>
      <c r="J121" s="42" t="s">
        <v>6</v>
      </c>
      <c r="K121" s="42" t="s">
        <v>333</v>
      </c>
      <c r="L121" s="42" t="s">
        <v>334</v>
      </c>
      <c r="M121" s="42" t="s">
        <v>335</v>
      </c>
      <c r="N121" s="42" t="s">
        <v>336</v>
      </c>
      <c r="O121" s="42" t="s">
        <v>18</v>
      </c>
    </row>
    <row r="122" spans="2:15" x14ac:dyDescent="0.35">
      <c r="B122" s="48" t="s">
        <v>326</v>
      </c>
      <c r="C122" s="88" t="s">
        <v>21</v>
      </c>
      <c r="D122" s="88"/>
      <c r="E122" s="45">
        <f>COUNTIF('Recommendations'!G:G,"Phase1")-COUNTIFS('Recommendations'!G:G,"Phase1",'Recommendations'!H:H,"Risk Accepted")-COUNTIFS('Recommendations'!G:G,"Phase1",'Recommendations'!H:H,"N/A")</f>
        <v>0</v>
      </c>
      <c r="F122" s="45">
        <f>COUNTIFS('Recommendations'!G:G,"Phase1",'Recommendations'!M:M,"Resolved")</f>
        <v>0</v>
      </c>
      <c r="G122" s="89">
        <f t="shared" ref="G122:G127" si="4">IF(E122&gt;0,F122/E122,0)</f>
        <v>0</v>
      </c>
      <c r="H122" s="89"/>
      <c r="J122" s="48" t="s">
        <v>326</v>
      </c>
      <c r="K122" s="45">
        <f>COUNTIFS('Recommendations'!G:G,"Phase1",'Recommendations'!E:E,"Must")</f>
        <v>0</v>
      </c>
      <c r="L122" s="45">
        <f>COUNTIFS('Recommendations'!G:G,"Phase1",'Recommendations'!E:E,"Should")</f>
        <v>0</v>
      </c>
      <c r="M122" s="45">
        <f>COUNTIFS('Recommendations'!G:G,"Phase1",'Recommendations'!E:E,"Could")</f>
        <v>0</v>
      </c>
      <c r="N122" s="45">
        <f>COUNTIFS('Recommendations'!G:G,"Phase1",'Recommendations'!E:E,"Won't")</f>
        <v>0</v>
      </c>
      <c r="O122" s="45">
        <f>COUNTIFS('Recommendations'!G:G,"Phase1",'Recommendations'!E:E,"Unassigned")</f>
        <v>0</v>
      </c>
    </row>
    <row r="123" spans="2:15" x14ac:dyDescent="0.35">
      <c r="B123" s="48" t="s">
        <v>327</v>
      </c>
      <c r="C123" s="88" t="s">
        <v>21</v>
      </c>
      <c r="D123" s="88"/>
      <c r="E123" s="45">
        <f>COUNTIF('Recommendations'!G:G,"Phase2")-COUNTIFS('Recommendations'!G:G,"Phase2",'Recommendations'!H:H,"Risk Accepted")-COUNTIFS('Recommendations'!G:G,"Phase2",'Recommendations'!H:H,"N/A")</f>
        <v>0</v>
      </c>
      <c r="F123" s="45">
        <f>COUNTIFS('Recommendations'!G:G,"Phase2",'Recommendations'!M:M,"Resolved")</f>
        <v>0</v>
      </c>
      <c r="G123" s="89">
        <f t="shared" si="4"/>
        <v>0</v>
      </c>
      <c r="H123" s="89"/>
      <c r="J123" s="48" t="s">
        <v>327</v>
      </c>
      <c r="K123" s="45">
        <f>COUNTIFS('Recommendations'!G:G,"Phase2",'Recommendations'!E:E,"Must")</f>
        <v>0</v>
      </c>
      <c r="L123" s="45">
        <f>COUNTIFS('Recommendations'!G:G,"Phase2",'Recommendations'!E:E,"Should")</f>
        <v>0</v>
      </c>
      <c r="M123" s="45">
        <f>COUNTIFS('Recommendations'!G:G,"Phase2",'Recommendations'!E:E,"Could")</f>
        <v>0</v>
      </c>
      <c r="N123" s="45">
        <f>COUNTIFS('Recommendations'!G:G,"Phase2",'Recommendations'!E:E,"Won't")</f>
        <v>0</v>
      </c>
      <c r="O123" s="45">
        <f>COUNTIFS('Recommendations'!G:G,"Phase2",'Recommendations'!E:E,"Unassigned")</f>
        <v>0</v>
      </c>
    </row>
    <row r="124" spans="2:15" x14ac:dyDescent="0.35">
      <c r="B124" s="48" t="s">
        <v>328</v>
      </c>
      <c r="C124" s="88" t="s">
        <v>21</v>
      </c>
      <c r="D124" s="88"/>
      <c r="E124" s="45">
        <f>COUNTIF('Recommendations'!G:G,"Phase3")-COUNTIFS('Recommendations'!G:G,"Phase3",'Recommendations'!H:H,"Risk Accepted")-COUNTIFS('Recommendations'!G:G,"Phase3",'Recommendations'!H:H,"N/A")</f>
        <v>0</v>
      </c>
      <c r="F124" s="45">
        <f>COUNTIFS('Recommendations'!G:G,"Phase3",'Recommendations'!M:M,"Resolved")</f>
        <v>0</v>
      </c>
      <c r="G124" s="89">
        <f t="shared" si="4"/>
        <v>0</v>
      </c>
      <c r="H124" s="89"/>
      <c r="J124" s="48" t="s">
        <v>328</v>
      </c>
      <c r="K124" s="45">
        <f>COUNTIFS('Recommendations'!G:G,"Phase3",'Recommendations'!E:E,"Must")</f>
        <v>0</v>
      </c>
      <c r="L124" s="45">
        <f>COUNTIFS('Recommendations'!G:G,"Phase3",'Recommendations'!E:E,"Should")</f>
        <v>0</v>
      </c>
      <c r="M124" s="45">
        <f>COUNTIFS('Recommendations'!G:G,"Phase3",'Recommendations'!E:E,"Could")</f>
        <v>0</v>
      </c>
      <c r="N124" s="45">
        <f>COUNTIFS('Recommendations'!G:G,"Phase3",'Recommendations'!E:E,"Won't")</f>
        <v>0</v>
      </c>
      <c r="O124" s="45">
        <f>COUNTIFS('Recommendations'!G:G,"Phase3",'Recommendations'!E:E,"Unassigned")</f>
        <v>0</v>
      </c>
    </row>
    <row r="125" spans="2:15" x14ac:dyDescent="0.35">
      <c r="B125" s="48" t="s">
        <v>329</v>
      </c>
      <c r="C125" s="88" t="s">
        <v>21</v>
      </c>
      <c r="D125" s="88"/>
      <c r="E125" s="45">
        <f>COUNTIF('Recommendations'!G:G,"Phase4")-COUNTIFS('Recommendations'!G:G,"Phase4",'Recommendations'!H:H,"Risk Accepted")-COUNTIFS('Recommendations'!G:G,"Phase4",'Recommendations'!H:H,"N/A")</f>
        <v>0</v>
      </c>
      <c r="F125" s="45">
        <f>COUNTIFS('Recommendations'!G:G,"Phase4",'Recommendations'!M:M,"Resolved")</f>
        <v>0</v>
      </c>
      <c r="G125" s="89">
        <f t="shared" si="4"/>
        <v>0</v>
      </c>
      <c r="H125" s="89"/>
      <c r="J125" s="48" t="s">
        <v>329</v>
      </c>
      <c r="K125" s="45">
        <f>COUNTIFS('Recommendations'!G:G,"Phase4",'Recommendations'!E:E,"Must")</f>
        <v>0</v>
      </c>
      <c r="L125" s="45">
        <f>COUNTIFS('Recommendations'!G:G,"Phase4",'Recommendations'!E:E,"Should")</f>
        <v>0</v>
      </c>
      <c r="M125" s="45">
        <f>COUNTIFS('Recommendations'!G:G,"Phase4",'Recommendations'!E:E,"Could")</f>
        <v>0</v>
      </c>
      <c r="N125" s="45">
        <f>COUNTIFS('Recommendations'!G:G,"Phase4",'Recommendations'!E:E,"Won't")</f>
        <v>0</v>
      </c>
      <c r="O125" s="45">
        <f>COUNTIFS('Recommendations'!G:G,"Phase4",'Recommendations'!E:E,"Unassigned")</f>
        <v>0</v>
      </c>
    </row>
    <row r="126" spans="2:15" x14ac:dyDescent="0.35">
      <c r="B126" s="48" t="s">
        <v>330</v>
      </c>
      <c r="C126" s="88" t="s">
        <v>21</v>
      </c>
      <c r="D126" s="88"/>
      <c r="E126" s="45">
        <f>COUNTIF('Recommendations'!G:G,"Phase5")-COUNTIFS('Recommendations'!G:G,"Phase5",'Recommendations'!H:H,"Risk Accepted")-COUNTIFS('Recommendations'!G:G,"Phase5",'Recommendations'!H:H,"N/A")</f>
        <v>0</v>
      </c>
      <c r="F126" s="45">
        <f>COUNTIFS('Recommendations'!G:G,"Phase5",'Recommendations'!M:M,"Resolved")</f>
        <v>0</v>
      </c>
      <c r="G126" s="89">
        <f t="shared" si="4"/>
        <v>0</v>
      </c>
      <c r="H126" s="89"/>
      <c r="J126" s="48" t="s">
        <v>330</v>
      </c>
      <c r="K126" s="45">
        <f>COUNTIFS('Recommendations'!G:G,"Phase5",'Recommendations'!E:E,"Must")</f>
        <v>0</v>
      </c>
      <c r="L126" s="45">
        <f>COUNTIFS('Recommendations'!G:G,"Phase5",'Recommendations'!E:E,"Should")</f>
        <v>0</v>
      </c>
      <c r="M126" s="45">
        <f>COUNTIFS('Recommendations'!G:G,"Phase5",'Recommendations'!E:E,"Could")</f>
        <v>0</v>
      </c>
      <c r="N126" s="45">
        <f>COUNTIFS('Recommendations'!G:G,"Phase5",'Recommendations'!E:E,"Won't")</f>
        <v>0</v>
      </c>
      <c r="O126" s="45">
        <f>COUNTIFS('Recommendations'!G:G,"Phase5",'Recommendations'!E:E,"Unassigned")</f>
        <v>0</v>
      </c>
    </row>
    <row r="127" spans="2:15" x14ac:dyDescent="0.35">
      <c r="B127" s="48" t="s">
        <v>20</v>
      </c>
      <c r="C127" s="88" t="s">
        <v>21</v>
      </c>
      <c r="D127" s="88"/>
      <c r="E127" s="45">
        <f>COUNTIF('Recommendations'!G:G,"Pending")-COUNTIFS('Recommendations'!G:G,"Pending",'Recommendations'!H:H,"Risk Accepted")-COUNTIFS('Recommendations'!G:G,"Pending",'Recommendations'!H:H,"N/A")</f>
        <v>70</v>
      </c>
      <c r="F127" s="45">
        <f>COUNTIFS('Recommendations'!G:G,"Pending",'Recommendations'!M:M,"Resolved")</f>
        <v>0</v>
      </c>
      <c r="G127" s="89">
        <f t="shared" si="4"/>
        <v>0</v>
      </c>
      <c r="H127" s="89"/>
      <c r="J127" s="48" t="s">
        <v>20</v>
      </c>
      <c r="K127" s="45">
        <f>COUNTIFS('Recommendations'!G:G,"Pending",'Recommendations'!E:E,"Must")</f>
        <v>0</v>
      </c>
      <c r="L127" s="45">
        <f>COUNTIFS('Recommendations'!G:G,"Pending",'Recommendations'!E:E,"Should")</f>
        <v>0</v>
      </c>
      <c r="M127" s="45">
        <f>COUNTIFS('Recommendations'!G:G,"Pending",'Recommendations'!E:E,"Could")</f>
        <v>0</v>
      </c>
      <c r="N127" s="45">
        <f>COUNTIFS('Recommendations'!G:G,"Pending",'Recommendations'!E:E,"Won't")</f>
        <v>0</v>
      </c>
      <c r="O127" s="45">
        <f>COUNTIFS('Recommendations'!G:G,"Pending",'Recommendations'!E:E,"Unassigned")</f>
        <v>70</v>
      </c>
    </row>
    <row r="134" spans="2:24" ht="21" x14ac:dyDescent="0.5">
      <c r="B134" s="40" t="s">
        <v>346</v>
      </c>
      <c r="P134" s="57" t="s">
        <v>347</v>
      </c>
    </row>
    <row r="136" spans="2:24" ht="60" customHeight="1" x14ac:dyDescent="0.35">
      <c r="B136" s="90" t="s">
        <v>348</v>
      </c>
      <c r="C136" s="83"/>
      <c r="D136" s="83"/>
      <c r="E136" s="83"/>
      <c r="F136" s="83"/>
      <c r="P136" s="90" t="s">
        <v>349</v>
      </c>
      <c r="Q136" s="83"/>
      <c r="R136" s="83"/>
      <c r="S136" s="83"/>
      <c r="T136" s="83"/>
      <c r="U136" s="83"/>
      <c r="V136" s="83"/>
      <c r="W136" s="83"/>
    </row>
    <row r="138" spans="2:24" ht="30" customHeight="1" x14ac:dyDescent="0.35">
      <c r="P138" s="58" t="s">
        <v>350</v>
      </c>
      <c r="Q138" s="59">
        <f>C16</f>
        <v>0</v>
      </c>
      <c r="R138" s="60"/>
      <c r="S138" s="59">
        <f>C84</f>
        <v>0</v>
      </c>
      <c r="T138" s="60"/>
      <c r="U138" s="59">
        <f>C85</f>
        <v>0</v>
      </c>
      <c r="V138" s="60"/>
      <c r="W138" s="59">
        <f>C86</f>
        <v>0</v>
      </c>
      <c r="X138" s="60"/>
    </row>
    <row r="139" spans="2:24" ht="35" customHeight="1" x14ac:dyDescent="0.35">
      <c r="P139" s="61" t="s">
        <v>351</v>
      </c>
      <c r="Q139" s="61" t="s">
        <v>352</v>
      </c>
      <c r="R139" s="61" t="s">
        <v>353</v>
      </c>
      <c r="S139" s="61" t="s">
        <v>354</v>
      </c>
      <c r="T139" s="61" t="s">
        <v>355</v>
      </c>
      <c r="U139" s="61" t="s">
        <v>356</v>
      </c>
      <c r="V139" s="61" t="s">
        <v>357</v>
      </c>
      <c r="W139" s="61" t="s">
        <v>358</v>
      </c>
      <c r="X139" s="61" t="s">
        <v>359</v>
      </c>
    </row>
    <row r="140" spans="2:24" x14ac:dyDescent="0.35">
      <c r="O140" s="62" t="s">
        <v>360</v>
      </c>
      <c r="P140" s="63" t="s">
        <v>361</v>
      </c>
      <c r="Q140" s="64">
        <v>0</v>
      </c>
      <c r="R140" s="65">
        <f>IF(Dashboard!F16&gt;0, Q140/Dashboard!F16, "")</f>
        <v>0</v>
      </c>
      <c r="S140" s="64">
        <v>0</v>
      </c>
      <c r="T140" s="65" t="str">
        <f>IF(AND(NOT(ISBLANK(S140)),Dashboard!F84&gt;0), S140/Dashboard!F84, "")</f>
        <v/>
      </c>
      <c r="U140" s="64">
        <v>0</v>
      </c>
      <c r="V140" s="65" t="str">
        <f>IF(AND(NOT(ISBLANK(U140)),Dashboard!F85&gt;0), U140/Dashboard!F85, "")</f>
        <v/>
      </c>
      <c r="W140" s="64">
        <v>0</v>
      </c>
      <c r="X140" s="65" t="str">
        <f>IF(AND(NOT(ISBLANK(W140)),Dashboard!F86&gt;0), W140/Dashboard!F86, "")</f>
        <v/>
      </c>
    </row>
    <row r="141" spans="2:24" x14ac:dyDescent="0.35">
      <c r="P141" s="56"/>
      <c r="Q141" s="43"/>
      <c r="R141" s="46" t="str">
        <f>IF(AND(NOT(ISBLANK(Q141)),Dashboard!F16&gt;0), Q141/Dashboard!F16, "")</f>
        <v/>
      </c>
      <c r="S141" s="43"/>
      <c r="T141" s="46" t="str">
        <f>IF(AND(NOT(ISBLANK(S141)),Dashboard!F84&gt;0), S141/Dashboard!F84, "")</f>
        <v/>
      </c>
      <c r="U141" s="43"/>
      <c r="V141" s="46" t="str">
        <f>IF(AND(NOT(ISBLANK(U141)),Dashboard!F85&gt;0), U141/Dashboard!F85, "")</f>
        <v/>
      </c>
      <c r="W141" s="43"/>
      <c r="X141" s="46" t="str">
        <f>IF(AND(NOT(ISBLANK(W141)),Dashboard!F86&gt;0), W141/Dashboard!F86, "")</f>
        <v/>
      </c>
    </row>
    <row r="142" spans="2:24" x14ac:dyDescent="0.35">
      <c r="P142" s="56"/>
      <c r="Q142" s="43"/>
      <c r="R142" s="46" t="str">
        <f>IF(AND(NOT(ISBLANK(Q142)),Dashboard!F16&gt;0), Q142/Dashboard!F16, "")</f>
        <v/>
      </c>
      <c r="S142" s="43"/>
      <c r="T142" s="46" t="str">
        <f>IF(AND(NOT(ISBLANK(S142)),Dashboard!F84&gt;0), S142/Dashboard!F84, "")</f>
        <v/>
      </c>
      <c r="U142" s="43"/>
      <c r="V142" s="46" t="str">
        <f>IF(AND(NOT(ISBLANK(U142)),Dashboard!F85&gt;0), U142/Dashboard!F85, "")</f>
        <v/>
      </c>
      <c r="W142" s="43"/>
      <c r="X142" s="46" t="str">
        <f>IF(AND(NOT(ISBLANK(W142)),Dashboard!F86&gt;0), W142/Dashboard!F86, "")</f>
        <v/>
      </c>
    </row>
    <row r="143" spans="2:24" x14ac:dyDescent="0.35">
      <c r="P143" s="56"/>
      <c r="Q143" s="43"/>
      <c r="R143" s="46" t="str">
        <f>IF(AND(NOT(ISBLANK(Q143)),Dashboard!F16&gt;0), Q143/Dashboard!F16, "")</f>
        <v/>
      </c>
      <c r="S143" s="43"/>
      <c r="T143" s="46" t="str">
        <f>IF(AND(NOT(ISBLANK(S143)),Dashboard!F84&gt;0), S143/Dashboard!F84, "")</f>
        <v/>
      </c>
      <c r="U143" s="43"/>
      <c r="V143" s="46" t="str">
        <f>IF(AND(NOT(ISBLANK(U143)),Dashboard!F85&gt;0), U143/Dashboard!F85, "")</f>
        <v/>
      </c>
      <c r="W143" s="43"/>
      <c r="X143" s="46" t="str">
        <f>IF(AND(NOT(ISBLANK(W143)),Dashboard!F86&gt;0), W143/Dashboard!F86, "")</f>
        <v/>
      </c>
    </row>
    <row r="144" spans="2:24" x14ac:dyDescent="0.35">
      <c r="P144" s="56"/>
      <c r="Q144" s="43"/>
      <c r="R144" s="46" t="str">
        <f>IF(AND(NOT(ISBLANK(Q144)),Dashboard!F16&gt;0), Q144/Dashboard!F16, "")</f>
        <v/>
      </c>
      <c r="S144" s="43"/>
      <c r="T144" s="46" t="str">
        <f>IF(AND(NOT(ISBLANK(S144)),Dashboard!F84&gt;0), S144/Dashboard!F84, "")</f>
        <v/>
      </c>
      <c r="U144" s="43"/>
      <c r="V144" s="46" t="str">
        <f>IF(AND(NOT(ISBLANK(U144)),Dashboard!F85&gt;0), U144/Dashboard!F85, "")</f>
        <v/>
      </c>
      <c r="W144" s="43"/>
      <c r="X144" s="46" t="str">
        <f>IF(AND(NOT(ISBLANK(W144)),Dashboard!F86&gt;0), W144/Dashboard!F86, "")</f>
        <v/>
      </c>
    </row>
    <row r="145" spans="16:24" x14ac:dyDescent="0.35">
      <c r="P145" s="56"/>
      <c r="Q145" s="43"/>
      <c r="R145" s="46" t="str">
        <f>IF(AND(NOT(ISBLANK(Q145)),Dashboard!F16&gt;0), Q145/Dashboard!F16, "")</f>
        <v/>
      </c>
      <c r="S145" s="43"/>
      <c r="T145" s="46" t="str">
        <f>IF(AND(NOT(ISBLANK(S145)),Dashboard!F84&gt;0), S145/Dashboard!F84, "")</f>
        <v/>
      </c>
      <c r="U145" s="43"/>
      <c r="V145" s="46" t="str">
        <f>IF(AND(NOT(ISBLANK(U145)),Dashboard!F85&gt;0), U145/Dashboard!F85, "")</f>
        <v/>
      </c>
      <c r="W145" s="43"/>
      <c r="X145" s="46" t="str">
        <f>IF(AND(NOT(ISBLANK(W145)),Dashboard!F86&gt;0), W145/Dashboard!F86, "")</f>
        <v/>
      </c>
    </row>
    <row r="146" spans="16:24" x14ac:dyDescent="0.35">
      <c r="P146" s="56"/>
      <c r="Q146" s="43"/>
      <c r="R146" s="46" t="str">
        <f>IF(AND(NOT(ISBLANK(Q146)),Dashboard!F16&gt;0), Q146/Dashboard!F16, "")</f>
        <v/>
      </c>
      <c r="S146" s="43"/>
      <c r="T146" s="46" t="str">
        <f>IF(AND(NOT(ISBLANK(S146)),Dashboard!F84&gt;0), S146/Dashboard!F84, "")</f>
        <v/>
      </c>
      <c r="U146" s="43"/>
      <c r="V146" s="46" t="str">
        <f>IF(AND(NOT(ISBLANK(U146)),Dashboard!F85&gt;0), U146/Dashboard!F85, "")</f>
        <v/>
      </c>
      <c r="W146" s="43"/>
      <c r="X146" s="46" t="str">
        <f>IF(AND(NOT(ISBLANK(W146)),Dashboard!F86&gt;0), W146/Dashboard!F86, "")</f>
        <v/>
      </c>
    </row>
    <row r="147" spans="16:24" x14ac:dyDescent="0.35">
      <c r="P147" s="56"/>
      <c r="Q147" s="43"/>
      <c r="R147" s="46" t="str">
        <f>IF(AND(NOT(ISBLANK(Q147)),Dashboard!F16&gt;0), Q147/Dashboard!F16, "")</f>
        <v/>
      </c>
      <c r="S147" s="43"/>
      <c r="T147" s="46" t="str">
        <f>IF(AND(NOT(ISBLANK(S147)),Dashboard!F84&gt;0), S147/Dashboard!F84, "")</f>
        <v/>
      </c>
      <c r="U147" s="43"/>
      <c r="V147" s="46" t="str">
        <f>IF(AND(NOT(ISBLANK(U147)),Dashboard!F85&gt;0), U147/Dashboard!F85, "")</f>
        <v/>
      </c>
      <c r="W147" s="43"/>
      <c r="X147" s="46" t="str">
        <f>IF(AND(NOT(ISBLANK(W147)),Dashboard!F86&gt;0), W147/Dashboard!F86, "")</f>
        <v/>
      </c>
    </row>
    <row r="148" spans="16:24" x14ac:dyDescent="0.35">
      <c r="P148" s="56"/>
      <c r="Q148" s="43"/>
      <c r="R148" s="46" t="str">
        <f>IF(AND(NOT(ISBLANK(Q148)),Dashboard!F16&gt;0), Q148/Dashboard!F16, "")</f>
        <v/>
      </c>
      <c r="S148" s="43"/>
      <c r="T148" s="46" t="str">
        <f>IF(AND(NOT(ISBLANK(S148)),Dashboard!F84&gt;0), S148/Dashboard!F84, "")</f>
        <v/>
      </c>
      <c r="U148" s="43"/>
      <c r="V148" s="46" t="str">
        <f>IF(AND(NOT(ISBLANK(U148)),Dashboard!F85&gt;0), U148/Dashboard!F85, "")</f>
        <v/>
      </c>
      <c r="W148" s="43"/>
      <c r="X148" s="46" t="str">
        <f>IF(AND(NOT(ISBLANK(W148)),Dashboard!F86&gt;0), W148/Dashboard!F86, "")</f>
        <v/>
      </c>
    </row>
    <row r="149" spans="16:24" x14ac:dyDescent="0.35">
      <c r="P149" s="56"/>
      <c r="Q149" s="43"/>
      <c r="R149" s="46" t="str">
        <f>IF(AND(NOT(ISBLANK(Q149)),Dashboard!F16&gt;0), Q149/Dashboard!F16, "")</f>
        <v/>
      </c>
      <c r="S149" s="43"/>
      <c r="T149" s="46" t="str">
        <f>IF(AND(NOT(ISBLANK(S149)),Dashboard!F84&gt;0), S149/Dashboard!F84, "")</f>
        <v/>
      </c>
      <c r="U149" s="43"/>
      <c r="V149" s="46" t="str">
        <f>IF(AND(NOT(ISBLANK(U149)),Dashboard!F85&gt;0), U149/Dashboard!F85, "")</f>
        <v/>
      </c>
      <c r="W149" s="43"/>
      <c r="X149" s="46" t="str">
        <f>IF(AND(NOT(ISBLANK(W149)),Dashboard!F86&gt;0), W149/Dashboard!F86, "")</f>
        <v/>
      </c>
    </row>
    <row r="150" spans="16:24" x14ac:dyDescent="0.35">
      <c r="P150" s="56"/>
      <c r="Q150" s="43"/>
      <c r="R150" s="46" t="str">
        <f>IF(AND(NOT(ISBLANK(Q150)),Dashboard!F16&gt;0), Q150/Dashboard!F16, "")</f>
        <v/>
      </c>
      <c r="S150" s="43"/>
      <c r="T150" s="46" t="str">
        <f>IF(AND(NOT(ISBLANK(S150)),Dashboard!F84&gt;0), S150/Dashboard!F84, "")</f>
        <v/>
      </c>
      <c r="U150" s="43"/>
      <c r="V150" s="46" t="str">
        <f>IF(AND(NOT(ISBLANK(U150)),Dashboard!F85&gt;0), U150/Dashboard!F85, "")</f>
        <v/>
      </c>
      <c r="W150" s="43"/>
      <c r="X150" s="46" t="str">
        <f>IF(AND(NOT(ISBLANK(W150)),Dashboard!F86&gt;0), W150/Dashboard!F86, "")</f>
        <v/>
      </c>
    </row>
    <row r="151" spans="16:24" x14ac:dyDescent="0.35">
      <c r="P151" s="56"/>
      <c r="Q151" s="43"/>
      <c r="R151" s="46" t="str">
        <f>IF(AND(NOT(ISBLANK(Q151)),Dashboard!F16&gt;0), Q151/Dashboard!F16, "")</f>
        <v/>
      </c>
      <c r="S151" s="43"/>
      <c r="T151" s="46" t="str">
        <f>IF(AND(NOT(ISBLANK(S151)),Dashboard!F84&gt;0), S151/Dashboard!F84, "")</f>
        <v/>
      </c>
      <c r="U151" s="43"/>
      <c r="V151" s="46" t="str">
        <f>IF(AND(NOT(ISBLANK(U151)),Dashboard!F85&gt;0), U151/Dashboard!F85, "")</f>
        <v/>
      </c>
      <c r="W151" s="43"/>
      <c r="X151" s="46" t="str">
        <f>IF(AND(NOT(ISBLANK(W151)),Dashboard!F86&gt;0), W151/Dashboard!F86, "")</f>
        <v/>
      </c>
    </row>
    <row r="152" spans="16:24" x14ac:dyDescent="0.35">
      <c r="P152" s="56"/>
      <c r="Q152" s="43"/>
      <c r="R152" s="46" t="str">
        <f>IF(AND(NOT(ISBLANK(Q152)),Dashboard!F16&gt;0), Q152/Dashboard!F16, "")</f>
        <v/>
      </c>
      <c r="S152" s="43"/>
      <c r="T152" s="46" t="str">
        <f>IF(AND(NOT(ISBLANK(S152)),Dashboard!F84&gt;0), S152/Dashboard!F84, "")</f>
        <v/>
      </c>
      <c r="U152" s="43"/>
      <c r="V152" s="46" t="str">
        <f>IF(AND(NOT(ISBLANK(U152)),Dashboard!F85&gt;0), U152/Dashboard!F85, "")</f>
        <v/>
      </c>
      <c r="W152" s="43"/>
      <c r="X152" s="46" t="str">
        <f>IF(AND(NOT(ISBLANK(W152)),Dashboard!F86&gt;0), W152/Dashboard!F86, "")</f>
        <v/>
      </c>
    </row>
    <row r="153" spans="16:24" x14ac:dyDescent="0.35">
      <c r="P153" s="56"/>
      <c r="Q153" s="43"/>
      <c r="R153" s="46" t="str">
        <f>IF(AND(NOT(ISBLANK(Q153)),Dashboard!F16&gt;0), Q153/Dashboard!F16, "")</f>
        <v/>
      </c>
      <c r="S153" s="43"/>
      <c r="T153" s="46" t="str">
        <f>IF(AND(NOT(ISBLANK(S153)),Dashboard!F84&gt;0), S153/Dashboard!F84, "")</f>
        <v/>
      </c>
      <c r="U153" s="43"/>
      <c r="V153" s="46" t="str">
        <f>IF(AND(NOT(ISBLANK(U153)),Dashboard!F85&gt;0), U153/Dashboard!F85, "")</f>
        <v/>
      </c>
      <c r="W153" s="43"/>
      <c r="X153" s="46" t="str">
        <f>IF(AND(NOT(ISBLANK(W153)),Dashboard!F86&gt;0), W153/Dashboard!F86, "")</f>
        <v/>
      </c>
    </row>
    <row r="154" spans="16:24" x14ac:dyDescent="0.35">
      <c r="P154" s="56"/>
      <c r="Q154" s="43"/>
      <c r="R154" s="46" t="str">
        <f>IF(AND(NOT(ISBLANK(Q154)),Dashboard!F16&gt;0), Q154/Dashboard!F16, "")</f>
        <v/>
      </c>
      <c r="S154" s="43"/>
      <c r="T154" s="46" t="str">
        <f>IF(AND(NOT(ISBLANK(S154)),Dashboard!F84&gt;0), S154/Dashboard!F84, "")</f>
        <v/>
      </c>
      <c r="U154" s="43"/>
      <c r="V154" s="46" t="str">
        <f>IF(AND(NOT(ISBLANK(U154)),Dashboard!F85&gt;0), U154/Dashboard!F85, "")</f>
        <v/>
      </c>
      <c r="W154" s="43"/>
      <c r="X154" s="46" t="str">
        <f>IF(AND(NOT(ISBLANK(W154)),Dashboard!F86&gt;0), W154/Dashboard!F86, "")</f>
        <v/>
      </c>
    </row>
    <row r="155" spans="16:24" x14ac:dyDescent="0.35">
      <c r="P155" s="56"/>
      <c r="Q155" s="43"/>
      <c r="R155" s="46" t="str">
        <f>IF(AND(NOT(ISBLANK(Q155)),Dashboard!F16&gt;0), Q155/Dashboard!F16, "")</f>
        <v/>
      </c>
      <c r="S155" s="43"/>
      <c r="T155" s="46" t="str">
        <f>IF(AND(NOT(ISBLANK(S155)),Dashboard!F84&gt;0), S155/Dashboard!F84, "")</f>
        <v/>
      </c>
      <c r="U155" s="43"/>
      <c r="V155" s="46" t="str">
        <f>IF(AND(NOT(ISBLANK(U155)),Dashboard!F85&gt;0), U155/Dashboard!F85, "")</f>
        <v/>
      </c>
      <c r="W155" s="43"/>
      <c r="X155" s="46" t="str">
        <f>IF(AND(NOT(ISBLANK(W155)),Dashboard!F86&gt;0), W155/Dashboard!F86, "")</f>
        <v/>
      </c>
    </row>
    <row r="156" spans="16:24" x14ac:dyDescent="0.35">
      <c r="P156" s="56"/>
      <c r="Q156" s="43"/>
      <c r="R156" s="46" t="str">
        <f>IF(AND(NOT(ISBLANK(Q156)),Dashboard!F16&gt;0), Q156/Dashboard!F16, "")</f>
        <v/>
      </c>
      <c r="S156" s="43"/>
      <c r="T156" s="46" t="str">
        <f>IF(AND(NOT(ISBLANK(S156)),Dashboard!F84&gt;0), S156/Dashboard!F84, "")</f>
        <v/>
      </c>
      <c r="U156" s="43"/>
      <c r="V156" s="46" t="str">
        <f>IF(AND(NOT(ISBLANK(U156)),Dashboard!F85&gt;0), U156/Dashboard!F85, "")</f>
        <v/>
      </c>
      <c r="W156" s="43"/>
      <c r="X156" s="46" t="str">
        <f>IF(AND(NOT(ISBLANK(W156)),Dashboard!F86&gt;0), W156/Dashboard!F86, "")</f>
        <v/>
      </c>
    </row>
    <row r="157" spans="16:24" x14ac:dyDescent="0.35">
      <c r="P157" s="56"/>
      <c r="Q157" s="43"/>
      <c r="R157" s="46" t="str">
        <f>IF(AND(NOT(ISBLANK(Q157)),Dashboard!F16&gt;0), Q157/Dashboard!F16, "")</f>
        <v/>
      </c>
      <c r="S157" s="43"/>
      <c r="T157" s="46" t="str">
        <f>IF(AND(NOT(ISBLANK(S157)),Dashboard!F84&gt;0), S157/Dashboard!F84, "")</f>
        <v/>
      </c>
      <c r="U157" s="43"/>
      <c r="V157" s="46" t="str">
        <f>IF(AND(NOT(ISBLANK(U157)),Dashboard!F85&gt;0), U157/Dashboard!F85, "")</f>
        <v/>
      </c>
      <c r="W157" s="43"/>
      <c r="X157" s="46" t="str">
        <f>IF(AND(NOT(ISBLANK(W157)),Dashboard!F86&gt;0), W157/Dashboard!F86, "")</f>
        <v/>
      </c>
    </row>
    <row r="158" spans="16:24" x14ac:dyDescent="0.35">
      <c r="P158" s="56"/>
      <c r="Q158" s="43"/>
      <c r="R158" s="46" t="str">
        <f>IF(AND(NOT(ISBLANK(Q158)),Dashboard!F16&gt;0), Q158/Dashboard!F16, "")</f>
        <v/>
      </c>
      <c r="S158" s="43"/>
      <c r="T158" s="46" t="str">
        <f>IF(AND(NOT(ISBLANK(S158)),Dashboard!F84&gt;0), S158/Dashboard!F84, "")</f>
        <v/>
      </c>
      <c r="U158" s="43"/>
      <c r="V158" s="46" t="str">
        <f>IF(AND(NOT(ISBLANK(U158)),Dashboard!F85&gt;0), U158/Dashboard!F85, "")</f>
        <v/>
      </c>
      <c r="W158" s="43"/>
      <c r="X158" s="46" t="str">
        <f>IF(AND(NOT(ISBLANK(W158)),Dashboard!F86&gt;0), W158/Dashboard!F86, "")</f>
        <v/>
      </c>
    </row>
    <row r="159" spans="16:24" x14ac:dyDescent="0.35">
      <c r="P159" s="56"/>
      <c r="Q159" s="43"/>
      <c r="R159" s="46" t="str">
        <f>IF(AND(NOT(ISBLANK(Q159)),Dashboard!F16&gt;0), Q159/Dashboard!F16, "")</f>
        <v/>
      </c>
      <c r="S159" s="43"/>
      <c r="T159" s="46" t="str">
        <f>IF(AND(NOT(ISBLANK(S159)),Dashboard!F84&gt;0), S159/Dashboard!F84, "")</f>
        <v/>
      </c>
      <c r="U159" s="43"/>
      <c r="V159" s="46" t="str">
        <f>IF(AND(NOT(ISBLANK(U159)),Dashboard!F85&gt;0), U159/Dashboard!F85, "")</f>
        <v/>
      </c>
      <c r="W159" s="43"/>
      <c r="X159" s="46" t="str">
        <f>IF(AND(NOT(ISBLANK(W159)),Dashboard!F86&gt;0), W159/Dashboard!F86, "")</f>
        <v/>
      </c>
    </row>
    <row r="160" spans="16:24" x14ac:dyDescent="0.35">
      <c r="P160" s="56"/>
      <c r="Q160" s="43"/>
      <c r="R160" s="46" t="str">
        <f>IF(AND(NOT(ISBLANK(Q160)),Dashboard!F16&gt;0), Q160/Dashboard!F16, "")</f>
        <v/>
      </c>
      <c r="S160" s="43"/>
      <c r="T160" s="46" t="str">
        <f>IF(AND(NOT(ISBLANK(S160)),Dashboard!F84&gt;0), S160/Dashboard!F84, "")</f>
        <v/>
      </c>
      <c r="U160" s="43"/>
      <c r="V160" s="46" t="str">
        <f>IF(AND(NOT(ISBLANK(U160)),Dashboard!F85&gt;0), U160/Dashboard!F85, "")</f>
        <v/>
      </c>
      <c r="W160" s="43"/>
      <c r="X160" s="46" t="str">
        <f>IF(AND(NOT(ISBLANK(W160)),Dashboard!F86&gt;0), W160/Dashboard!F86, "")</f>
        <v/>
      </c>
    </row>
    <row r="161" spans="2:24" x14ac:dyDescent="0.35">
      <c r="P161" s="56"/>
      <c r="Q161" s="43"/>
      <c r="R161" s="46" t="str">
        <f>IF(AND(NOT(ISBLANK(Q161)),Dashboard!F16&gt;0), Q161/Dashboard!F16, "")</f>
        <v/>
      </c>
      <c r="S161" s="43"/>
      <c r="T161" s="46" t="str">
        <f>IF(AND(NOT(ISBLANK(S161)),Dashboard!F84&gt;0), S161/Dashboard!F84, "")</f>
        <v/>
      </c>
      <c r="U161" s="43"/>
      <c r="V161" s="46" t="str">
        <f>IF(AND(NOT(ISBLANK(U161)),Dashboard!F85&gt;0), U161/Dashboard!F85, "")</f>
        <v/>
      </c>
      <c r="W161" s="43"/>
      <c r="X161" s="46" t="str">
        <f>IF(AND(NOT(ISBLANK(W161)),Dashboard!F86&gt;0), W161/Dashboard!F86, "")</f>
        <v/>
      </c>
    </row>
    <row r="162" spans="2:24" x14ac:dyDescent="0.35">
      <c r="P162" s="56"/>
      <c r="Q162" s="43"/>
      <c r="R162" s="46" t="str">
        <f>IF(AND(NOT(ISBLANK(Q162)),Dashboard!F16&gt;0), Q162/Dashboard!F16, "")</f>
        <v/>
      </c>
      <c r="S162" s="43"/>
      <c r="T162" s="46" t="str">
        <f>IF(AND(NOT(ISBLANK(S162)),Dashboard!F84&gt;0), S162/Dashboard!F84, "")</f>
        <v/>
      </c>
      <c r="U162" s="43"/>
      <c r="V162" s="46" t="str">
        <f>IF(AND(NOT(ISBLANK(U162)),Dashboard!F85&gt;0), U162/Dashboard!F85, "")</f>
        <v/>
      </c>
      <c r="W162" s="43"/>
      <c r="X162" s="46" t="str">
        <f>IF(AND(NOT(ISBLANK(W162)),Dashboard!F86&gt;0), W162/Dashboard!F86, "")</f>
        <v/>
      </c>
    </row>
    <row r="163" spans="2:24" x14ac:dyDescent="0.35">
      <c r="P163" s="56"/>
      <c r="Q163" s="43"/>
      <c r="R163" s="46" t="str">
        <f>IF(AND(NOT(ISBLANK(Q163)),Dashboard!F16&gt;0), Q163/Dashboard!F16, "")</f>
        <v/>
      </c>
      <c r="S163" s="43"/>
      <c r="T163" s="46" t="str">
        <f>IF(AND(NOT(ISBLANK(S163)),Dashboard!F84&gt;0), S163/Dashboard!F84, "")</f>
        <v/>
      </c>
      <c r="U163" s="43"/>
      <c r="V163" s="46" t="str">
        <f>IF(AND(NOT(ISBLANK(U163)),Dashboard!F85&gt;0), U163/Dashboard!F85, "")</f>
        <v/>
      </c>
      <c r="W163" s="43"/>
      <c r="X163" s="46" t="str">
        <f>IF(AND(NOT(ISBLANK(W163)),Dashboard!F86&gt;0), W163/Dashboard!F86, "")</f>
        <v/>
      </c>
    </row>
    <row r="164" spans="2:24" x14ac:dyDescent="0.35">
      <c r="P164" s="56"/>
      <c r="Q164" s="43"/>
      <c r="R164" s="46" t="str">
        <f>IF(AND(NOT(ISBLANK(Q164)),Dashboard!F16&gt;0), Q164/Dashboard!F16, "")</f>
        <v/>
      </c>
      <c r="S164" s="43"/>
      <c r="T164" s="46" t="str">
        <f>IF(AND(NOT(ISBLANK(S164)),Dashboard!F84&gt;0), S164/Dashboard!F84, "")</f>
        <v/>
      </c>
      <c r="U164" s="43"/>
      <c r="V164" s="46" t="str">
        <f>IF(AND(NOT(ISBLANK(U164)),Dashboard!F85&gt;0), U164/Dashboard!F85, "")</f>
        <v/>
      </c>
      <c r="W164" s="43"/>
      <c r="X164" s="46" t="str">
        <f>IF(AND(NOT(ISBLANK(W164)),Dashboard!F86&gt;0), W164/Dashboard!F86, "")</f>
        <v/>
      </c>
    </row>
    <row r="165" spans="2:24" x14ac:dyDescent="0.35">
      <c r="P165" s="56"/>
      <c r="Q165" s="43"/>
      <c r="R165" s="46" t="str">
        <f>IF(AND(NOT(ISBLANK(Q165)),Dashboard!F16&gt;0), Q165/Dashboard!F16, "")</f>
        <v/>
      </c>
      <c r="S165" s="43"/>
      <c r="T165" s="46" t="str">
        <f>IF(AND(NOT(ISBLANK(S165)),Dashboard!F84&gt;0), S165/Dashboard!F84, "")</f>
        <v/>
      </c>
      <c r="U165" s="43"/>
      <c r="V165" s="46" t="str">
        <f>IF(AND(NOT(ISBLANK(U165)),Dashboard!F85&gt;0), U165/Dashboard!F85, "")</f>
        <v/>
      </c>
      <c r="W165" s="43"/>
      <c r="X165" s="46" t="str">
        <f>IF(AND(NOT(ISBLANK(W165)),Dashboard!F86&gt;0), W165/Dashboard!F86, "")</f>
        <v/>
      </c>
    </row>
    <row r="166" spans="2:24" x14ac:dyDescent="0.35">
      <c r="P166" s="56"/>
      <c r="Q166" s="43"/>
      <c r="R166" s="46" t="str">
        <f>IF(AND(NOT(ISBLANK(Q166)),Dashboard!F16&gt;0), Q166/Dashboard!F16, "")</f>
        <v/>
      </c>
      <c r="S166" s="43"/>
      <c r="T166" s="46" t="str">
        <f>IF(AND(NOT(ISBLANK(S166)),Dashboard!F84&gt;0), S166/Dashboard!F84, "")</f>
        <v/>
      </c>
      <c r="U166" s="43"/>
      <c r="V166" s="46" t="str">
        <f>IF(AND(NOT(ISBLANK(U166)),Dashboard!F85&gt;0), U166/Dashboard!F85, "")</f>
        <v/>
      </c>
      <c r="W166" s="43"/>
      <c r="X166" s="46" t="str">
        <f>IF(AND(NOT(ISBLANK(W166)),Dashboard!F86&gt;0), W166/Dashboard!F86, "")</f>
        <v/>
      </c>
    </row>
    <row r="167" spans="2:24" x14ac:dyDescent="0.35">
      <c r="P167" s="56"/>
      <c r="Q167" s="43"/>
      <c r="R167" s="46" t="str">
        <f>IF(AND(NOT(ISBLANK(Q167)),Dashboard!F16&gt;0), Q167/Dashboard!F16, "")</f>
        <v/>
      </c>
      <c r="S167" s="43"/>
      <c r="T167" s="46" t="str">
        <f>IF(AND(NOT(ISBLANK(S167)),Dashboard!F84&gt;0), S167/Dashboard!F84, "")</f>
        <v/>
      </c>
      <c r="U167" s="43"/>
      <c r="V167" s="46" t="str">
        <f>IF(AND(NOT(ISBLANK(U167)),Dashboard!F85&gt;0), U167/Dashboard!F85, "")</f>
        <v/>
      </c>
      <c r="W167" s="43"/>
      <c r="X167" s="46" t="str">
        <f>IF(AND(NOT(ISBLANK(W167)),Dashboard!F86&gt;0), W167/Dashboard!F86, "")</f>
        <v/>
      </c>
    </row>
    <row r="168" spans="2:24" x14ac:dyDescent="0.35">
      <c r="P168" s="56"/>
      <c r="Q168" s="43"/>
      <c r="R168" s="46" t="str">
        <f>IF(AND(NOT(ISBLANK(Q168)),Dashboard!F16&gt;0), Q168/Dashboard!F16, "")</f>
        <v/>
      </c>
      <c r="S168" s="43"/>
      <c r="T168" s="46" t="str">
        <f>IF(AND(NOT(ISBLANK(S168)),Dashboard!F84&gt;0), S168/Dashboard!F84, "")</f>
        <v/>
      </c>
      <c r="U168" s="43"/>
      <c r="V168" s="46" t="str">
        <f>IF(AND(NOT(ISBLANK(U168)),Dashboard!F85&gt;0), U168/Dashboard!F85, "")</f>
        <v/>
      </c>
      <c r="W168" s="43"/>
      <c r="X168" s="46" t="str">
        <f>IF(AND(NOT(ISBLANK(W168)),Dashboard!F86&gt;0), W168/Dashboard!F86, "")</f>
        <v/>
      </c>
    </row>
    <row r="169" spans="2:24" x14ac:dyDescent="0.35">
      <c r="P169" s="56"/>
      <c r="Q169" s="43"/>
      <c r="R169" s="46" t="str">
        <f>IF(AND(NOT(ISBLANK(Q169)),Dashboard!F16&gt;0), Q169/Dashboard!F16, "")</f>
        <v/>
      </c>
      <c r="S169" s="43"/>
      <c r="T169" s="46" t="str">
        <f>IF(AND(NOT(ISBLANK(S169)),Dashboard!F84&gt;0), S169/Dashboard!F84, "")</f>
        <v/>
      </c>
      <c r="U169" s="43"/>
      <c r="V169" s="46" t="str">
        <f>IF(AND(NOT(ISBLANK(U169)),Dashboard!F85&gt;0), U169/Dashboard!F85, "")</f>
        <v/>
      </c>
      <c r="W169" s="43"/>
      <c r="X169" s="46" t="str">
        <f>IF(AND(NOT(ISBLANK(W169)),Dashboard!F86&gt;0), W169/Dashboard!F86, "")</f>
        <v/>
      </c>
    </row>
    <row r="170" spans="2:24" x14ac:dyDescent="0.35">
      <c r="P170" s="56"/>
      <c r="Q170" s="43"/>
      <c r="R170" s="46" t="str">
        <f>IF(AND(NOT(ISBLANK(Q170)),Dashboard!F16&gt;0), Q170/Dashboard!F16, "")</f>
        <v/>
      </c>
      <c r="S170" s="43"/>
      <c r="T170" s="46" t="str">
        <f>IF(AND(NOT(ISBLANK(S170)),Dashboard!F84&gt;0), S170/Dashboard!F84, "")</f>
        <v/>
      </c>
      <c r="U170" s="43"/>
      <c r="V170" s="46" t="str">
        <f>IF(AND(NOT(ISBLANK(U170)),Dashboard!F85&gt;0), U170/Dashboard!F85, "")</f>
        <v/>
      </c>
      <c r="W170" s="43"/>
      <c r="X170" s="46" t="str">
        <f>IF(AND(NOT(ISBLANK(W170)),Dashboard!F86&gt;0), W170/Dashboard!F86, "")</f>
        <v/>
      </c>
    </row>
    <row r="175" spans="2:24" ht="21" x14ac:dyDescent="0.5">
      <c r="B175" s="40" t="s">
        <v>362</v>
      </c>
      <c r="P175" s="57" t="s">
        <v>363</v>
      </c>
    </row>
    <row r="177" spans="2:22" ht="45" customHeight="1" x14ac:dyDescent="0.35">
      <c r="B177" s="90" t="s">
        <v>364</v>
      </c>
      <c r="C177" s="83"/>
      <c r="D177" s="83"/>
      <c r="E177" s="83"/>
      <c r="F177" s="83"/>
      <c r="P177" s="90" t="s">
        <v>365</v>
      </c>
      <c r="Q177" s="83"/>
      <c r="R177" s="83"/>
      <c r="S177" s="83"/>
      <c r="T177" s="83"/>
      <c r="U177" s="83"/>
    </row>
    <row r="178" spans="2:22" ht="35" customHeight="1" x14ac:dyDescent="0.35">
      <c r="P178" s="87" t="s">
        <v>366</v>
      </c>
      <c r="Q178" s="87"/>
      <c r="R178" s="87" t="s">
        <v>367</v>
      </c>
      <c r="S178" s="87"/>
      <c r="T178" s="87"/>
    </row>
    <row r="179" spans="2:22" ht="30" customHeight="1" x14ac:dyDescent="0.35">
      <c r="P179" s="91">
        <v>0</v>
      </c>
      <c r="Q179" s="92"/>
      <c r="R179" s="93" t="s">
        <v>368</v>
      </c>
      <c r="S179" s="94"/>
      <c r="T179" s="94"/>
    </row>
    <row r="182" spans="2:22" ht="25" customHeight="1" x14ac:dyDescent="0.35">
      <c r="P182" s="66" t="s">
        <v>351</v>
      </c>
      <c r="Q182" s="66" t="s">
        <v>369</v>
      </c>
      <c r="R182" s="66" t="s">
        <v>370</v>
      </c>
      <c r="S182" s="95" t="s">
        <v>8</v>
      </c>
      <c r="T182" s="95"/>
      <c r="U182" s="95"/>
      <c r="V182" s="83"/>
    </row>
    <row r="183" spans="2:22" ht="20" customHeight="1" x14ac:dyDescent="0.35">
      <c r="P183" s="68"/>
      <c r="Q183" s="69"/>
      <c r="R183" s="70" t="str">
        <f>IF(AND(NOT(ISBLANK(Q183)), Dashboard!$P179&gt;0), Q183/Dashboard!$P179, "")</f>
        <v/>
      </c>
      <c r="S183" s="96"/>
      <c r="T183" s="97"/>
      <c r="U183" s="97"/>
      <c r="V183" s="97"/>
    </row>
    <row r="184" spans="2:22" ht="20" customHeight="1" x14ac:dyDescent="0.35">
      <c r="P184" s="68"/>
      <c r="Q184" s="69"/>
      <c r="R184" s="70" t="str">
        <f>IF(AND(NOT(ISBLANK(Q184)), Dashboard!$P179&gt;0), Q184/Dashboard!$P179, "")</f>
        <v/>
      </c>
      <c r="S184" s="96"/>
      <c r="T184" s="97"/>
      <c r="U184" s="97"/>
      <c r="V184" s="97"/>
    </row>
    <row r="185" spans="2:22" ht="20" customHeight="1" x14ac:dyDescent="0.35">
      <c r="P185" s="68"/>
      <c r="Q185" s="69"/>
      <c r="R185" s="70" t="str">
        <f>IF(AND(NOT(ISBLANK(Q185)), Dashboard!$P179&gt;0), Q185/Dashboard!$P179, "")</f>
        <v/>
      </c>
      <c r="S185" s="96"/>
      <c r="T185" s="97"/>
      <c r="U185" s="97"/>
      <c r="V185" s="97"/>
    </row>
    <row r="186" spans="2:22" ht="20" customHeight="1" x14ac:dyDescent="0.35">
      <c r="P186" s="68"/>
      <c r="Q186" s="69"/>
      <c r="R186" s="70" t="str">
        <f>IF(AND(NOT(ISBLANK(Q186)), Dashboard!$P179&gt;0), Q186/Dashboard!$P179, "")</f>
        <v/>
      </c>
      <c r="S186" s="96"/>
      <c r="T186" s="97"/>
      <c r="U186" s="97"/>
      <c r="V186" s="97"/>
    </row>
    <row r="187" spans="2:22" ht="20" customHeight="1" x14ac:dyDescent="0.35">
      <c r="P187" s="68"/>
      <c r="Q187" s="69"/>
      <c r="R187" s="70" t="str">
        <f>IF(AND(NOT(ISBLANK(Q187)), Dashboard!$P179&gt;0), Q187/Dashboard!$P179, "")</f>
        <v/>
      </c>
      <c r="S187" s="96"/>
      <c r="T187" s="97"/>
      <c r="U187" s="97"/>
      <c r="V187" s="97"/>
    </row>
    <row r="188" spans="2:22" ht="20" customHeight="1" x14ac:dyDescent="0.35">
      <c r="P188" s="68"/>
      <c r="Q188" s="69"/>
      <c r="R188" s="70" t="str">
        <f>IF(AND(NOT(ISBLANK(Q188)), Dashboard!$P179&gt;0), Q188/Dashboard!$P179, "")</f>
        <v/>
      </c>
      <c r="S188" s="96"/>
      <c r="T188" s="97"/>
      <c r="U188" s="97"/>
      <c r="V188" s="97"/>
    </row>
    <row r="189" spans="2:22" ht="20" customHeight="1" x14ac:dyDescent="0.35">
      <c r="P189" s="68"/>
      <c r="Q189" s="69"/>
      <c r="R189" s="70" t="str">
        <f>IF(AND(NOT(ISBLANK(Q189)), Dashboard!$P179&gt;0), Q189/Dashboard!$P179, "")</f>
        <v/>
      </c>
      <c r="S189" s="96"/>
      <c r="T189" s="97"/>
      <c r="U189" s="97"/>
      <c r="V189" s="97"/>
    </row>
    <row r="190" spans="2:22" ht="20" customHeight="1" x14ac:dyDescent="0.35">
      <c r="P190" s="68"/>
      <c r="Q190" s="69"/>
      <c r="R190" s="70" t="str">
        <f>IF(AND(NOT(ISBLANK(Q190)), Dashboard!$P179&gt;0), Q190/Dashboard!$P179, "")</f>
        <v/>
      </c>
      <c r="S190" s="96"/>
      <c r="T190" s="97"/>
      <c r="U190" s="97"/>
      <c r="V190" s="97"/>
    </row>
    <row r="191" spans="2:22" ht="20" customHeight="1" x14ac:dyDescent="0.35">
      <c r="P191" s="68"/>
      <c r="Q191" s="69"/>
      <c r="R191" s="70" t="str">
        <f>IF(AND(NOT(ISBLANK(Q191)), Dashboard!$P179&gt;0), Q191/Dashboard!$P179, "")</f>
        <v/>
      </c>
      <c r="S191" s="96"/>
      <c r="T191" s="97"/>
      <c r="U191" s="97"/>
      <c r="V191" s="97"/>
    </row>
    <row r="192" spans="2:22" ht="20" customHeight="1" x14ac:dyDescent="0.35">
      <c r="P192" s="68"/>
      <c r="Q192" s="69"/>
      <c r="R192" s="70" t="str">
        <f>IF(AND(NOT(ISBLANK(Q192)), Dashboard!$P179&gt;0), Q192/Dashboard!$P179, "")</f>
        <v/>
      </c>
      <c r="S192" s="96"/>
      <c r="T192" s="97"/>
      <c r="U192" s="97"/>
      <c r="V192" s="97"/>
    </row>
    <row r="193" spans="2:22" ht="20" customHeight="1" x14ac:dyDescent="0.35">
      <c r="P193" s="68"/>
      <c r="Q193" s="69"/>
      <c r="R193" s="70" t="str">
        <f>IF(AND(NOT(ISBLANK(Q193)), Dashboard!$P179&gt;0), Q193/Dashboard!$P179, "")</f>
        <v/>
      </c>
      <c r="S193" s="96"/>
      <c r="T193" s="97"/>
      <c r="U193" s="97"/>
      <c r="V193" s="97"/>
    </row>
    <row r="194" spans="2:22" ht="20" customHeight="1" x14ac:dyDescent="0.35">
      <c r="P194" s="68"/>
      <c r="Q194" s="69"/>
      <c r="R194" s="70" t="str">
        <f>IF(AND(NOT(ISBLANK(Q194)), Dashboard!$P179&gt;0), Q194/Dashboard!$P179, "")</f>
        <v/>
      </c>
      <c r="S194" s="96"/>
      <c r="T194" s="97"/>
      <c r="U194" s="97"/>
      <c r="V194" s="97"/>
    </row>
    <row r="195" spans="2:22" ht="20" customHeight="1" x14ac:dyDescent="0.35">
      <c r="P195" s="68"/>
      <c r="Q195" s="69"/>
      <c r="R195" s="70" t="str">
        <f>IF(AND(NOT(ISBLANK(Q195)), Dashboard!$P179&gt;0), Q195/Dashboard!$P179, "")</f>
        <v/>
      </c>
      <c r="S195" s="96"/>
      <c r="T195" s="97"/>
      <c r="U195" s="97"/>
      <c r="V195" s="97"/>
    </row>
    <row r="196" spans="2:22" ht="20" customHeight="1" x14ac:dyDescent="0.35">
      <c r="P196" s="68"/>
      <c r="Q196" s="69"/>
      <c r="R196" s="70" t="str">
        <f>IF(AND(NOT(ISBLANK(Q196)), Dashboard!$P179&gt;0), Q196/Dashboard!$P179, "")</f>
        <v/>
      </c>
      <c r="S196" s="96"/>
      <c r="T196" s="97"/>
      <c r="U196" s="97"/>
      <c r="V196" s="97"/>
    </row>
    <row r="197" spans="2:22" ht="20" customHeight="1" x14ac:dyDescent="0.35">
      <c r="P197" s="68"/>
      <c r="Q197" s="69"/>
      <c r="R197" s="70" t="str">
        <f>IF(AND(NOT(ISBLANK(Q197)), Dashboard!$P179&gt;0), Q197/Dashboard!$P179, "")</f>
        <v/>
      </c>
      <c r="S197" s="96"/>
      <c r="T197" s="97"/>
      <c r="U197" s="97"/>
      <c r="V197" s="97"/>
    </row>
    <row r="198" spans="2:22" ht="20" customHeight="1" x14ac:dyDescent="0.35">
      <c r="P198" s="68"/>
      <c r="Q198" s="69"/>
      <c r="R198" s="70" t="str">
        <f>IF(AND(NOT(ISBLANK(Q198)), Dashboard!$P179&gt;0), Q198/Dashboard!$P179, "")</f>
        <v/>
      </c>
      <c r="S198" s="96"/>
      <c r="T198" s="97"/>
      <c r="U198" s="97"/>
      <c r="V198" s="97"/>
    </row>
    <row r="199" spans="2:22" ht="20" customHeight="1" x14ac:dyDescent="0.35">
      <c r="P199" s="68"/>
      <c r="Q199" s="69"/>
      <c r="R199" s="70" t="str">
        <f>IF(AND(NOT(ISBLANK(Q199)), Dashboard!$P179&gt;0), Q199/Dashboard!$P179, "")</f>
        <v/>
      </c>
      <c r="S199" s="96"/>
      <c r="T199" s="97"/>
      <c r="U199" s="97"/>
      <c r="V199" s="97"/>
    </row>
    <row r="200" spans="2:22" ht="20" customHeight="1" x14ac:dyDescent="0.35">
      <c r="P200" s="68"/>
      <c r="Q200" s="69"/>
      <c r="R200" s="70" t="str">
        <f>IF(AND(NOT(ISBLANK(Q200)), Dashboard!$P179&gt;0), Q200/Dashboard!$P179, "")</f>
        <v/>
      </c>
      <c r="S200" s="96"/>
      <c r="T200" s="97"/>
      <c r="U200" s="97"/>
      <c r="V200" s="97"/>
    </row>
    <row r="201" spans="2:22" ht="20" customHeight="1" x14ac:dyDescent="0.35">
      <c r="P201" s="68"/>
      <c r="Q201" s="69"/>
      <c r="R201" s="70" t="str">
        <f>IF(AND(NOT(ISBLANK(Q201)), Dashboard!$P179&gt;0), Q201/Dashboard!$P179, "")</f>
        <v/>
      </c>
      <c r="S201" s="96"/>
      <c r="T201" s="97"/>
      <c r="U201" s="97"/>
      <c r="V201" s="97"/>
    </row>
    <row r="202" spans="2:22" ht="20" customHeight="1" x14ac:dyDescent="0.35">
      <c r="P202" s="68"/>
      <c r="Q202" s="69"/>
      <c r="R202" s="70" t="str">
        <f>IF(AND(NOT(ISBLANK(Q202)), Dashboard!$P179&gt;0), Q202/Dashboard!$P179, "")</f>
        <v/>
      </c>
      <c r="S202" s="96"/>
      <c r="T202" s="97"/>
      <c r="U202" s="97"/>
      <c r="V202" s="97"/>
    </row>
    <row r="206" spans="2:22" ht="32" customHeight="1" x14ac:dyDescent="0.35">
      <c r="B206" s="81" t="s">
        <v>243</v>
      </c>
      <c r="C206" s="81"/>
      <c r="D206" s="81"/>
      <c r="E206" s="81"/>
      <c r="F206" s="81"/>
      <c r="G206" s="81"/>
      <c r="H206" s="81"/>
      <c r="I206" s="8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2:H127">
    <cfRule type="expression" dxfId="32" priority="4">
      <formula>$G122&gt;=0.8</formula>
    </cfRule>
    <cfRule type="expression" dxfId="31" priority="5">
      <formula>AND($G122&gt;=0.5,$G122&lt;0.8)</formula>
    </cfRule>
    <cfRule type="expression" dxfId="30" priority="6">
      <formula>$G122&lt;0.5</formula>
    </cfRule>
  </conditionalFormatting>
  <conditionalFormatting sqref="K122:K127">
    <cfRule type="cellIs" dxfId="29" priority="7" operator="greaterThan">
      <formula>0</formula>
    </cfRule>
  </conditionalFormatting>
  <conditionalFormatting sqref="L122:L127">
    <cfRule type="cellIs" dxfId="28" priority="8" operator="greaterThan">
      <formula>0</formula>
    </cfRule>
  </conditionalFormatting>
  <conditionalFormatting sqref="M122:M127">
    <cfRule type="cellIs" dxfId="27" priority="9" operator="greaterThan">
      <formula>0</formula>
    </cfRule>
  </conditionalFormatting>
  <conditionalFormatting sqref="N122:N127">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71"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62</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73</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62</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17</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16</v>
      </c>
      <c r="D18" s="3" t="s">
        <v>17</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16</v>
      </c>
      <c r="D19" s="3" t="s">
        <v>17</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62</v>
      </c>
      <c r="D20" s="3" t="s">
        <v>17</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16</v>
      </c>
      <c r="D21" s="3" t="s">
        <v>17</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16</v>
      </c>
      <c r="D22" s="3" t="s">
        <v>17</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17</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17</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17</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16</v>
      </c>
      <c r="D26" s="3" t="s">
        <v>17</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16</v>
      </c>
      <c r="D27" s="3" t="s">
        <v>17</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16</v>
      </c>
      <c r="D28" s="3" t="s">
        <v>17</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16</v>
      </c>
      <c r="D29" s="3" t="s">
        <v>17</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16</v>
      </c>
      <c r="D30" s="3" t="s">
        <v>17</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16</v>
      </c>
      <c r="D31" s="3" t="s">
        <v>17</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16</v>
      </c>
      <c r="D32" s="3" t="s">
        <v>17</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73</v>
      </c>
      <c r="D33" s="3" t="s">
        <v>17</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62</v>
      </c>
      <c r="D34" s="3" t="s">
        <v>17</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62</v>
      </c>
      <c r="D35" s="3" t="s">
        <v>17</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15</v>
      </c>
      <c r="C36" s="2" t="s">
        <v>16</v>
      </c>
      <c r="D36" s="3" t="s">
        <v>193</v>
      </c>
      <c r="E36" s="4" t="s">
        <v>18</v>
      </c>
      <c r="F36" s="4" t="s">
        <v>19</v>
      </c>
      <c r="G36" s="4" t="s">
        <v>20</v>
      </c>
      <c r="H36" s="4" t="s">
        <v>21</v>
      </c>
      <c r="I36" s="5" t="s">
        <v>21</v>
      </c>
      <c r="J36" s="1" t="s">
        <v>22</v>
      </c>
      <c r="K36" s="1" t="s">
        <v>23</v>
      </c>
      <c r="L36" s="1" t="s">
        <v>24</v>
      </c>
      <c r="M36" s="4" t="str">
        <f t="shared" si="0"/>
        <v>Outstanding</v>
      </c>
      <c r="N36" s="13" t="s">
        <v>21</v>
      </c>
    </row>
    <row r="37" spans="1:14" ht="60" customHeight="1" x14ac:dyDescent="0.35">
      <c r="A37" s="11" t="s">
        <v>194</v>
      </c>
      <c r="B37" s="1" t="s">
        <v>26</v>
      </c>
      <c r="C37" s="2" t="s">
        <v>16</v>
      </c>
      <c r="D37" s="3" t="s">
        <v>193</v>
      </c>
      <c r="E37" s="4" t="s">
        <v>18</v>
      </c>
      <c r="F37" s="4" t="s">
        <v>19</v>
      </c>
      <c r="G37" s="4" t="s">
        <v>20</v>
      </c>
      <c r="H37" s="4" t="s">
        <v>21</v>
      </c>
      <c r="I37" s="5" t="s">
        <v>21</v>
      </c>
      <c r="J37" s="1" t="s">
        <v>27</v>
      </c>
      <c r="K37" s="1" t="s">
        <v>28</v>
      </c>
      <c r="L37" s="1" t="s">
        <v>29</v>
      </c>
      <c r="M37" s="4" t="str">
        <f t="shared" si="0"/>
        <v>Outstanding</v>
      </c>
      <c r="N37" s="13" t="s">
        <v>21</v>
      </c>
    </row>
    <row r="38" spans="1:14" ht="60" customHeight="1" x14ac:dyDescent="0.35">
      <c r="A38" s="11" t="s">
        <v>195</v>
      </c>
      <c r="B38" s="1" t="s">
        <v>31</v>
      </c>
      <c r="C38" s="2" t="s">
        <v>16</v>
      </c>
      <c r="D38" s="3" t="s">
        <v>193</v>
      </c>
      <c r="E38" s="4" t="s">
        <v>18</v>
      </c>
      <c r="F38" s="4" t="s">
        <v>19</v>
      </c>
      <c r="G38" s="4" t="s">
        <v>20</v>
      </c>
      <c r="H38" s="4" t="s">
        <v>21</v>
      </c>
      <c r="I38" s="5" t="s">
        <v>21</v>
      </c>
      <c r="J38" s="1" t="s">
        <v>32</v>
      </c>
      <c r="K38" s="1" t="s">
        <v>33</v>
      </c>
      <c r="L38" s="1" t="s">
        <v>196</v>
      </c>
      <c r="M38" s="4" t="str">
        <f t="shared" si="0"/>
        <v>Outstanding</v>
      </c>
      <c r="N38" s="13" t="s">
        <v>21</v>
      </c>
    </row>
    <row r="39" spans="1:14" ht="60" customHeight="1" x14ac:dyDescent="0.35">
      <c r="A39" s="11" t="s">
        <v>197</v>
      </c>
      <c r="B39" s="1" t="s">
        <v>36</v>
      </c>
      <c r="C39" s="2" t="s">
        <v>16</v>
      </c>
      <c r="D39" s="3" t="s">
        <v>193</v>
      </c>
      <c r="E39" s="4" t="s">
        <v>18</v>
      </c>
      <c r="F39" s="4" t="s">
        <v>19</v>
      </c>
      <c r="G39" s="4" t="s">
        <v>20</v>
      </c>
      <c r="H39" s="4" t="s">
        <v>21</v>
      </c>
      <c r="I39" s="5" t="s">
        <v>21</v>
      </c>
      <c r="J39" s="1" t="s">
        <v>37</v>
      </c>
      <c r="K39" s="1" t="s">
        <v>38</v>
      </c>
      <c r="L39" s="1" t="s">
        <v>39</v>
      </c>
      <c r="M39" s="4" t="str">
        <f t="shared" si="0"/>
        <v>Outstanding</v>
      </c>
      <c r="N39" s="13" t="s">
        <v>21</v>
      </c>
    </row>
    <row r="40" spans="1:14" ht="60" customHeight="1" x14ac:dyDescent="0.35">
      <c r="A40" s="11" t="s">
        <v>198</v>
      </c>
      <c r="B40" s="1" t="s">
        <v>41</v>
      </c>
      <c r="C40" s="2" t="s">
        <v>16</v>
      </c>
      <c r="D40" s="3" t="s">
        <v>193</v>
      </c>
      <c r="E40" s="4" t="s">
        <v>18</v>
      </c>
      <c r="F40" s="4" t="s">
        <v>19</v>
      </c>
      <c r="G40" s="4" t="s">
        <v>20</v>
      </c>
      <c r="H40" s="4" t="s">
        <v>21</v>
      </c>
      <c r="I40" s="5" t="s">
        <v>21</v>
      </c>
      <c r="J40" s="1" t="s">
        <v>42</v>
      </c>
      <c r="K40" s="1" t="s">
        <v>43</v>
      </c>
      <c r="L40" s="1" t="s">
        <v>44</v>
      </c>
      <c r="M40" s="4" t="str">
        <f t="shared" si="0"/>
        <v>Outstanding</v>
      </c>
      <c r="N40" s="13" t="s">
        <v>21</v>
      </c>
    </row>
    <row r="41" spans="1:14" ht="60" customHeight="1" x14ac:dyDescent="0.35">
      <c r="A41" s="11" t="s">
        <v>199</v>
      </c>
      <c r="B41" s="1" t="s">
        <v>46</v>
      </c>
      <c r="C41" s="2" t="s">
        <v>16</v>
      </c>
      <c r="D41" s="3" t="s">
        <v>193</v>
      </c>
      <c r="E41" s="4" t="s">
        <v>18</v>
      </c>
      <c r="F41" s="4" t="s">
        <v>19</v>
      </c>
      <c r="G41" s="4" t="s">
        <v>20</v>
      </c>
      <c r="H41" s="4" t="s">
        <v>21</v>
      </c>
      <c r="I41" s="5" t="s">
        <v>21</v>
      </c>
      <c r="J41" s="1" t="s">
        <v>47</v>
      </c>
      <c r="K41" s="1" t="s">
        <v>48</v>
      </c>
      <c r="L41" s="1" t="s">
        <v>49</v>
      </c>
      <c r="M41" s="4" t="str">
        <f t="shared" si="0"/>
        <v>Outstanding</v>
      </c>
      <c r="N41" s="13" t="s">
        <v>21</v>
      </c>
    </row>
    <row r="42" spans="1:14" ht="60" customHeight="1" x14ac:dyDescent="0.35">
      <c r="A42" s="11" t="s">
        <v>200</v>
      </c>
      <c r="B42" s="1" t="s">
        <v>51</v>
      </c>
      <c r="C42" s="2" t="s">
        <v>16</v>
      </c>
      <c r="D42" s="3" t="s">
        <v>193</v>
      </c>
      <c r="E42" s="4" t="s">
        <v>18</v>
      </c>
      <c r="F42" s="4" t="s">
        <v>19</v>
      </c>
      <c r="G42" s="4" t="s">
        <v>20</v>
      </c>
      <c r="H42" s="4" t="s">
        <v>21</v>
      </c>
      <c r="I42" s="5" t="s">
        <v>21</v>
      </c>
      <c r="J42" s="1" t="s">
        <v>52</v>
      </c>
      <c r="K42" s="1" t="s">
        <v>53</v>
      </c>
      <c r="L42" s="1" t="s">
        <v>54</v>
      </c>
      <c r="M42" s="4" t="str">
        <f t="shared" si="0"/>
        <v>Outstanding</v>
      </c>
      <c r="N42" s="13" t="s">
        <v>21</v>
      </c>
    </row>
    <row r="43" spans="1:14" ht="60" customHeight="1" x14ac:dyDescent="0.35">
      <c r="A43" s="11" t="s">
        <v>201</v>
      </c>
      <c r="B43" s="1" t="s">
        <v>202</v>
      </c>
      <c r="C43" s="2" t="s">
        <v>16</v>
      </c>
      <c r="D43" s="3" t="s">
        <v>193</v>
      </c>
      <c r="E43" s="4" t="s">
        <v>18</v>
      </c>
      <c r="F43" s="4" t="s">
        <v>19</v>
      </c>
      <c r="G43" s="4" t="s">
        <v>20</v>
      </c>
      <c r="H43" s="4" t="s">
        <v>21</v>
      </c>
      <c r="I43" s="5" t="s">
        <v>21</v>
      </c>
      <c r="J43" s="1" t="s">
        <v>57</v>
      </c>
      <c r="K43" s="1" t="s">
        <v>58</v>
      </c>
      <c r="L43" s="1" t="s">
        <v>59</v>
      </c>
      <c r="M43" s="4" t="str">
        <f t="shared" si="0"/>
        <v>Outstanding</v>
      </c>
      <c r="N43" s="13" t="s">
        <v>21</v>
      </c>
    </row>
    <row r="44" spans="1:14" ht="60" customHeight="1" x14ac:dyDescent="0.35">
      <c r="A44" s="11" t="s">
        <v>203</v>
      </c>
      <c r="B44" s="1" t="s">
        <v>61</v>
      </c>
      <c r="C44" s="2" t="s">
        <v>62</v>
      </c>
      <c r="D44" s="3" t="s">
        <v>193</v>
      </c>
      <c r="E44" s="4" t="s">
        <v>18</v>
      </c>
      <c r="F44" s="4" t="s">
        <v>19</v>
      </c>
      <c r="G44" s="4" t="s">
        <v>20</v>
      </c>
      <c r="H44" s="4" t="s">
        <v>21</v>
      </c>
      <c r="I44" s="5" t="s">
        <v>21</v>
      </c>
      <c r="J44" s="1" t="s">
        <v>63</v>
      </c>
      <c r="K44" s="1" t="s">
        <v>64</v>
      </c>
      <c r="L44" s="1" t="s">
        <v>65</v>
      </c>
      <c r="M44" s="4" t="str">
        <f t="shared" si="0"/>
        <v>Outstanding</v>
      </c>
      <c r="N44" s="13" t="s">
        <v>21</v>
      </c>
    </row>
    <row r="45" spans="1:14" ht="60" customHeight="1" x14ac:dyDescent="0.35">
      <c r="A45" s="11" t="s">
        <v>204</v>
      </c>
      <c r="B45" s="1" t="s">
        <v>205</v>
      </c>
      <c r="C45" s="2" t="s">
        <v>16</v>
      </c>
      <c r="D45" s="3" t="s">
        <v>193</v>
      </c>
      <c r="E45" s="4" t="s">
        <v>18</v>
      </c>
      <c r="F45" s="4" t="s">
        <v>19</v>
      </c>
      <c r="G45" s="4" t="s">
        <v>20</v>
      </c>
      <c r="H45" s="4" t="s">
        <v>21</v>
      </c>
      <c r="I45" s="5" t="s">
        <v>21</v>
      </c>
      <c r="J45" s="1" t="s">
        <v>68</v>
      </c>
      <c r="K45" s="1" t="s">
        <v>69</v>
      </c>
      <c r="L45" s="1" t="s">
        <v>70</v>
      </c>
      <c r="M45" s="4" t="str">
        <f t="shared" si="0"/>
        <v>Outstanding</v>
      </c>
      <c r="N45" s="13" t="s">
        <v>21</v>
      </c>
    </row>
    <row r="46" spans="1:14" ht="60" customHeight="1" x14ac:dyDescent="0.35">
      <c r="A46" s="11" t="s">
        <v>206</v>
      </c>
      <c r="B46" s="1" t="s">
        <v>72</v>
      </c>
      <c r="C46" s="2" t="s">
        <v>73</v>
      </c>
      <c r="D46" s="3" t="s">
        <v>193</v>
      </c>
      <c r="E46" s="4" t="s">
        <v>18</v>
      </c>
      <c r="F46" s="4" t="s">
        <v>19</v>
      </c>
      <c r="G46" s="4" t="s">
        <v>20</v>
      </c>
      <c r="H46" s="4" t="s">
        <v>21</v>
      </c>
      <c r="I46" s="5" t="s">
        <v>21</v>
      </c>
      <c r="J46" s="1" t="s">
        <v>74</v>
      </c>
      <c r="K46" s="1" t="s">
        <v>75</v>
      </c>
      <c r="L46" s="1" t="s">
        <v>76</v>
      </c>
      <c r="M46" s="4" t="str">
        <f t="shared" si="0"/>
        <v>Outstanding</v>
      </c>
      <c r="N46" s="13" t="s">
        <v>21</v>
      </c>
    </row>
    <row r="47" spans="1:14" ht="60" customHeight="1" x14ac:dyDescent="0.35">
      <c r="A47" s="11" t="s">
        <v>207</v>
      </c>
      <c r="B47" s="1" t="s">
        <v>78</v>
      </c>
      <c r="C47" s="2" t="s">
        <v>16</v>
      </c>
      <c r="D47" s="3" t="s">
        <v>193</v>
      </c>
      <c r="E47" s="4" t="s">
        <v>18</v>
      </c>
      <c r="F47" s="4" t="s">
        <v>19</v>
      </c>
      <c r="G47" s="4" t="s">
        <v>20</v>
      </c>
      <c r="H47" s="4" t="s">
        <v>21</v>
      </c>
      <c r="I47" s="5" t="s">
        <v>21</v>
      </c>
      <c r="J47" s="1" t="s">
        <v>79</v>
      </c>
      <c r="K47" s="1" t="s">
        <v>80</v>
      </c>
      <c r="L47" s="1" t="s">
        <v>81</v>
      </c>
      <c r="M47" s="4" t="str">
        <f t="shared" si="0"/>
        <v>Outstanding</v>
      </c>
      <c r="N47" s="13" t="s">
        <v>21</v>
      </c>
    </row>
    <row r="48" spans="1:14" ht="60" customHeight="1" x14ac:dyDescent="0.35">
      <c r="A48" s="11" t="s">
        <v>208</v>
      </c>
      <c r="B48" s="1" t="s">
        <v>83</v>
      </c>
      <c r="C48" s="2" t="s">
        <v>16</v>
      </c>
      <c r="D48" s="3" t="s">
        <v>193</v>
      </c>
      <c r="E48" s="4" t="s">
        <v>18</v>
      </c>
      <c r="F48" s="4" t="s">
        <v>19</v>
      </c>
      <c r="G48" s="4" t="s">
        <v>20</v>
      </c>
      <c r="H48" s="4" t="s">
        <v>21</v>
      </c>
      <c r="I48" s="5" t="s">
        <v>21</v>
      </c>
      <c r="J48" s="1" t="s">
        <v>84</v>
      </c>
      <c r="K48" s="1" t="s">
        <v>85</v>
      </c>
      <c r="L48" s="1" t="s">
        <v>86</v>
      </c>
      <c r="M48" s="4" t="str">
        <f t="shared" si="0"/>
        <v>Outstanding</v>
      </c>
      <c r="N48" s="13" t="s">
        <v>21</v>
      </c>
    </row>
    <row r="49" spans="1:14" ht="60" customHeight="1" x14ac:dyDescent="0.35">
      <c r="A49" s="11" t="s">
        <v>209</v>
      </c>
      <c r="B49" s="1" t="s">
        <v>88</v>
      </c>
      <c r="C49" s="2" t="s">
        <v>62</v>
      </c>
      <c r="D49" s="3" t="s">
        <v>193</v>
      </c>
      <c r="E49" s="4" t="s">
        <v>18</v>
      </c>
      <c r="F49" s="4" t="s">
        <v>19</v>
      </c>
      <c r="G49" s="4" t="s">
        <v>20</v>
      </c>
      <c r="H49" s="4" t="s">
        <v>21</v>
      </c>
      <c r="I49" s="5" t="s">
        <v>21</v>
      </c>
      <c r="J49" s="1" t="s">
        <v>89</v>
      </c>
      <c r="K49" s="1" t="s">
        <v>90</v>
      </c>
      <c r="L49" s="1" t="s">
        <v>91</v>
      </c>
      <c r="M49" s="4" t="str">
        <f t="shared" si="0"/>
        <v>Outstanding</v>
      </c>
      <c r="N49" s="13" t="s">
        <v>21</v>
      </c>
    </row>
    <row r="50" spans="1:14" ht="60" customHeight="1" x14ac:dyDescent="0.35">
      <c r="A50" s="11" t="s">
        <v>210</v>
      </c>
      <c r="B50" s="1" t="s">
        <v>93</v>
      </c>
      <c r="C50" s="2" t="s">
        <v>16</v>
      </c>
      <c r="D50" s="3" t="s">
        <v>193</v>
      </c>
      <c r="E50" s="4" t="s">
        <v>18</v>
      </c>
      <c r="F50" s="4" t="s">
        <v>19</v>
      </c>
      <c r="G50" s="4" t="s">
        <v>20</v>
      </c>
      <c r="H50" s="4" t="s">
        <v>21</v>
      </c>
      <c r="I50" s="5" t="s">
        <v>21</v>
      </c>
      <c r="J50" s="1" t="s">
        <v>94</v>
      </c>
      <c r="K50" s="1" t="s">
        <v>95</v>
      </c>
      <c r="L50" s="1" t="s">
        <v>96</v>
      </c>
      <c r="M50" s="4" t="str">
        <f t="shared" si="0"/>
        <v>Outstanding</v>
      </c>
      <c r="N50" s="13" t="s">
        <v>21</v>
      </c>
    </row>
    <row r="51" spans="1:14" ht="60" customHeight="1" x14ac:dyDescent="0.35">
      <c r="A51" s="11" t="s">
        <v>211</v>
      </c>
      <c r="B51" s="1" t="s">
        <v>98</v>
      </c>
      <c r="C51" s="2" t="s">
        <v>16</v>
      </c>
      <c r="D51" s="3" t="s">
        <v>193</v>
      </c>
      <c r="E51" s="4" t="s">
        <v>18</v>
      </c>
      <c r="F51" s="4" t="s">
        <v>19</v>
      </c>
      <c r="G51" s="4" t="s">
        <v>20</v>
      </c>
      <c r="H51" s="4" t="s">
        <v>21</v>
      </c>
      <c r="I51" s="5" t="s">
        <v>21</v>
      </c>
      <c r="J51" s="1" t="s">
        <v>99</v>
      </c>
      <c r="K51" s="1" t="s">
        <v>100</v>
      </c>
      <c r="L51" s="1" t="s">
        <v>101</v>
      </c>
      <c r="M51" s="4" t="str">
        <f t="shared" si="0"/>
        <v>Outstanding</v>
      </c>
      <c r="N51" s="13" t="s">
        <v>21</v>
      </c>
    </row>
    <row r="52" spans="1:14" ht="60" customHeight="1" x14ac:dyDescent="0.35">
      <c r="A52" s="11" t="s">
        <v>212</v>
      </c>
      <c r="B52" s="1" t="s">
        <v>103</v>
      </c>
      <c r="C52" s="2" t="s">
        <v>16</v>
      </c>
      <c r="D52" s="3" t="s">
        <v>193</v>
      </c>
      <c r="E52" s="4" t="s">
        <v>18</v>
      </c>
      <c r="F52" s="4" t="s">
        <v>19</v>
      </c>
      <c r="G52" s="4" t="s">
        <v>20</v>
      </c>
      <c r="H52" s="4" t="s">
        <v>21</v>
      </c>
      <c r="I52" s="5" t="s">
        <v>21</v>
      </c>
      <c r="J52" s="1" t="s">
        <v>104</v>
      </c>
      <c r="K52" s="1" t="s">
        <v>105</v>
      </c>
      <c r="L52" s="1" t="s">
        <v>106</v>
      </c>
      <c r="M52" s="4" t="str">
        <f t="shared" si="0"/>
        <v>Outstanding</v>
      </c>
      <c r="N52" s="13" t="s">
        <v>21</v>
      </c>
    </row>
    <row r="53" spans="1:14" ht="60" customHeight="1" x14ac:dyDescent="0.35">
      <c r="A53" s="11" t="s">
        <v>213</v>
      </c>
      <c r="B53" s="1" t="s">
        <v>214</v>
      </c>
      <c r="C53" s="2" t="s">
        <v>16</v>
      </c>
      <c r="D53" s="3" t="s">
        <v>193</v>
      </c>
      <c r="E53" s="4" t="s">
        <v>18</v>
      </c>
      <c r="F53" s="4" t="s">
        <v>19</v>
      </c>
      <c r="G53" s="4" t="s">
        <v>20</v>
      </c>
      <c r="H53" s="4" t="s">
        <v>21</v>
      </c>
      <c r="I53" s="5" t="s">
        <v>21</v>
      </c>
      <c r="J53" s="1" t="s">
        <v>215</v>
      </c>
      <c r="K53" s="1" t="s">
        <v>216</v>
      </c>
      <c r="L53" s="1" t="s">
        <v>217</v>
      </c>
      <c r="M53" s="4" t="str">
        <f t="shared" si="0"/>
        <v>Outstanding</v>
      </c>
      <c r="N53" s="13" t="s">
        <v>21</v>
      </c>
    </row>
    <row r="54" spans="1:14" ht="60" customHeight="1" x14ac:dyDescent="0.35">
      <c r="A54" s="11" t="s">
        <v>218</v>
      </c>
      <c r="B54" s="1" t="s">
        <v>108</v>
      </c>
      <c r="C54" s="2" t="s">
        <v>16</v>
      </c>
      <c r="D54" s="3" t="s">
        <v>193</v>
      </c>
      <c r="E54" s="4" t="s">
        <v>18</v>
      </c>
      <c r="F54" s="4" t="s">
        <v>19</v>
      </c>
      <c r="G54" s="4" t="s">
        <v>20</v>
      </c>
      <c r="H54" s="4" t="s">
        <v>21</v>
      </c>
      <c r="I54" s="5" t="s">
        <v>21</v>
      </c>
      <c r="J54" s="1" t="s">
        <v>109</v>
      </c>
      <c r="K54" s="1" t="s">
        <v>110</v>
      </c>
      <c r="L54" s="1" t="s">
        <v>111</v>
      </c>
      <c r="M54" s="4" t="str">
        <f t="shared" si="0"/>
        <v>Outstanding</v>
      </c>
      <c r="N54" s="13" t="s">
        <v>21</v>
      </c>
    </row>
    <row r="55" spans="1:14" ht="60" customHeight="1" x14ac:dyDescent="0.35">
      <c r="A55" s="11" t="s">
        <v>219</v>
      </c>
      <c r="B55" s="1" t="s">
        <v>113</v>
      </c>
      <c r="C55" s="2" t="s">
        <v>62</v>
      </c>
      <c r="D55" s="3" t="s">
        <v>193</v>
      </c>
      <c r="E55" s="4" t="s">
        <v>18</v>
      </c>
      <c r="F55" s="4" t="s">
        <v>19</v>
      </c>
      <c r="G55" s="4" t="s">
        <v>20</v>
      </c>
      <c r="H55" s="4" t="s">
        <v>21</v>
      </c>
      <c r="I55" s="5" t="s">
        <v>21</v>
      </c>
      <c r="J55" s="1" t="s">
        <v>114</v>
      </c>
      <c r="K55" s="1" t="s">
        <v>115</v>
      </c>
      <c r="L55" s="1" t="s">
        <v>116</v>
      </c>
      <c r="M55" s="4" t="str">
        <f t="shared" si="0"/>
        <v>Outstanding</v>
      </c>
      <c r="N55" s="13" t="s">
        <v>21</v>
      </c>
    </row>
    <row r="56" spans="1:14" ht="60" customHeight="1" x14ac:dyDescent="0.35">
      <c r="A56" s="11" t="s">
        <v>220</v>
      </c>
      <c r="B56" s="1" t="s">
        <v>118</v>
      </c>
      <c r="C56" s="2" t="s">
        <v>16</v>
      </c>
      <c r="D56" s="3" t="s">
        <v>193</v>
      </c>
      <c r="E56" s="4" t="s">
        <v>18</v>
      </c>
      <c r="F56" s="4" t="s">
        <v>19</v>
      </c>
      <c r="G56" s="4" t="s">
        <v>20</v>
      </c>
      <c r="H56" s="4" t="s">
        <v>21</v>
      </c>
      <c r="I56" s="5" t="s">
        <v>21</v>
      </c>
      <c r="J56" s="1" t="s">
        <v>221</v>
      </c>
      <c r="K56" s="1" t="s">
        <v>120</v>
      </c>
      <c r="L56" s="1" t="s">
        <v>222</v>
      </c>
      <c r="M56" s="4" t="str">
        <f t="shared" si="0"/>
        <v>Outstanding</v>
      </c>
      <c r="N56" s="13" t="s">
        <v>21</v>
      </c>
    </row>
    <row r="57" spans="1:14" ht="60" customHeight="1" x14ac:dyDescent="0.35">
      <c r="A57" s="11" t="s">
        <v>223</v>
      </c>
      <c r="B57" s="1" t="s">
        <v>123</v>
      </c>
      <c r="C57" s="2" t="s">
        <v>16</v>
      </c>
      <c r="D57" s="3" t="s">
        <v>193</v>
      </c>
      <c r="E57" s="4" t="s">
        <v>18</v>
      </c>
      <c r="F57" s="4" t="s">
        <v>19</v>
      </c>
      <c r="G57" s="4" t="s">
        <v>20</v>
      </c>
      <c r="H57" s="4" t="s">
        <v>21</v>
      </c>
      <c r="I57" s="5" t="s">
        <v>21</v>
      </c>
      <c r="J57" s="1" t="s">
        <v>124</v>
      </c>
      <c r="K57" s="1" t="s">
        <v>125</v>
      </c>
      <c r="L57" s="1" t="s">
        <v>224</v>
      </c>
      <c r="M57" s="4" t="str">
        <f t="shared" si="0"/>
        <v>Outstanding</v>
      </c>
      <c r="N57" s="13" t="s">
        <v>21</v>
      </c>
    </row>
    <row r="58" spans="1:14" ht="60" customHeight="1" x14ac:dyDescent="0.35">
      <c r="A58" s="11" t="s">
        <v>225</v>
      </c>
      <c r="B58" s="1" t="s">
        <v>128</v>
      </c>
      <c r="C58" s="2" t="s">
        <v>16</v>
      </c>
      <c r="D58" s="3" t="s">
        <v>193</v>
      </c>
      <c r="E58" s="4" t="s">
        <v>18</v>
      </c>
      <c r="F58" s="4" t="s">
        <v>19</v>
      </c>
      <c r="G58" s="4" t="s">
        <v>20</v>
      </c>
      <c r="H58" s="4" t="s">
        <v>21</v>
      </c>
      <c r="I58" s="5" t="s">
        <v>21</v>
      </c>
      <c r="J58" s="1" t="s">
        <v>129</v>
      </c>
      <c r="K58" s="1" t="s">
        <v>130</v>
      </c>
      <c r="L58" s="1" t="s">
        <v>131</v>
      </c>
      <c r="M58" s="4" t="str">
        <f t="shared" si="0"/>
        <v>Outstanding</v>
      </c>
      <c r="N58" s="13" t="s">
        <v>21</v>
      </c>
    </row>
    <row r="59" spans="1:14" ht="60" customHeight="1" x14ac:dyDescent="0.35">
      <c r="A59" s="11" t="s">
        <v>226</v>
      </c>
      <c r="B59" s="1" t="s">
        <v>133</v>
      </c>
      <c r="C59" s="2" t="s">
        <v>16</v>
      </c>
      <c r="D59" s="3" t="s">
        <v>193</v>
      </c>
      <c r="E59" s="4" t="s">
        <v>18</v>
      </c>
      <c r="F59" s="4" t="s">
        <v>19</v>
      </c>
      <c r="G59" s="4" t="s">
        <v>20</v>
      </c>
      <c r="H59" s="4" t="s">
        <v>21</v>
      </c>
      <c r="I59" s="5" t="s">
        <v>21</v>
      </c>
      <c r="J59" s="1" t="s">
        <v>134</v>
      </c>
      <c r="K59" s="1" t="s">
        <v>135</v>
      </c>
      <c r="L59" s="1" t="s">
        <v>136</v>
      </c>
      <c r="M59" s="4" t="str">
        <f t="shared" si="0"/>
        <v>Outstanding</v>
      </c>
      <c r="N59" s="13" t="s">
        <v>21</v>
      </c>
    </row>
    <row r="60" spans="1:14" ht="60" customHeight="1" x14ac:dyDescent="0.35">
      <c r="A60" s="11" t="s">
        <v>227</v>
      </c>
      <c r="B60" s="1" t="s">
        <v>138</v>
      </c>
      <c r="C60" s="2" t="s">
        <v>16</v>
      </c>
      <c r="D60" s="3" t="s">
        <v>193</v>
      </c>
      <c r="E60" s="4" t="s">
        <v>18</v>
      </c>
      <c r="F60" s="4" t="s">
        <v>19</v>
      </c>
      <c r="G60" s="4" t="s">
        <v>20</v>
      </c>
      <c r="H60" s="4" t="s">
        <v>21</v>
      </c>
      <c r="I60" s="5" t="s">
        <v>21</v>
      </c>
      <c r="J60" s="1" t="s">
        <v>139</v>
      </c>
      <c r="K60" s="1" t="s">
        <v>140</v>
      </c>
      <c r="L60" s="1" t="s">
        <v>141</v>
      </c>
      <c r="M60" s="4" t="str">
        <f t="shared" si="0"/>
        <v>Outstanding</v>
      </c>
      <c r="N60" s="13" t="s">
        <v>21</v>
      </c>
    </row>
    <row r="61" spans="1:14" ht="60" customHeight="1" x14ac:dyDescent="0.35">
      <c r="A61" s="11" t="s">
        <v>228</v>
      </c>
      <c r="B61" s="1" t="s">
        <v>143</v>
      </c>
      <c r="C61" s="2" t="s">
        <v>16</v>
      </c>
      <c r="D61" s="3" t="s">
        <v>193</v>
      </c>
      <c r="E61" s="4" t="s">
        <v>18</v>
      </c>
      <c r="F61" s="4" t="s">
        <v>19</v>
      </c>
      <c r="G61" s="4" t="s">
        <v>20</v>
      </c>
      <c r="H61" s="4" t="s">
        <v>21</v>
      </c>
      <c r="I61" s="5" t="s">
        <v>21</v>
      </c>
      <c r="J61" s="1" t="s">
        <v>144</v>
      </c>
      <c r="K61" s="1" t="s">
        <v>145</v>
      </c>
      <c r="L61" s="1" t="s">
        <v>146</v>
      </c>
      <c r="M61" s="4" t="str">
        <f t="shared" si="0"/>
        <v>Outstanding</v>
      </c>
      <c r="N61" s="13" t="s">
        <v>21</v>
      </c>
    </row>
    <row r="62" spans="1:14" ht="60" customHeight="1" x14ac:dyDescent="0.35">
      <c r="A62" s="11" t="s">
        <v>229</v>
      </c>
      <c r="B62" s="1" t="s">
        <v>148</v>
      </c>
      <c r="C62" s="2" t="s">
        <v>16</v>
      </c>
      <c r="D62" s="3" t="s">
        <v>193</v>
      </c>
      <c r="E62" s="4" t="s">
        <v>18</v>
      </c>
      <c r="F62" s="4" t="s">
        <v>19</v>
      </c>
      <c r="G62" s="4" t="s">
        <v>20</v>
      </c>
      <c r="H62" s="4" t="s">
        <v>21</v>
      </c>
      <c r="I62" s="5" t="s">
        <v>21</v>
      </c>
      <c r="J62" s="1" t="s">
        <v>149</v>
      </c>
      <c r="K62" s="1" t="s">
        <v>150</v>
      </c>
      <c r="L62" s="1" t="s">
        <v>151</v>
      </c>
      <c r="M62" s="4" t="str">
        <f t="shared" si="0"/>
        <v>Outstanding</v>
      </c>
      <c r="N62" s="13" t="s">
        <v>21</v>
      </c>
    </row>
    <row r="63" spans="1:14" ht="60" customHeight="1" x14ac:dyDescent="0.35">
      <c r="A63" s="11" t="s">
        <v>230</v>
      </c>
      <c r="B63" s="1" t="s">
        <v>153</v>
      </c>
      <c r="C63" s="2" t="s">
        <v>16</v>
      </c>
      <c r="D63" s="3" t="s">
        <v>193</v>
      </c>
      <c r="E63" s="4" t="s">
        <v>18</v>
      </c>
      <c r="F63" s="4" t="s">
        <v>19</v>
      </c>
      <c r="G63" s="4" t="s">
        <v>20</v>
      </c>
      <c r="H63" s="4" t="s">
        <v>21</v>
      </c>
      <c r="I63" s="5" t="s">
        <v>21</v>
      </c>
      <c r="J63" s="1" t="s">
        <v>154</v>
      </c>
      <c r="K63" s="1" t="s">
        <v>155</v>
      </c>
      <c r="L63" s="1" t="s">
        <v>156</v>
      </c>
      <c r="M63" s="4" t="str">
        <f t="shared" si="0"/>
        <v>Outstanding</v>
      </c>
      <c r="N63" s="13" t="s">
        <v>21</v>
      </c>
    </row>
    <row r="64" spans="1:14" ht="60" customHeight="1" x14ac:dyDescent="0.35">
      <c r="A64" s="11" t="s">
        <v>231</v>
      </c>
      <c r="B64" s="1" t="s">
        <v>158</v>
      </c>
      <c r="C64" s="2" t="s">
        <v>16</v>
      </c>
      <c r="D64" s="3" t="s">
        <v>193</v>
      </c>
      <c r="E64" s="4" t="s">
        <v>18</v>
      </c>
      <c r="F64" s="4" t="s">
        <v>19</v>
      </c>
      <c r="G64" s="4" t="s">
        <v>20</v>
      </c>
      <c r="H64" s="4" t="s">
        <v>21</v>
      </c>
      <c r="I64" s="5" t="s">
        <v>21</v>
      </c>
      <c r="J64" s="1" t="s">
        <v>159</v>
      </c>
      <c r="K64" s="1" t="s">
        <v>160</v>
      </c>
      <c r="L64" s="1" t="s">
        <v>161</v>
      </c>
      <c r="M64" s="4" t="str">
        <f t="shared" si="0"/>
        <v>Outstanding</v>
      </c>
      <c r="N64" s="13" t="s">
        <v>21</v>
      </c>
    </row>
    <row r="65" spans="1:14" ht="60" customHeight="1" x14ac:dyDescent="0.35">
      <c r="A65" s="11" t="s">
        <v>232</v>
      </c>
      <c r="B65" s="1" t="s">
        <v>233</v>
      </c>
      <c r="C65" s="2" t="s">
        <v>16</v>
      </c>
      <c r="D65" s="3" t="s">
        <v>193</v>
      </c>
      <c r="E65" s="4" t="s">
        <v>18</v>
      </c>
      <c r="F65" s="4" t="s">
        <v>19</v>
      </c>
      <c r="G65" s="4" t="s">
        <v>20</v>
      </c>
      <c r="H65" s="4" t="s">
        <v>21</v>
      </c>
      <c r="I65" s="5" t="s">
        <v>21</v>
      </c>
      <c r="J65" s="1" t="s">
        <v>234</v>
      </c>
      <c r="K65" s="1" t="s">
        <v>235</v>
      </c>
      <c r="L65" s="1" t="s">
        <v>236</v>
      </c>
      <c r="M65" s="4" t="str">
        <f t="shared" si="0"/>
        <v>Outstanding</v>
      </c>
      <c r="N65" s="13" t="s">
        <v>21</v>
      </c>
    </row>
    <row r="66" spans="1:14" ht="60" customHeight="1" x14ac:dyDescent="0.35">
      <c r="A66" s="11" t="s">
        <v>237</v>
      </c>
      <c r="B66" s="1" t="s">
        <v>163</v>
      </c>
      <c r="C66" s="2" t="s">
        <v>16</v>
      </c>
      <c r="D66" s="3" t="s">
        <v>193</v>
      </c>
      <c r="E66" s="4" t="s">
        <v>18</v>
      </c>
      <c r="F66" s="4" t="s">
        <v>19</v>
      </c>
      <c r="G66" s="4" t="s">
        <v>20</v>
      </c>
      <c r="H66" s="4" t="s">
        <v>21</v>
      </c>
      <c r="I66" s="5" t="s">
        <v>21</v>
      </c>
      <c r="J66" s="1" t="s">
        <v>164</v>
      </c>
      <c r="K66" s="1" t="s">
        <v>165</v>
      </c>
      <c r="L66" s="1" t="s">
        <v>166</v>
      </c>
      <c r="M66" s="4" t="str">
        <f t="shared" si="0"/>
        <v>Outstanding</v>
      </c>
      <c r="N66" s="13" t="s">
        <v>21</v>
      </c>
    </row>
    <row r="67" spans="1:14" ht="60" customHeight="1" x14ac:dyDescent="0.35">
      <c r="A67" s="11" t="s">
        <v>238</v>
      </c>
      <c r="B67" s="1" t="s">
        <v>168</v>
      </c>
      <c r="C67" s="2" t="s">
        <v>16</v>
      </c>
      <c r="D67" s="3" t="s">
        <v>193</v>
      </c>
      <c r="E67" s="4" t="s">
        <v>18</v>
      </c>
      <c r="F67" s="4" t="s">
        <v>19</v>
      </c>
      <c r="G67" s="4" t="s">
        <v>20</v>
      </c>
      <c r="H67" s="4" t="s">
        <v>21</v>
      </c>
      <c r="I67" s="5" t="s">
        <v>21</v>
      </c>
      <c r="J67" s="1" t="s">
        <v>169</v>
      </c>
      <c r="K67" s="1" t="s">
        <v>170</v>
      </c>
      <c r="L67" s="1" t="s">
        <v>171</v>
      </c>
      <c r="M67" s="4" t="str">
        <f t="shared" si="0"/>
        <v>Outstanding</v>
      </c>
      <c r="N67" s="13" t="s">
        <v>21</v>
      </c>
    </row>
    <row r="68" spans="1:14" ht="60" customHeight="1" x14ac:dyDescent="0.35">
      <c r="A68" s="11" t="s">
        <v>239</v>
      </c>
      <c r="B68" s="1" t="s">
        <v>173</v>
      </c>
      <c r="C68" s="2" t="s">
        <v>16</v>
      </c>
      <c r="D68" s="3" t="s">
        <v>193</v>
      </c>
      <c r="E68" s="4" t="s">
        <v>18</v>
      </c>
      <c r="F68" s="4" t="s">
        <v>19</v>
      </c>
      <c r="G68" s="4" t="s">
        <v>20</v>
      </c>
      <c r="H68" s="4" t="s">
        <v>21</v>
      </c>
      <c r="I68" s="5" t="s">
        <v>21</v>
      </c>
      <c r="J68" s="1" t="s">
        <v>174</v>
      </c>
      <c r="K68" s="1" t="s">
        <v>175</v>
      </c>
      <c r="L68" s="1" t="s">
        <v>176</v>
      </c>
      <c r="M68" s="4" t="str">
        <f t="shared" si="0"/>
        <v>Outstanding</v>
      </c>
      <c r="N68" s="13" t="s">
        <v>21</v>
      </c>
    </row>
    <row r="69" spans="1:14" ht="60" customHeight="1" x14ac:dyDescent="0.35">
      <c r="A69" s="11" t="s">
        <v>240</v>
      </c>
      <c r="B69" s="1" t="s">
        <v>178</v>
      </c>
      <c r="C69" s="2" t="s">
        <v>73</v>
      </c>
      <c r="D69" s="3" t="s">
        <v>193</v>
      </c>
      <c r="E69" s="4" t="s">
        <v>18</v>
      </c>
      <c r="F69" s="4" t="s">
        <v>19</v>
      </c>
      <c r="G69" s="4" t="s">
        <v>20</v>
      </c>
      <c r="H69" s="4" t="s">
        <v>21</v>
      </c>
      <c r="I69" s="5" t="s">
        <v>21</v>
      </c>
      <c r="J69" s="1" t="s">
        <v>179</v>
      </c>
      <c r="K69" s="1" t="s">
        <v>180</v>
      </c>
      <c r="L69" s="1" t="s">
        <v>181</v>
      </c>
      <c r="M69" s="4" t="str">
        <f t="shared" si="0"/>
        <v>Outstanding</v>
      </c>
      <c r="N69" s="13" t="s">
        <v>21</v>
      </c>
    </row>
    <row r="70" spans="1:14" ht="60" customHeight="1" x14ac:dyDescent="0.35">
      <c r="A70" s="11" t="s">
        <v>241</v>
      </c>
      <c r="B70" s="1" t="s">
        <v>183</v>
      </c>
      <c r="C70" s="2" t="s">
        <v>62</v>
      </c>
      <c r="D70" s="3" t="s">
        <v>193</v>
      </c>
      <c r="E70" s="4" t="s">
        <v>18</v>
      </c>
      <c r="F70" s="4" t="s">
        <v>19</v>
      </c>
      <c r="G70" s="4" t="s">
        <v>20</v>
      </c>
      <c r="H70" s="4" t="s">
        <v>21</v>
      </c>
      <c r="I70" s="5" t="s">
        <v>21</v>
      </c>
      <c r="J70" s="1" t="s">
        <v>184</v>
      </c>
      <c r="K70" s="1" t="s">
        <v>185</v>
      </c>
      <c r="L70" s="1" t="s">
        <v>186</v>
      </c>
      <c r="M70" s="4" t="str">
        <f t="shared" si="0"/>
        <v>Outstanding</v>
      </c>
      <c r="N70" s="13" t="s">
        <v>21</v>
      </c>
    </row>
    <row r="71" spans="1:14" ht="60" customHeight="1" x14ac:dyDescent="0.35">
      <c r="A71" s="12" t="s">
        <v>242</v>
      </c>
      <c r="B71" s="6" t="s">
        <v>188</v>
      </c>
      <c r="C71" s="7" t="s">
        <v>62</v>
      </c>
      <c r="D71" s="8" t="s">
        <v>193</v>
      </c>
      <c r="E71" s="9" t="s">
        <v>18</v>
      </c>
      <c r="F71" s="9" t="s">
        <v>19</v>
      </c>
      <c r="G71" s="9" t="s">
        <v>20</v>
      </c>
      <c r="H71" s="9" t="s">
        <v>21</v>
      </c>
      <c r="I71" s="10" t="s">
        <v>21</v>
      </c>
      <c r="J71" s="6" t="s">
        <v>189</v>
      </c>
      <c r="K71" s="6" t="s">
        <v>190</v>
      </c>
      <c r="L71" s="6" t="s">
        <v>191</v>
      </c>
      <c r="M71" s="9" t="str">
        <f t="shared" si="0"/>
        <v>Outstanding</v>
      </c>
      <c r="N71" s="14" t="s">
        <v>21</v>
      </c>
    </row>
    <row r="75" spans="1:14" ht="32" customHeight="1" x14ac:dyDescent="0.35">
      <c r="A75" s="81" t="s">
        <v>243</v>
      </c>
      <c r="B75" s="81"/>
      <c r="C75" s="81"/>
      <c r="D75" s="81"/>
    </row>
  </sheetData>
  <mergeCells count="1">
    <mergeCell ref="A75:D75"/>
  </mergeCells>
  <conditionalFormatting sqref="C2:C71">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7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7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7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71" xr:uid="{00000000-0002-0000-0200-000000000000}">
      <formula1>"Must,Should,Could,Won't,Unassigned"</formula1>
    </dataValidation>
    <dataValidation type="list" showErrorMessage="1" errorTitle="Invalid Value" error="Please select a value from the list: Low, Medium, High, Unassessed." sqref="F2:F71" xr:uid="{00000000-0002-0000-0200-000001000000}">
      <formula1>"Low,Medium,High,Unassessed"</formula1>
    </dataValidation>
    <dataValidation type="list" showErrorMessage="1" errorTitle="Invalid Value" error="Please select a value from the list: Phase1, Phase2, Phase3, Phase4, Phase5, Pending." sqref="G2:G7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71" xr:uid="{00000000-0002-0000-0200-000003000000}">
      <formula1>"Implemented,Testing,Failed,Compensated,Risk Accepted,N/A"</formula1>
    </dataValidation>
  </dataValidations>
  <hyperlinks>
    <hyperlink ref="A7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371</v>
      </c>
      <c r="C2" s="98" t="s">
        <v>371</v>
      </c>
      <c r="D2" s="98" t="s">
        <v>371</v>
      </c>
      <c r="E2" s="98" t="s">
        <v>371</v>
      </c>
      <c r="F2" s="98" t="s">
        <v>371</v>
      </c>
      <c r="G2" s="98" t="s">
        <v>371</v>
      </c>
      <c r="H2" s="102" t="s">
        <v>372</v>
      </c>
      <c r="I2" s="102" t="s">
        <v>372</v>
      </c>
      <c r="J2" s="102" t="s">
        <v>372</v>
      </c>
      <c r="K2" s="102" t="s">
        <v>372</v>
      </c>
      <c r="L2" s="102" t="s">
        <v>372</v>
      </c>
      <c r="M2" s="101" t="s">
        <v>373</v>
      </c>
      <c r="N2" s="101" t="s">
        <v>373</v>
      </c>
      <c r="O2" s="103" t="s">
        <v>374</v>
      </c>
      <c r="P2" s="103" t="s">
        <v>374</v>
      </c>
      <c r="Q2" s="99" t="s">
        <v>12</v>
      </c>
      <c r="R2" s="99" t="s">
        <v>12</v>
      </c>
      <c r="S2" s="99" t="s">
        <v>12</v>
      </c>
      <c r="T2" s="100" t="s">
        <v>375</v>
      </c>
    </row>
    <row r="3" spans="2:20" ht="35" customHeight="1" x14ac:dyDescent="0.35">
      <c r="B3" s="71" t="s">
        <v>376</v>
      </c>
      <c r="C3" s="71" t="s">
        <v>377</v>
      </c>
      <c r="D3" s="71" t="s">
        <v>378</v>
      </c>
      <c r="E3" s="71" t="s">
        <v>379</v>
      </c>
      <c r="F3" s="71" t="s">
        <v>380</v>
      </c>
      <c r="G3" s="71" t="s">
        <v>10</v>
      </c>
      <c r="H3" s="72" t="s">
        <v>381</v>
      </c>
      <c r="I3" s="72" t="s">
        <v>382</v>
      </c>
      <c r="J3" s="72" t="s">
        <v>383</v>
      </c>
      <c r="K3" s="72" t="s">
        <v>384</v>
      </c>
      <c r="L3" s="72" t="s">
        <v>315</v>
      </c>
      <c r="M3" s="73" t="s">
        <v>385</v>
      </c>
      <c r="N3" s="73" t="s">
        <v>386</v>
      </c>
      <c r="O3" s="74" t="s">
        <v>387</v>
      </c>
      <c r="P3" s="74" t="s">
        <v>388</v>
      </c>
      <c r="Q3" s="75" t="s">
        <v>12</v>
      </c>
      <c r="R3" s="75" t="s">
        <v>389</v>
      </c>
      <c r="S3" s="75" t="s">
        <v>390</v>
      </c>
      <c r="T3" s="76" t="s">
        <v>391</v>
      </c>
    </row>
    <row r="4" spans="2:20" ht="60" customHeight="1" x14ac:dyDescent="0.35">
      <c r="B4" s="77" t="s">
        <v>392</v>
      </c>
      <c r="C4" s="77" t="s">
        <v>393</v>
      </c>
      <c r="D4" s="77" t="s">
        <v>394</v>
      </c>
      <c r="E4" s="77" t="s">
        <v>395</v>
      </c>
      <c r="F4" s="77" t="s">
        <v>396</v>
      </c>
      <c r="G4" s="77" t="s">
        <v>397</v>
      </c>
      <c r="H4" s="77" t="s">
        <v>398</v>
      </c>
      <c r="I4" s="77" t="s">
        <v>399</v>
      </c>
      <c r="J4" s="77" t="s">
        <v>400</v>
      </c>
      <c r="K4" s="77" t="s">
        <v>401</v>
      </c>
      <c r="L4" s="77" t="s">
        <v>402</v>
      </c>
      <c r="M4" s="77" t="s">
        <v>403</v>
      </c>
      <c r="N4" s="77" t="s">
        <v>404</v>
      </c>
      <c r="O4" s="77" t="s">
        <v>405</v>
      </c>
      <c r="P4" s="77" t="s">
        <v>406</v>
      </c>
      <c r="Q4" s="77" t="s">
        <v>407</v>
      </c>
      <c r="R4" s="77" t="s">
        <v>408</v>
      </c>
      <c r="S4" s="77" t="s">
        <v>409</v>
      </c>
      <c r="T4" s="77" t="s">
        <v>410</v>
      </c>
    </row>
    <row r="5" spans="2:20" ht="60" customHeight="1" x14ac:dyDescent="0.35">
      <c r="B5" s="39" t="s">
        <v>411</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412</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413</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414</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415</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416</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417</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418</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419</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420</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421</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422</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423</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424</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425</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426</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427</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428</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429</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430</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431</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432</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433</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434</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435</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436</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437</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438</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439</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440</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441</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442</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443</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444</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445</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446</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447</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448</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449</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450</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451</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452</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453</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454</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455</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456</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457</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458</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459</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460</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243</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Android 11 Security Technical Implementation Guide - SHGIR</dc:title>
  <dc:subject>Generated on: 2026-06-08 13:00:28</dc:subject>
  <dc:creator>Anicet Fopa Tchoffo</dc:creator>
  <cp:keywords>Baseline;Hardening;DISA;STIG</cp:keywords>
  <dc:description>Baseline Developed By: Microsoft and Defense Information Systems Agency (DISA) for the US DoD</dc:description>
  <cp:lastModifiedBy>Anicet Fopa Tchoffo</cp:lastModifiedBy>
  <dcterms:modified xsi:type="dcterms:W3CDTF">2026-06-08T12:00:34Z</dcterms:modified>
  <cp:category>DISA-STIG</cp:category>
  <cp:contentStatus>Draft</cp:contentStatus>
</cp:coreProperties>
</file>