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A8DAB5089E1FF23CA7A2BF33BAE7BCFD8D12A129" xr6:coauthVersionLast="47" xr6:coauthVersionMax="47" xr10:uidLastSave="{0987A806-A737-4A3B-8096-6F66E7266938}"/>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4" i="1"/>
  <c r="L3" i="1"/>
  <c r="L2" i="1"/>
  <c r="R183" i="3"/>
  <c r="R182" i="3"/>
  <c r="R181" i="3"/>
  <c r="R180" i="3"/>
  <c r="R179" i="3"/>
  <c r="R178" i="3"/>
  <c r="R177" i="3"/>
  <c r="R176" i="3"/>
  <c r="R175" i="3"/>
  <c r="R174" i="3"/>
  <c r="R173" i="3"/>
  <c r="R172" i="3"/>
  <c r="R171" i="3"/>
  <c r="R170" i="3"/>
  <c r="R169" i="3"/>
  <c r="R168" i="3"/>
  <c r="R167" i="3"/>
  <c r="R166" i="3"/>
  <c r="R165" i="3"/>
  <c r="R164" i="3"/>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O104" i="3"/>
  <c r="N104" i="3"/>
  <c r="M104" i="3"/>
  <c r="L104" i="3"/>
  <c r="K104" i="3"/>
  <c r="F104" i="3"/>
  <c r="E104" i="3"/>
  <c r="G104" i="3" s="1"/>
  <c r="O103" i="3"/>
  <c r="N103" i="3"/>
  <c r="M103" i="3"/>
  <c r="L103" i="3"/>
  <c r="K103" i="3"/>
  <c r="F103" i="3"/>
  <c r="E103" i="3"/>
  <c r="G103" i="3" s="1"/>
  <c r="E89" i="3"/>
  <c r="D89" i="3"/>
  <c r="C89" i="3"/>
  <c r="F89" i="3" s="1"/>
  <c r="E88" i="3"/>
  <c r="D88" i="3"/>
  <c r="C88" i="3"/>
  <c r="F88" i="3" s="1"/>
  <c r="E87" i="3"/>
  <c r="D87" i="3"/>
  <c r="C87" i="3"/>
  <c r="F87" i="3" s="1"/>
  <c r="E86" i="3"/>
  <c r="D86" i="3"/>
  <c r="C86" i="3"/>
  <c r="F86" i="3" s="1"/>
  <c r="E69" i="3"/>
  <c r="D69" i="3"/>
  <c r="C69" i="3"/>
  <c r="F69" i="3" s="1"/>
  <c r="E68" i="3"/>
  <c r="D68" i="3"/>
  <c r="C68" i="3"/>
  <c r="F68" i="3" s="1"/>
  <c r="E67" i="3"/>
  <c r="D67" i="3"/>
  <c r="C67" i="3"/>
  <c r="F67" i="3" s="1"/>
  <c r="E66" i="3"/>
  <c r="D66" i="3"/>
  <c r="C66" i="3"/>
  <c r="F66" i="3" s="1"/>
  <c r="F65" i="3"/>
  <c r="T149" i="3" s="1"/>
  <c r="E65" i="3"/>
  <c r="D65" i="3"/>
  <c r="C65" i="3"/>
  <c r="S119" i="3" s="1"/>
  <c r="E52" i="3"/>
  <c r="D52" i="3"/>
  <c r="C52" i="3"/>
  <c r="F52" i="3" s="1"/>
  <c r="E34" i="3"/>
  <c r="D34" i="3"/>
  <c r="F34" i="3" s="1"/>
  <c r="C34" i="3"/>
  <c r="E33" i="3"/>
  <c r="D33" i="3"/>
  <c r="C33" i="3"/>
  <c r="F33" i="3" s="1"/>
  <c r="E32" i="3"/>
  <c r="D32" i="3"/>
  <c r="C32" i="3"/>
  <c r="F32" i="3" s="1"/>
  <c r="E31" i="3"/>
  <c r="D31" i="3"/>
  <c r="C31" i="3"/>
  <c r="F31" i="3" s="1"/>
  <c r="E30" i="3"/>
  <c r="D30" i="3"/>
  <c r="C30" i="3"/>
  <c r="F30" i="3" s="1"/>
  <c r="E29" i="3"/>
  <c r="D29" i="3"/>
  <c r="C29" i="3"/>
  <c r="F29" i="3" s="1"/>
  <c r="E16" i="3"/>
  <c r="D16" i="3"/>
  <c r="C16" i="3"/>
  <c r="Q119" i="3" s="1"/>
  <c r="D9" i="3"/>
  <c r="C9" i="3"/>
  <c r="C8" i="3"/>
  <c r="D8" i="3" s="1"/>
  <c r="D43" i="3" l="1"/>
  <c r="C43" i="3"/>
  <c r="E43" i="3"/>
  <c r="D74" i="3"/>
  <c r="V149" i="3"/>
  <c r="V144" i="3"/>
  <c r="V139" i="3"/>
  <c r="V134" i="3"/>
  <c r="V129" i="3"/>
  <c r="V124" i="3"/>
  <c r="V148" i="3"/>
  <c r="V143" i="3"/>
  <c r="V138" i="3"/>
  <c r="V133" i="3"/>
  <c r="V128" i="3"/>
  <c r="V123" i="3"/>
  <c r="E74" i="3"/>
  <c r="V147" i="3"/>
  <c r="V142" i="3"/>
  <c r="V137" i="3"/>
  <c r="V132" i="3"/>
  <c r="V127" i="3"/>
  <c r="V122" i="3"/>
  <c r="V151" i="3"/>
  <c r="V146" i="3"/>
  <c r="V141" i="3"/>
  <c r="V136" i="3"/>
  <c r="V131" i="3"/>
  <c r="V126" i="3"/>
  <c r="V121" i="3"/>
  <c r="C74" i="3"/>
  <c r="V150" i="3"/>
  <c r="V145" i="3"/>
  <c r="V140" i="3"/>
  <c r="V135" i="3"/>
  <c r="V130" i="3"/>
  <c r="V125" i="3"/>
  <c r="E76" i="3"/>
  <c r="D76" i="3"/>
  <c r="C76" i="3"/>
  <c r="C93" i="3"/>
  <c r="E93" i="3"/>
  <c r="D93" i="3"/>
  <c r="D40" i="3"/>
  <c r="C40" i="3"/>
  <c r="E40" i="3"/>
  <c r="X149" i="3"/>
  <c r="X144" i="3"/>
  <c r="X139" i="3"/>
  <c r="X134" i="3"/>
  <c r="X129" i="3"/>
  <c r="X124" i="3"/>
  <c r="X148" i="3"/>
  <c r="X143" i="3"/>
  <c r="X138" i="3"/>
  <c r="X133" i="3"/>
  <c r="X128" i="3"/>
  <c r="X123" i="3"/>
  <c r="C75" i="3"/>
  <c r="X147" i="3"/>
  <c r="X142" i="3"/>
  <c r="X137" i="3"/>
  <c r="X132" i="3"/>
  <c r="X127" i="3"/>
  <c r="X122" i="3"/>
  <c r="X151" i="3"/>
  <c r="X146" i="3"/>
  <c r="X141" i="3"/>
  <c r="X136" i="3"/>
  <c r="X131" i="3"/>
  <c r="X126" i="3"/>
  <c r="X121" i="3"/>
  <c r="E75" i="3"/>
  <c r="X150" i="3"/>
  <c r="X145" i="3"/>
  <c r="X140" i="3"/>
  <c r="X135" i="3"/>
  <c r="X130" i="3"/>
  <c r="X125" i="3"/>
  <c r="D75" i="3"/>
  <c r="E41" i="3"/>
  <c r="C41" i="3"/>
  <c r="D41" i="3"/>
  <c r="E42" i="3"/>
  <c r="D42" i="3"/>
  <c r="C42" i="3"/>
  <c r="D94" i="3"/>
  <c r="E94" i="3"/>
  <c r="C94" i="3"/>
  <c r="E96" i="3"/>
  <c r="D96" i="3"/>
  <c r="C96" i="3"/>
  <c r="E77" i="3"/>
  <c r="D77" i="3"/>
  <c r="C77" i="3"/>
  <c r="E56" i="3"/>
  <c r="D56" i="3"/>
  <c r="C56" i="3"/>
  <c r="D38" i="3"/>
  <c r="E38" i="3"/>
  <c r="C38" i="3"/>
  <c r="D39" i="3"/>
  <c r="E39" i="3"/>
  <c r="C39" i="3"/>
  <c r="E95" i="3"/>
  <c r="D95" i="3"/>
  <c r="C95" i="3"/>
  <c r="T125" i="3"/>
  <c r="T130" i="3"/>
  <c r="T135" i="3"/>
  <c r="T140" i="3"/>
  <c r="T145" i="3"/>
  <c r="T150" i="3"/>
  <c r="U119" i="3"/>
  <c r="W119" i="3"/>
  <c r="T121" i="3"/>
  <c r="T126" i="3"/>
  <c r="T131" i="3"/>
  <c r="T136" i="3"/>
  <c r="T141" i="3"/>
  <c r="T146" i="3"/>
  <c r="T151" i="3"/>
  <c r="C7" i="3"/>
  <c r="D7" i="3" s="1"/>
  <c r="C73" i="3"/>
  <c r="T122" i="3"/>
  <c r="T127" i="3"/>
  <c r="T132" i="3"/>
  <c r="T137" i="3"/>
  <c r="T142" i="3"/>
  <c r="T147" i="3"/>
  <c r="D73" i="3"/>
  <c r="E73" i="3"/>
  <c r="T123" i="3"/>
  <c r="T128" i="3"/>
  <c r="T133" i="3"/>
  <c r="T138" i="3"/>
  <c r="T143" i="3"/>
  <c r="T148" i="3"/>
  <c r="T124" i="3"/>
  <c r="T129" i="3"/>
  <c r="T134" i="3"/>
  <c r="T139" i="3"/>
  <c r="T144" i="3"/>
  <c r="F16" i="3"/>
  <c r="R150" i="3" l="1"/>
  <c r="R145" i="3"/>
  <c r="R140" i="3"/>
  <c r="R135" i="3"/>
  <c r="R130" i="3"/>
  <c r="R125" i="3"/>
  <c r="E20" i="3"/>
  <c r="R149" i="3"/>
  <c r="R144" i="3"/>
  <c r="R139" i="3"/>
  <c r="R134" i="3"/>
  <c r="R129" i="3"/>
  <c r="R124" i="3"/>
  <c r="R148" i="3"/>
  <c r="R143" i="3"/>
  <c r="R138" i="3"/>
  <c r="R133" i="3"/>
  <c r="R128" i="3"/>
  <c r="R123" i="3"/>
  <c r="R147" i="3"/>
  <c r="R142" i="3"/>
  <c r="R137" i="3"/>
  <c r="R132" i="3"/>
  <c r="R127" i="3"/>
  <c r="R122" i="3"/>
  <c r="C20" i="3"/>
  <c r="D20" i="3"/>
  <c r="R151" i="3"/>
  <c r="R146" i="3"/>
  <c r="R141" i="3"/>
  <c r="R136" i="3"/>
  <c r="R131" i="3"/>
  <c r="R126" i="3"/>
  <c r="R121" i="3"/>
</calcChain>
</file>

<file path=xl/sharedStrings.xml><?xml version="1.0" encoding="utf-8"?>
<sst xmlns="http://schemas.openxmlformats.org/spreadsheetml/2006/main" count="525" uniqueCount="249">
  <si>
    <t>Id</t>
  </si>
  <si>
    <t>Title</t>
  </si>
  <si>
    <t>Severity</t>
  </si>
  <si>
    <t>MoSCoW</t>
  </si>
  <si>
    <t>OpsImpact</t>
  </si>
  <si>
    <t>Phase</t>
  </si>
  <si>
    <t>ImplStatus</t>
  </si>
  <si>
    <t>Notes</t>
  </si>
  <si>
    <t>Remediation</t>
  </si>
  <si>
    <t>Description</t>
  </si>
  <si>
    <t>Audit</t>
  </si>
  <si>
    <t>Status</t>
  </si>
  <si>
    <t>LogID</t>
  </si>
  <si>
    <t>V-70901</t>
  </si>
  <si>
    <r>
      <rPr>
        <sz val="11"/>
        <rFont val="Calibri"/>
      </rPr>
      <t>The ability to store user passwords in Skype must be disabled.</t>
    </r>
  </si>
  <si>
    <t>CAT II (Medium)</t>
  </si>
  <si>
    <t>Unassigned</t>
  </si>
  <si>
    <t>Unassessed</t>
  </si>
  <si>
    <t>Pending</t>
  </si>
  <si>
    <t/>
  </si>
  <si>
    <r>
      <rPr>
        <sz val="11"/>
        <color rgb="FF000000"/>
        <rFont val="Calibri"/>
      </rPr>
      <t>Set the policy value for Computer Configuration -&gt; Administrative Templates -&gt; Skype for Business 2016 -&gt; Microsoft Lync Feature Policies "Allow storage of user passwords" to "Disabled".</t>
    </r>
  </si>
  <si>
    <r>
      <rPr>
        <sz val="11"/>
        <color rgb="FF000000"/>
        <rFont val="Calibri"/>
      </rPr>
      <t>Allows Microsoft Lync to store user passwords. If you enable this policy setting, Microsoft Lync can store a password on request from the user. If you disable this policy setting, Microsoft Lync cannot store a password. If you do not configure this policy setting and the user logs on to a domain, Microsoft Lync does not store the password. If you do not configure this policy setting and the user does not log on to a domain (for example, if the user logs on to a workgroup), Microsoft Lync can store the password. Note: You can configure this policy setting under both Computer Configuration and User Configuration, but the policy setting under Computer Configuration takes precedence.</t>
    </r>
  </si>
  <si>
    <r>
      <rPr>
        <sz val="11"/>
        <color rgb="FF000000"/>
        <rFont val="Calibri"/>
      </rPr>
      <t>Verify the policy value for Computer Configuration -&gt; Administrative Templates -&gt; Skype for Business 2016 -&gt; Microsoft Lync Feature Policies "Allow storage of user passwords" is set to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HKLM\Software\Policies\Microsoft\office\16.0\lync</t>
    </r>
    <r>
      <rPr>
        <sz val="11"/>
        <color rgb="FF000000"/>
        <rFont val="Calibri"/>
      </rPr>
      <t xml:space="preserve">
</t>
    </r>
    <r>
      <rPr>
        <sz val="11"/>
        <color rgb="FF000000"/>
        <rFont val="Calibri"/>
      </rPr>
      <t>Criteria: If the value savepassword is REG_DWORD = 0, this is not a finding.</t>
    </r>
  </si>
  <si>
    <t>V-70903</t>
  </si>
  <si>
    <r>
      <rPr>
        <sz val="11"/>
        <rFont val="Calibri"/>
      </rPr>
      <t>Session Initiation Protocol (SIP) security mode must be configured.</t>
    </r>
  </si>
  <si>
    <r>
      <rPr>
        <sz val="11"/>
        <color rgb="FF000000"/>
        <rFont val="Calibri"/>
      </rPr>
      <t>Set the policy value for Computer Configuration -&gt; Administrative Templates -&gt; Skype for Business 2016 -&gt; Microsoft Lync Feature Policies "Configure SIP security mode" to "Enabled".</t>
    </r>
  </si>
  <si>
    <r>
      <rPr>
        <sz val="11"/>
        <color rgb="FF000000"/>
        <rFont val="Calibri"/>
      </rPr>
      <t>When Lync connects to the server, it supports various authentication mechanisms.  This policy allows the user to specify whether Digest and Basic authentication are supported.  Disabled (default):  NTLM/Kerberos/TLS-DSK/Digest/Basic     Enabled:  Authentication mechanisms:  NTLM/Kerberos/TLS-DSK  Gal Download: Requires HTTPS if user is not logged in as an internal user.</t>
    </r>
  </si>
  <si>
    <r>
      <rPr>
        <sz val="11"/>
        <color rgb="FF000000"/>
        <rFont val="Calibri"/>
      </rPr>
      <t>Verify the policy value for Computer Configuration -&gt; Administrative Templates -&gt; Skype for Business 2016 -&gt; Microsoft Lync Feature Policies "Configure SIP security mode"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HKLM\Software\Policies\Microsoft\office\16.0\lync</t>
    </r>
    <r>
      <rPr>
        <sz val="11"/>
        <color rgb="FF000000"/>
        <rFont val="Calibri"/>
      </rPr>
      <t xml:space="preserve">
</t>
    </r>
    <r>
      <rPr>
        <sz val="11"/>
        <color rgb="FF000000"/>
        <rFont val="Calibri"/>
      </rPr>
      <t>Criteria: If the value enablesiphighsecuritymode is REG_DWORD = 1, this is not a finding.</t>
    </r>
  </si>
  <si>
    <t>V-70905</t>
  </si>
  <si>
    <r>
      <rPr>
        <sz val="11"/>
        <rFont val="Calibri"/>
      </rPr>
      <t>In the event a secure Session Initiation Protocol (SIP) connection fails, the connection must be restricted from resorting to the unencrypted HTTP.</t>
    </r>
  </si>
  <si>
    <r>
      <rPr>
        <sz val="11"/>
        <color rgb="FF000000"/>
        <rFont val="Calibri"/>
      </rPr>
      <t>Set the policy value for Computer Configuration -&gt; Administrative Templates -&gt; Skype for Business 2016 -&gt; Microsoft Lync Feature Policies "Disable HTTP fallback for SIP connection" to "Enabled".</t>
    </r>
  </si>
  <si>
    <r>
      <rPr>
        <sz val="11"/>
        <color rgb="FF000000"/>
        <rFont val="Calibri"/>
      </rPr>
      <t>Prevents from HTTP being used for SIP connection in case TLS or TCP fail.</t>
    </r>
  </si>
  <si>
    <r>
      <rPr>
        <sz val="11"/>
        <color rgb="FF000000"/>
        <rFont val="Calibri"/>
      </rPr>
      <t>Verify the policy value for Computer Configuration -&gt; Administrative Templates -&gt; Skype for Business 2016 -&gt; Microsoft Lync Feature Policies "Disable HTTP fallback for SIP connection"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HKLM\Software\Policies\Microsoft\office\16.0\lync</t>
    </r>
    <r>
      <rPr>
        <sz val="11"/>
        <color rgb="FF000000"/>
        <rFont val="Calibri"/>
      </rPr>
      <t xml:space="preserve">
</t>
    </r>
    <r>
      <rPr>
        <sz val="11"/>
        <color rgb="FF000000"/>
        <rFont val="Calibri"/>
      </rPr>
      <t>Criteria: If the value disablehttpconnect is REG_DWORD = 1, this is not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</si>
  <si>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</si>
  <si>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</si>
  <si>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</si>
  <si>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</si>
  <si>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</si>
  <si>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</si>
  <si>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</si>
  <si>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</si>
  <si>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</si>
  <si>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</si>
  <si>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</si>
  <si>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</si>
  <si>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</si>
  <si>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</si>
  <si>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</si>
  <si>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</si>
  <si>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</si>
  <si>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</si>
  <si>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</si>
  <si>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</si>
  <si>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</si>
  <si>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</si>
  <si>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</si>
  <si>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</si>
  <si>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</si>
  <si>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</si>
  <si>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</si>
  <si>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</si>
  <si>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</si>
  <si>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Skype for Business 2016 Security Technical Implementation Guide V1R1</t>
  </si>
  <si>
    <t>Developed By:</t>
  </si>
  <si>
    <t>Defense Information Systems Agency (DISA) for the US DoD</t>
  </si>
  <si>
    <t>Release Information:</t>
  </si>
  <si>
    <r>
      <rPr>
        <b/>
        <sz val="11"/>
        <color rgb="FF000000"/>
        <rFont val="Calibri"/>
      </rPr>
      <t>Version:</t>
    </r>
    <r>
      <rPr>
        <sz val="11"/>
        <color rgb="FF000000"/>
        <rFont val="Calibri"/>
      </rPr>
      <t xml:space="preserve"> V1R1    </t>
    </r>
    <r>
      <rPr>
        <b/>
        <sz val="11"/>
        <color rgb="FF000000"/>
        <rFont val="Calibri"/>
      </rPr>
      <t>Date:</t>
    </r>
    <r>
      <rPr>
        <sz val="11"/>
        <color rgb="FF000000"/>
        <rFont val="Calibri"/>
      </rPr>
      <t xml:space="preserve"> 14 November 2016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3</t>
    </r>
  </si>
  <si>
    <t>Download Url:</t>
  </si>
  <si>
    <t>https://www.cyber.mil/stigs</t>
  </si>
  <si>
    <t>Guide Overview:</t>
  </si>
  <si>
    <r>
      <rPr>
        <sz val="11"/>
        <color rgb="FF000000"/>
        <rFont val="Calibri"/>
      </rPr>
      <t>This Microsoft Skype for Business 2016 Security Technical Implementation Guide (STIG) provides the technical security policies, requirements, and implementation details for applying security concepts to Microsoft Skype for Business 2016 application.</t>
    </r>
    <r>
      <rPr>
        <sz val="11"/>
        <color rgb="FF000000"/>
        <rFont val="Calibri"/>
      </rPr>
      <t xml:space="preserve">
</t>
    </r>
    <r>
      <rPr>
        <sz val="11"/>
        <color rgb="FF000000"/>
        <rFont val="Calibri"/>
      </rPr>
      <t>The Microsoft Office System 2016 STIG must also be applied when any Office 2016 package is installed.</t>
    </r>
    <r>
      <rPr>
        <sz val="11"/>
        <color rgb="FF000000"/>
        <rFont val="Calibri"/>
      </rPr>
      <t xml:space="preserve">
</t>
    </r>
    <r>
      <rPr>
        <sz val="11"/>
        <color rgb="FF000000"/>
        <rFont val="Calibri"/>
      </rPr>
      <t>This document is a requirement for all DoD-administered systems and all systems connected to DoD networks. These requirements are designed to assist Security Managers (SMs), Information System Security Managers (ISSMs), Information System Security Officers (ISSOs), and System Administrators (SAs) with configuring and maintaining security controls. This guidance supports DoD system design, development, implementation, certification, and accreditation efforts.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</si>
  <si>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</si>
  <si>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</si>
  <si>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t>CAT I (High)</t>
  </si>
  <si>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</si>
  <si>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</si>
  <si>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</si>
  <si>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</si>
  <si>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</si>
  <si>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</si>
  <si>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</si>
  <si>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</si>
  <si>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</si>
  <si>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</si>
  <si>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</si>
  <si>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</si>
  <si>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</si>
  <si>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</si>
  <si>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</si>
  <si>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</si>
  <si>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</si>
  <si>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</si>
  <si>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</si>
  <si>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</si>
  <si>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</si>
  <si>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Microsoft Skype for Business 2016 Security Technical Implementation Guide V1R1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</si>
  <si>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</si>
  <si>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</si>
  <si>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</si>
  <si>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</si>
  <si>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</si>
  <si>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</si>
  <si>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</si>
  <si>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</si>
  <si>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</si>
  <si>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</si>
  <si>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</si>
  <si>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</si>
  <si>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</si>
  <si>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</si>
  <si>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</si>
  <si>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</si>
  <si>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</si>
  <si>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</si>
  <si>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</si>
  <si>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</si>
  <si>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</si>
  <si>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</si>
  <si>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</si>
  <si>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</si>
  <si>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</si>
  <si>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</si>
  <si>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</si>
  <si>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</si>
  <si>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</si>
  <si>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</si>
  <si>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</si>
  <si>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</si>
  <si>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</si>
  <si>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</si>
  <si>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</si>
  <si>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</si>
  <si>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</si>
  <si>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</si>
  <si>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</si>
  <si>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</si>
  <si>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</si>
  <si>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</si>
  <si>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</si>
  <si>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</si>
  <si>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</si>
  <si>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</si>
  <si>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(C65)</t>
  </si>
  <si>
    <t>% Must</t>
  </si>
  <si>
    <t>Should Count (C66)</t>
  </si>
  <si>
    <t>% Should</t>
  </si>
  <si>
    <t>Could Count (C67)</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</si>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</sst>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71A3-41B7-BA88-B48CD7DFCC2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71A3-41B7-BA88-B48CD7DFCC2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c:v>
                </c:pt>
              </c:numCache>
            </c:numRef>
          </c:val>
          <c:extLst>
            <c:ext xmlns:c16="http://schemas.microsoft.com/office/drawing/2014/chart" uri="{C3380CC4-5D6E-409C-BE32-E72D297353CC}">
              <c16:uniqueId val="{00000002-71A3-41B7-BA88-B48CD7DFCC26}"/>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DDDB-4653-ACA7-44DEB19F9B46}"/>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DDDB-4653-ACA7-44DEB19F9B46}"/>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3</c:v>
                </c:pt>
              </c:numCache>
            </c:numRef>
          </c:val>
          <c:extLst>
            <c:ext xmlns:c16="http://schemas.microsoft.com/office/drawing/2014/chart" uri="{C3380CC4-5D6E-409C-BE32-E72D297353CC}">
              <c16:uniqueId val="{00000002-DDDB-4653-ACA7-44DEB19F9B46}"/>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Dashboard!$C$52:$C$52</c:f>
              <c:numCache>
                <c:formatCode>General</c:formatCode>
                <c:ptCount val="1"/>
                <c:pt idx="0">
                  <c:v>0</c:v>
                </c:pt>
              </c:numCache>
            </c:numRef>
          </c:val>
          <c:extLst>
            <c:ext xmlns:c16="http://schemas.microsoft.com/office/drawing/2014/chart" uri="{C3380CC4-5D6E-409C-BE32-E72D297353CC}">
              <c16:uniqueId val="{00000000-532B-4BB4-9042-404E140156FF}"/>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Dashboard!$D$52:$D$52</c:f>
              <c:numCache>
                <c:formatCode>General</c:formatCode>
                <c:ptCount val="1"/>
                <c:pt idx="0">
                  <c:v>0</c:v>
                </c:pt>
              </c:numCache>
            </c:numRef>
          </c:val>
          <c:extLst>
            <c:ext xmlns:c16="http://schemas.microsoft.com/office/drawing/2014/chart" uri="{C3380CC4-5D6E-409C-BE32-E72D297353CC}">
              <c16:uniqueId val="{00000001-532B-4BB4-9042-404E140156FF}"/>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Dashboard!$E$52:$E$52</c:f>
              <c:numCache>
                <c:formatCode>General</c:formatCode>
                <c:ptCount val="1"/>
                <c:pt idx="0">
                  <c:v>3</c:v>
                </c:pt>
              </c:numCache>
            </c:numRef>
          </c:val>
          <c:extLst>
            <c:ext xmlns:c16="http://schemas.microsoft.com/office/drawing/2014/chart" uri="{C3380CC4-5D6E-409C-BE32-E72D297353CC}">
              <c16:uniqueId val="{00000002-532B-4BB4-9042-404E140156F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Dashboard!$C$65:$C$69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AD95-4B7C-AC06-9B74AD6EB08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Dashboard!$D$65:$D$69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AD95-4B7C-AC06-9B74AD6EB08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Dashboard!$E$65:$E$69</c:f>
              <c:numCache>
                <c:formatCode>General</c:formatCode>
                <c:ptCount val="5"/>
                <c:pt idx="0">
                  <c:v>0</c:v>
                </c:pt>
                <c:pt idx="1">
                  <c:v>0</c:v>
                </c:pt>
                <c:pt idx="2">
                  <c:v>0</c:v>
                </c:pt>
                <c:pt idx="3">
                  <c:v>0</c:v>
                </c:pt>
                <c:pt idx="4">
                  <c:v>3</c:v>
                </c:pt>
              </c:numCache>
            </c:numRef>
          </c:val>
          <c:extLst>
            <c:ext xmlns:c16="http://schemas.microsoft.com/office/drawing/2014/chart" uri="{C3380CC4-5D6E-409C-BE32-E72D297353CC}">
              <c16:uniqueId val="{00000002-AD95-4B7C-AC06-9B74AD6EB08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Dashboard!$C$86:$C$89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F342-425C-A1F7-9B6A51B59618}"/>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Dashboard!$D$86:$D$89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F342-425C-A1F7-9B6A51B59618}"/>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Dashboard!$E$86:$E$89</c:f>
              <c:numCache>
                <c:formatCode>General</c:formatCode>
                <c:ptCount val="4"/>
                <c:pt idx="0">
                  <c:v>0</c:v>
                </c:pt>
                <c:pt idx="1">
                  <c:v>0</c:v>
                </c:pt>
                <c:pt idx="2">
                  <c:v>0</c:v>
                </c:pt>
                <c:pt idx="3">
                  <c:v>3</c:v>
                </c:pt>
              </c:numCache>
            </c:numRef>
          </c:val>
          <c:extLst>
            <c:ext xmlns:c16="http://schemas.microsoft.com/office/drawing/2014/chart" uri="{C3380CC4-5D6E-409C-BE32-E72D297353CC}">
              <c16:uniqueId val="{00000002-F342-425C-A1F7-9B6A51B5961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Dashboard!$P$122:$P$151</c:f>
              <c:numCache>
                <c:formatCode>yyyy\-mm\-dd</c:formatCode>
                <c:ptCount val="30"/>
              </c:numCache>
            </c:numRef>
          </c:cat>
          <c:val>
            <c:numRef>
              <c:f>Dashboard!$R$122:$R$151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A723-49AE-A8E8-07EA98576BB7}"/>
            </c:ext>
          </c:extLst>
        </c:ser>
        <c:ser>
          <c:idx val="1"/>
          <c:order val="1"/>
          <c:tx>
            <c:v>Must % Resolved</c:v>
          </c:tx>
          <c:spPr>
            <a:ln w="22225" cap="rnd">
              <a:solidFill>
                <a:schemeClr val="accent2"/>
              </a:solidFill>
              <a:round/>
            </a:ln>
            <a:effectLst/>
          </c:spPr>
          <c:marker>
            <c:symbol val="none"/>
          </c:marker>
          <c:cat>
            <c:numRef>
              <c:f>Dashboard!$P$122:$P$151</c:f>
              <c:numCache>
                <c:formatCode>yyyy\-mm\-dd</c:formatCode>
                <c:ptCount val="30"/>
              </c:numCache>
            </c:numRef>
          </c:cat>
          <c:val>
            <c:numRef>
              <c:f>Dashboard!$T$122:$T$151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A723-49AE-A8E8-07EA98576BB7}"/>
            </c:ext>
          </c:extLst>
        </c:ser>
        <c:ser>
          <c:idx val="2"/>
          <c:order val="2"/>
          <c:tx>
            <c:v>Should % Resolved</c:v>
          </c:tx>
          <c:spPr>
            <a:ln w="22225" cap="rnd">
              <a:solidFill>
                <a:schemeClr val="accent3"/>
              </a:solidFill>
              <a:round/>
            </a:ln>
            <a:effectLst/>
          </c:spPr>
          <c:marker>
            <c:symbol val="none"/>
          </c:marker>
          <c:cat>
            <c:numRef>
              <c:f>Dashboard!$P$122:$P$151</c:f>
              <c:numCache>
                <c:formatCode>yyyy\-mm\-dd</c:formatCode>
                <c:ptCount val="30"/>
              </c:numCache>
            </c:numRef>
          </c:cat>
          <c:val>
            <c:numRef>
              <c:f>Dashboard!$V$122:$V$151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A723-49AE-A8E8-07EA98576BB7}"/>
            </c:ext>
          </c:extLst>
        </c:ser>
        <c:ser>
          <c:idx val="3"/>
          <c:order val="3"/>
          <c:tx>
            <c:v>Could % Resolved</c:v>
          </c:tx>
          <c:spPr>
            <a:ln w="22225" cap="rnd">
              <a:solidFill>
                <a:schemeClr val="accent4"/>
              </a:solidFill>
              <a:round/>
            </a:ln>
            <a:effectLst/>
          </c:spPr>
          <c:marker>
            <c:symbol val="none"/>
          </c:marker>
          <c:cat>
            <c:numRef>
              <c:f>Dashboard!$P$122:$P$151</c:f>
              <c:numCache>
                <c:formatCode>yyyy\-mm\-dd</c:formatCode>
                <c:ptCount val="30"/>
              </c:numCache>
            </c:numRef>
          </c:cat>
          <c:val>
            <c:numRef>
              <c:f>Dashboard!$X$122:$X$151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A723-49AE-A8E8-07EA98576BB7}"/>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Dashboard!$P$164:$P$183</c:f>
              <c:numCache>
                <c:formatCode>yyyy\-mm\-dd</c:formatCode>
                <c:ptCount val="20"/>
              </c:numCache>
            </c:numRef>
          </c:cat>
          <c:val>
            <c:numRef>
              <c:f>Dashboard!$R$164:$R$183</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4433-432A-AE6C-D6D8BDFD7D2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c2po1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wnpvka">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uzjkcm">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77</xdr:row>
      <xdr:rowOff>0</xdr:rowOff>
    </xdr:to>
    <xdr:graphicFrame macro="">
      <xdr:nvGraphicFramePr>
        <xdr:cNvPr id="5" name="Chartv4nblf">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95</xdr:row>
      <xdr:rowOff>142875</xdr:rowOff>
    </xdr:to>
    <xdr:graphicFrame macro="">
      <xdr:nvGraphicFramePr>
        <xdr:cNvPr id="6" name="Chart1p0pv3">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117</xdr:row>
      <xdr:rowOff>95250</xdr:rowOff>
    </xdr:from>
    <xdr:to>
      <xdr:col>14</xdr:col>
      <xdr:colOff>0</xdr:colOff>
      <xdr:row>140</xdr:row>
      <xdr:rowOff>38100</xdr:rowOff>
    </xdr:to>
    <xdr:graphicFrame macro="">
      <xdr:nvGraphicFramePr>
        <xdr:cNvPr id="7" name="Chartsvnn5h">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158</xdr:row>
      <xdr:rowOff>95250</xdr:rowOff>
    </xdr:from>
    <xdr:to>
      <xdr:col>14</xdr:col>
      <xdr:colOff>0</xdr:colOff>
      <xdr:row>176</xdr:row>
      <xdr:rowOff>123825</xdr:rowOff>
    </xdr:to>
    <xdr:graphicFrame macro="">
      <xdr:nvGraphicFramePr>
        <xdr:cNvPr id="8" name="Chart2jnpmo">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4">
  <autoFilter ref="A1:M4"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34</v>
      </c>
    </row>
    <row r="3" spans="2:3" ht="15" customHeight="1" x14ac:dyDescent="0.35"/>
    <row r="4" spans="2:3" ht="58" x14ac:dyDescent="0.35">
      <c r="B4" s="18" t="s">
        <v>35</v>
      </c>
      <c r="C4" s="19" t="s">
        <v>36</v>
      </c>
    </row>
    <row r="5" spans="2:3" x14ac:dyDescent="0.35">
      <c r="C5" s="19" t="s">
        <v>37</v>
      </c>
    </row>
    <row r="6" spans="2:3" x14ac:dyDescent="0.35">
      <c r="C6" s="16" t="s">
        <v>38</v>
      </c>
    </row>
    <row r="7" spans="2:3" ht="10" customHeight="1" x14ac:dyDescent="0.35"/>
    <row r="8" spans="2:3" ht="232" x14ac:dyDescent="0.35">
      <c r="B8" s="20" t="s">
        <v>39</v>
      </c>
      <c r="C8" s="19" t="s">
        <v>40</v>
      </c>
    </row>
    <row r="9" spans="2:3" ht="10" customHeight="1" x14ac:dyDescent="0.35"/>
    <row r="10" spans="2:3" ht="35" customHeight="1" x14ac:dyDescent="0.35">
      <c r="B10" s="20" t="s">
        <v>41</v>
      </c>
      <c r="C10" s="19" t="s">
        <v>42</v>
      </c>
    </row>
    <row r="11" spans="2:3" ht="75" customHeight="1" x14ac:dyDescent="0.35">
      <c r="B11" s="16" t="s">
        <v>19</v>
      </c>
      <c r="C11" s="19" t="s">
        <v>43</v>
      </c>
    </row>
    <row r="12" spans="2:3" ht="47" customHeight="1" x14ac:dyDescent="0.35">
      <c r="B12" s="16" t="s">
        <v>19</v>
      </c>
      <c r="C12" s="19" t="s">
        <v>44</v>
      </c>
    </row>
    <row r="13" spans="2:3" ht="35" customHeight="1" x14ac:dyDescent="0.35">
      <c r="B13" s="16" t="s">
        <v>19</v>
      </c>
      <c r="C13" s="19" t="s">
        <v>45</v>
      </c>
    </row>
    <row r="14" spans="2:3" ht="32" customHeight="1" x14ac:dyDescent="0.35">
      <c r="B14" s="16" t="s">
        <v>19</v>
      </c>
      <c r="C14" s="19" t="s">
        <v>46</v>
      </c>
    </row>
    <row r="15" spans="2:3" ht="30" customHeight="1" x14ac:dyDescent="0.35">
      <c r="B15" s="16" t="s">
        <v>19</v>
      </c>
      <c r="C15" s="19" t="s">
        <v>47</v>
      </c>
    </row>
    <row r="16" spans="2:3" ht="10" customHeight="1" x14ac:dyDescent="0.35"/>
    <row r="17" spans="1:3" ht="145" customHeight="1" x14ac:dyDescent="0.35">
      <c r="B17" s="20" t="s">
        <v>48</v>
      </c>
      <c r="C17" s="19" t="s">
        <v>49</v>
      </c>
    </row>
    <row r="18" spans="1:3" ht="10" customHeight="1" x14ac:dyDescent="0.35"/>
    <row r="19" spans="1:3" ht="3" customHeight="1" x14ac:dyDescent="0.35">
      <c r="B19" s="21"/>
      <c r="C19" s="21"/>
    </row>
    <row r="20" spans="1:3" ht="12" customHeight="1" x14ac:dyDescent="0.35"/>
    <row r="21" spans="1:3" ht="35" customHeight="1" x14ac:dyDescent="0.35">
      <c r="A21" s="23"/>
      <c r="B21" s="24" t="s">
        <v>50</v>
      </c>
      <c r="C21" s="25" t="s">
        <v>51</v>
      </c>
    </row>
    <row r="22" spans="1:3" ht="18" customHeight="1" x14ac:dyDescent="0.35">
      <c r="A22" s="23"/>
      <c r="B22" s="23" t="s">
        <v>19</v>
      </c>
      <c r="C22" s="25" t="s">
        <v>52</v>
      </c>
    </row>
    <row r="23" spans="1:3" ht="18" customHeight="1" x14ac:dyDescent="0.35">
      <c r="A23" s="23"/>
      <c r="B23" s="23" t="s">
        <v>19</v>
      </c>
      <c r="C23" s="25" t="s">
        <v>53</v>
      </c>
    </row>
    <row r="24" spans="1:3" ht="18" customHeight="1" x14ac:dyDescent="0.35">
      <c r="A24" s="23"/>
      <c r="B24" s="23" t="s">
        <v>19</v>
      </c>
      <c r="C24" s="25" t="s">
        <v>54</v>
      </c>
    </row>
    <row r="25" spans="1:3" ht="18" customHeight="1" x14ac:dyDescent="0.35">
      <c r="A25" s="23"/>
      <c r="B25" s="23" t="s">
        <v>19</v>
      </c>
      <c r="C25" s="25" t="s">
        <v>55</v>
      </c>
    </row>
    <row r="26" spans="1:3" ht="18" customHeight="1" x14ac:dyDescent="0.35">
      <c r="A26" s="23"/>
      <c r="B26" s="23" t="s">
        <v>19</v>
      </c>
      <c r="C26" s="25" t="s">
        <v>56</v>
      </c>
    </row>
    <row r="27" spans="1:3" ht="18" customHeight="1" x14ac:dyDescent="0.35">
      <c r="A27" s="23"/>
      <c r="B27" s="23" t="s">
        <v>19</v>
      </c>
      <c r="C27" s="25" t="s">
        <v>57</v>
      </c>
    </row>
    <row r="28" spans="1:3" ht="18" customHeight="1" x14ac:dyDescent="0.35">
      <c r="A28" s="23"/>
      <c r="B28" s="23" t="s">
        <v>19</v>
      </c>
      <c r="C28" s="25" t="s">
        <v>58</v>
      </c>
    </row>
    <row r="29" spans="1:3" ht="18" customHeight="1" x14ac:dyDescent="0.35">
      <c r="A29" s="23"/>
      <c r="B29" s="23" t="s">
        <v>19</v>
      </c>
      <c r="C29" s="25" t="s">
        <v>59</v>
      </c>
    </row>
    <row r="30" spans="1:3" ht="44" customHeight="1" x14ac:dyDescent="0.35">
      <c r="A30" s="23"/>
      <c r="B30" s="23" t="s">
        <v>19</v>
      </c>
      <c r="C30" s="26" t="s">
        <v>60</v>
      </c>
    </row>
    <row r="31" spans="1:3" ht="10" customHeight="1" x14ac:dyDescent="0.35"/>
    <row r="32" spans="1:3" ht="3" customHeight="1" x14ac:dyDescent="0.35">
      <c r="B32" s="21"/>
      <c r="C32" s="21"/>
    </row>
    <row r="33" spans="2:3" ht="12" customHeight="1" x14ac:dyDescent="0.35"/>
    <row r="34" spans="2:3" ht="24" customHeight="1" x14ac:dyDescent="0.35">
      <c r="B34" s="27" t="s">
        <v>61</v>
      </c>
      <c r="C34" s="28" t="s">
        <v>62</v>
      </c>
    </row>
    <row r="35" spans="2:3" ht="18.5" x14ac:dyDescent="0.35">
      <c r="B35" s="27" t="s">
        <v>63</v>
      </c>
      <c r="C35" s="29" t="s">
        <v>64</v>
      </c>
    </row>
    <row r="36" spans="2:3" ht="27" customHeight="1" x14ac:dyDescent="0.35">
      <c r="B36" s="30" t="s">
        <v>65</v>
      </c>
      <c r="C36" s="22" t="s">
        <v>66</v>
      </c>
    </row>
    <row r="37" spans="2:3" x14ac:dyDescent="0.35">
      <c r="B37" s="27" t="s">
        <v>67</v>
      </c>
      <c r="C37" s="31" t="s">
        <v>68</v>
      </c>
    </row>
    <row r="38" spans="2:3" ht="10" customHeight="1" x14ac:dyDescent="0.35"/>
    <row r="39" spans="2:3" ht="159.5" x14ac:dyDescent="0.35">
      <c r="B39" s="27" t="s">
        <v>69</v>
      </c>
      <c r="C39" s="32" t="s">
        <v>70</v>
      </c>
    </row>
    <row r="40" spans="2:3" ht="10" customHeight="1" x14ac:dyDescent="0.35"/>
    <row r="41" spans="2:3" ht="43.5" x14ac:dyDescent="0.35">
      <c r="B41" s="27" t="s">
        <v>71</v>
      </c>
      <c r="C41" s="19" t="s">
        <v>72</v>
      </c>
    </row>
    <row r="42" spans="2:3" ht="10" customHeight="1" x14ac:dyDescent="0.35"/>
    <row r="43" spans="2:3" ht="15.5" x14ac:dyDescent="0.35">
      <c r="C43" s="33" t="s">
        <v>73</v>
      </c>
    </row>
    <row r="44" spans="2:3" ht="29" x14ac:dyDescent="0.35">
      <c r="C44" s="19" t="s">
        <v>74</v>
      </c>
    </row>
    <row r="45" spans="2:3" ht="10" customHeight="1" x14ac:dyDescent="0.35"/>
    <row r="46" spans="2:3" ht="15.5" x14ac:dyDescent="0.35">
      <c r="C46" s="34" t="s">
        <v>15</v>
      </c>
    </row>
    <row r="47" spans="2:3" ht="29" x14ac:dyDescent="0.35">
      <c r="C47" s="19" t="s">
        <v>75</v>
      </c>
    </row>
    <row r="48" spans="2:3" ht="10" customHeight="1" x14ac:dyDescent="0.35"/>
    <row r="49" spans="2:3" ht="15.5" x14ac:dyDescent="0.35">
      <c r="C49" s="35" t="s">
        <v>76</v>
      </c>
    </row>
    <row r="50" spans="2:3" ht="29" x14ac:dyDescent="0.35">
      <c r="C50" s="19" t="s">
        <v>77</v>
      </c>
    </row>
    <row r="51" spans="2:3" ht="10" customHeight="1" x14ac:dyDescent="0.35"/>
    <row r="52" spans="2:3" ht="3" customHeight="1" x14ac:dyDescent="0.35">
      <c r="B52" s="21"/>
      <c r="C52" s="21"/>
    </row>
    <row r="53" spans="2:3" ht="12" customHeight="1" x14ac:dyDescent="0.35"/>
    <row r="54" spans="2:3" ht="130.5" x14ac:dyDescent="0.35">
      <c r="B54" s="18" t="s">
        <v>78</v>
      </c>
      <c r="C54" s="19" t="s">
        <v>79</v>
      </c>
    </row>
    <row r="55" spans="2:3" ht="6" customHeight="1" x14ac:dyDescent="0.35"/>
    <row r="56" spans="2:3" ht="217.5" x14ac:dyDescent="0.35">
      <c r="C56" s="19" t="s">
        <v>80</v>
      </c>
    </row>
    <row r="57" spans="2:3" ht="6" customHeight="1" x14ac:dyDescent="0.35"/>
    <row r="58" spans="2:3" ht="43.5" x14ac:dyDescent="0.35">
      <c r="C58" s="19" t="s">
        <v>81</v>
      </c>
    </row>
    <row r="59" spans="2:3" ht="10" customHeight="1" x14ac:dyDescent="0.35"/>
    <row r="60" spans="2:3" ht="3" customHeight="1" x14ac:dyDescent="0.35">
      <c r="B60" s="21"/>
      <c r="C60" s="21"/>
    </row>
    <row r="61" spans="2:3" ht="12" customHeight="1" x14ac:dyDescent="0.35"/>
    <row r="62" spans="2:3" ht="145" x14ac:dyDescent="0.35">
      <c r="B62" s="18" t="s">
        <v>82</v>
      </c>
      <c r="C62" s="19" t="s">
        <v>83</v>
      </c>
    </row>
    <row r="63" spans="2:3" ht="6" customHeight="1" x14ac:dyDescent="0.35"/>
    <row r="64" spans="2:3" ht="203" x14ac:dyDescent="0.35">
      <c r="C64" s="19" t="s">
        <v>84</v>
      </c>
    </row>
    <row r="65" spans="2:3" ht="6" customHeight="1" x14ac:dyDescent="0.35"/>
    <row r="66" spans="2:3" ht="43.5" x14ac:dyDescent="0.35">
      <c r="C66" s="19" t="s">
        <v>85</v>
      </c>
    </row>
    <row r="67" spans="2:3" ht="10" customHeight="1" x14ac:dyDescent="0.35"/>
    <row r="68" spans="2:3" ht="3" customHeight="1" x14ac:dyDescent="0.35">
      <c r="B68" s="21"/>
      <c r="C68" s="21"/>
    </row>
    <row r="69" spans="2:3" ht="12" customHeight="1" x14ac:dyDescent="0.35"/>
    <row r="70" spans="2:3" ht="101.5" x14ac:dyDescent="0.35">
      <c r="B70" s="18" t="s">
        <v>86</v>
      </c>
      <c r="C70" s="19" t="s">
        <v>87</v>
      </c>
    </row>
    <row r="71" spans="2:3" ht="6" customHeight="1" x14ac:dyDescent="0.35"/>
    <row r="72" spans="2:3" ht="145" x14ac:dyDescent="0.35">
      <c r="C72" s="19" t="s">
        <v>88</v>
      </c>
    </row>
    <row r="73" spans="2:3" ht="6" customHeight="1" x14ac:dyDescent="0.35"/>
    <row r="74" spans="2:3" ht="43.5" x14ac:dyDescent="0.35">
      <c r="C74" s="19" t="s">
        <v>89</v>
      </c>
    </row>
    <row r="78" spans="2:3" ht="32" customHeight="1" x14ac:dyDescent="0.35">
      <c r="B78" s="78" t="s">
        <v>33</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7"/>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90</v>
      </c>
      <c r="C2" s="80"/>
      <c r="D2" s="80"/>
      <c r="E2" s="80"/>
      <c r="F2" s="80"/>
      <c r="G2" s="80"/>
      <c r="H2" s="80"/>
      <c r="I2" s="80"/>
    </row>
    <row r="4" spans="2:15" ht="18.5" x14ac:dyDescent="0.45">
      <c r="B4" s="37" t="s">
        <v>91</v>
      </c>
    </row>
    <row r="5" spans="2:15" x14ac:dyDescent="0.35">
      <c r="B5" s="39" t="s">
        <v>19</v>
      </c>
      <c r="C5" s="39" t="s">
        <v>92</v>
      </c>
      <c r="D5" s="39" t="s">
        <v>93</v>
      </c>
      <c r="F5" s="81" t="s">
        <v>94</v>
      </c>
      <c r="G5" s="81"/>
      <c r="H5" s="81"/>
      <c r="I5" s="82" t="s">
        <v>95</v>
      </c>
      <c r="J5" s="82"/>
      <c r="K5" s="82"/>
      <c r="L5" s="82"/>
      <c r="M5" s="82"/>
      <c r="N5" s="82"/>
      <c r="O5" s="82"/>
    </row>
    <row r="6" spans="2:15" x14ac:dyDescent="0.35">
      <c r="B6" s="45" t="s">
        <v>96</v>
      </c>
      <c r="C6" s="46">
        <v>3</v>
      </c>
      <c r="D6" s="47" t="s">
        <v>19</v>
      </c>
      <c r="F6" s="81" t="s">
        <v>97</v>
      </c>
      <c r="G6" s="81"/>
      <c r="H6" s="81"/>
      <c r="I6" s="83" t="s">
        <v>98</v>
      </c>
      <c r="J6" s="83"/>
      <c r="K6" s="83"/>
      <c r="L6" s="83"/>
      <c r="M6" s="83"/>
      <c r="N6" s="83"/>
      <c r="O6" s="83"/>
    </row>
    <row r="7" spans="2:15" x14ac:dyDescent="0.35">
      <c r="B7" s="48" t="s">
        <v>99</v>
      </c>
      <c r="C7" s="49">
        <f>C6-C8-C9</f>
        <v>3</v>
      </c>
      <c r="D7" s="50">
        <f>IF(C6&gt;0,C7/C6,0)</f>
        <v>1</v>
      </c>
      <c r="F7" s="81" t="s">
        <v>100</v>
      </c>
      <c r="G7" s="81"/>
      <c r="H7" s="81"/>
      <c r="I7" s="83" t="s">
        <v>98</v>
      </c>
      <c r="J7" s="83"/>
      <c r="K7" s="83"/>
      <c r="L7" s="83"/>
      <c r="M7" s="83"/>
      <c r="N7" s="83"/>
      <c r="O7" s="83"/>
    </row>
    <row r="8" spans="2:15" x14ac:dyDescent="0.35">
      <c r="B8" s="41" t="s">
        <v>101</v>
      </c>
      <c r="C8" s="42">
        <f>COUNTIF('Recommendations'!G:G,"Risk Accepted")</f>
        <v>0</v>
      </c>
      <c r="D8" s="43">
        <f>IF(C6&gt;0,C8/C6,0)</f>
        <v>0</v>
      </c>
      <c r="F8" s="81" t="s">
        <v>102</v>
      </c>
      <c r="G8" s="81"/>
      <c r="H8" s="81"/>
      <c r="I8" s="83" t="s">
        <v>98</v>
      </c>
      <c r="J8" s="83"/>
      <c r="K8" s="83"/>
      <c r="L8" s="83"/>
      <c r="M8" s="83"/>
      <c r="N8" s="83"/>
      <c r="O8" s="83"/>
    </row>
    <row r="9" spans="2:15" x14ac:dyDescent="0.35">
      <c r="B9" s="41" t="s">
        <v>103</v>
      </c>
      <c r="C9" s="42">
        <f>COUNTIF('Recommendations'!G:G,"N/A")</f>
        <v>0</v>
      </c>
      <c r="D9" s="43">
        <f>IF(C6&gt;0,C9/C6,0)</f>
        <v>0</v>
      </c>
      <c r="F9" s="81" t="s">
        <v>104</v>
      </c>
      <c r="G9" s="81"/>
      <c r="H9" s="81"/>
      <c r="I9" s="83" t="s">
        <v>98</v>
      </c>
      <c r="J9" s="83"/>
      <c r="K9" s="83"/>
      <c r="L9" s="83"/>
      <c r="M9" s="83"/>
      <c r="N9" s="83"/>
      <c r="O9" s="83"/>
    </row>
    <row r="12" spans="2:15" ht="18.5" x14ac:dyDescent="0.45">
      <c r="B12" s="37" t="s">
        <v>105</v>
      </c>
    </row>
    <row r="14" spans="2:15" x14ac:dyDescent="0.35">
      <c r="B14" s="51" t="s">
        <v>106</v>
      </c>
    </row>
    <row r="15" spans="2:15" x14ac:dyDescent="0.35">
      <c r="B15" s="39" t="s">
        <v>19</v>
      </c>
      <c r="C15" s="39" t="s">
        <v>107</v>
      </c>
      <c r="D15" s="39" t="s">
        <v>108</v>
      </c>
      <c r="E15" s="39" t="s">
        <v>109</v>
      </c>
      <c r="F15" s="39" t="s">
        <v>110</v>
      </c>
    </row>
    <row r="16" spans="2:15" x14ac:dyDescent="0.35">
      <c r="B16" s="41" t="s">
        <v>111</v>
      </c>
      <c r="C16" s="42">
        <f>COUNTIF('Recommendations'!L:L,"Resolved")</f>
        <v>0</v>
      </c>
      <c r="D16" s="42">
        <f>COUNTIF('Recommendations'!L:L,"Testing")</f>
        <v>0</v>
      </c>
      <c r="E16" s="42">
        <f>COUNTIF('Recommendations'!L:L,"Outstanding")</f>
        <v>3</v>
      </c>
      <c r="F16" s="42">
        <f>SUM(C16:E16)</f>
        <v>3</v>
      </c>
    </row>
    <row r="18" spans="2:6" x14ac:dyDescent="0.35">
      <c r="B18" s="51" t="s">
        <v>112</v>
      </c>
    </row>
    <row r="19" spans="2:6" x14ac:dyDescent="0.35">
      <c r="B19" s="52" t="s">
        <v>19</v>
      </c>
      <c r="C19" s="52" t="s">
        <v>107</v>
      </c>
      <c r="D19" s="52" t="s">
        <v>108</v>
      </c>
      <c r="E19" s="52" t="s">
        <v>109</v>
      </c>
      <c r="F19" s="52" t="s">
        <v>19</v>
      </c>
    </row>
    <row r="20" spans="2:6" x14ac:dyDescent="0.35">
      <c r="B20" s="41" t="s">
        <v>111</v>
      </c>
      <c r="C20" s="43">
        <f>IF(F16&gt;0, C16/F16, 0)</f>
        <v>0</v>
      </c>
      <c r="D20" s="43">
        <f>IF(F16&gt;0, D16/F16, 0)</f>
        <v>0</v>
      </c>
      <c r="E20" s="43">
        <f>IF(F16&gt;0, E16/F16, 0)</f>
        <v>1</v>
      </c>
      <c r="F20" s="44" t="s">
        <v>19</v>
      </c>
    </row>
    <row r="25" spans="2:6" ht="18.5" x14ac:dyDescent="0.45">
      <c r="B25" s="37" t="s">
        <v>113</v>
      </c>
    </row>
    <row r="27" spans="2:6" x14ac:dyDescent="0.35">
      <c r="B27" s="51" t="s">
        <v>106</v>
      </c>
    </row>
    <row r="28" spans="2:6" x14ac:dyDescent="0.35">
      <c r="B28" s="39" t="s">
        <v>5</v>
      </c>
      <c r="C28" s="39" t="s">
        <v>107</v>
      </c>
      <c r="D28" s="39" t="s">
        <v>108</v>
      </c>
      <c r="E28" s="39" t="s">
        <v>109</v>
      </c>
      <c r="F28" s="39" t="s">
        <v>110</v>
      </c>
    </row>
    <row r="29" spans="2:6" x14ac:dyDescent="0.35">
      <c r="B29" s="41" t="s">
        <v>114</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115</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116</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117</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118</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3</v>
      </c>
      <c r="F34" s="42">
        <f t="shared" si="0"/>
        <v>3</v>
      </c>
    </row>
    <row r="36" spans="2:6" x14ac:dyDescent="0.35">
      <c r="B36" s="51" t="s">
        <v>112</v>
      </c>
    </row>
    <row r="37" spans="2:6" x14ac:dyDescent="0.35">
      <c r="B37" s="52" t="s">
        <v>5</v>
      </c>
      <c r="C37" s="52" t="s">
        <v>107</v>
      </c>
      <c r="D37" s="52" t="s">
        <v>108</v>
      </c>
      <c r="E37" s="52" t="s">
        <v>109</v>
      </c>
      <c r="F37" s="52" t="s">
        <v>19</v>
      </c>
    </row>
    <row r="38" spans="2:6" x14ac:dyDescent="0.35">
      <c r="B38" s="41" t="s">
        <v>114</v>
      </c>
      <c r="C38" s="43">
        <f t="shared" ref="C38:C43" si="1">IF(F29&gt;0, C29/F29, 0)</f>
        <v>0</v>
      </c>
      <c r="D38" s="43">
        <f t="shared" ref="D38:D43" si="2">IF(F29&gt;0, D29/F29, 0)</f>
        <v>0</v>
      </c>
      <c r="E38" s="43">
        <f t="shared" ref="E38:E43" si="3">IF(F29&gt;0, E29/F29, 0)</f>
        <v>0</v>
      </c>
      <c r="F38" s="44" t="s">
        <v>19</v>
      </c>
    </row>
    <row r="39" spans="2:6" x14ac:dyDescent="0.35">
      <c r="B39" s="41" t="s">
        <v>115</v>
      </c>
      <c r="C39" s="43">
        <f t="shared" si="1"/>
        <v>0</v>
      </c>
      <c r="D39" s="43">
        <f t="shared" si="2"/>
        <v>0</v>
      </c>
      <c r="E39" s="43">
        <f t="shared" si="3"/>
        <v>0</v>
      </c>
      <c r="F39" s="44" t="s">
        <v>19</v>
      </c>
    </row>
    <row r="40" spans="2:6" x14ac:dyDescent="0.35">
      <c r="B40" s="41" t="s">
        <v>116</v>
      </c>
      <c r="C40" s="43">
        <f t="shared" si="1"/>
        <v>0</v>
      </c>
      <c r="D40" s="43">
        <f t="shared" si="2"/>
        <v>0</v>
      </c>
      <c r="E40" s="43">
        <f t="shared" si="3"/>
        <v>0</v>
      </c>
      <c r="F40" s="44" t="s">
        <v>19</v>
      </c>
    </row>
    <row r="41" spans="2:6" x14ac:dyDescent="0.35">
      <c r="B41" s="41" t="s">
        <v>117</v>
      </c>
      <c r="C41" s="43">
        <f t="shared" si="1"/>
        <v>0</v>
      </c>
      <c r="D41" s="43">
        <f t="shared" si="2"/>
        <v>0</v>
      </c>
      <c r="E41" s="43">
        <f t="shared" si="3"/>
        <v>0</v>
      </c>
      <c r="F41" s="44" t="s">
        <v>19</v>
      </c>
    </row>
    <row r="42" spans="2:6" x14ac:dyDescent="0.35">
      <c r="B42" s="41" t="s">
        <v>118</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119</v>
      </c>
    </row>
    <row r="50" spans="2:6" x14ac:dyDescent="0.35">
      <c r="B50" s="51" t="s">
        <v>106</v>
      </c>
    </row>
    <row r="51" spans="2:6" x14ac:dyDescent="0.35">
      <c r="B51" s="39" t="s">
        <v>2</v>
      </c>
      <c r="C51" s="39" t="s">
        <v>107</v>
      </c>
      <c r="D51" s="39" t="s">
        <v>108</v>
      </c>
      <c r="E51" s="39" t="s">
        <v>109</v>
      </c>
      <c r="F51" s="39" t="s">
        <v>110</v>
      </c>
    </row>
    <row r="52" spans="2:6" x14ac:dyDescent="0.35">
      <c r="B52" s="41" t="s">
        <v>15</v>
      </c>
      <c r="C52" s="42">
        <f>COUNTIFS('Recommendations'!C:C,"CAT II (Medium)",'Recommendations'!L:L,"=Resolved")</f>
        <v>0</v>
      </c>
      <c r="D52" s="42">
        <f>COUNTIFS('Recommendations'!C:C,"=CAT II (Medium)",'Recommendations'!L:L,"=Testing")</f>
        <v>0</v>
      </c>
      <c r="E52" s="42">
        <f>COUNTIFS('Recommendations'!C:C,"=CAT II (Medium)",'Recommendations'!L:L,"=Outstanding")</f>
        <v>3</v>
      </c>
      <c r="F52" s="42">
        <f>SUM(C52:E52)</f>
        <v>3</v>
      </c>
    </row>
    <row r="54" spans="2:6" x14ac:dyDescent="0.35">
      <c r="B54" s="51" t="s">
        <v>112</v>
      </c>
    </row>
    <row r="55" spans="2:6" x14ac:dyDescent="0.35">
      <c r="B55" s="52" t="s">
        <v>2</v>
      </c>
      <c r="C55" s="52" t="s">
        <v>107</v>
      </c>
      <c r="D55" s="52" t="s">
        <v>108</v>
      </c>
      <c r="E55" s="52" t="s">
        <v>109</v>
      </c>
      <c r="F55" s="52" t="s">
        <v>19</v>
      </c>
    </row>
    <row r="56" spans="2:6" x14ac:dyDescent="0.35">
      <c r="B56" s="41" t="s">
        <v>15</v>
      </c>
      <c r="C56" s="43">
        <f>IF(F52&gt;0, C52/F52, 0)</f>
        <v>0</v>
      </c>
      <c r="D56" s="43">
        <f>IF(F52&gt;0, D52/F52, 0)</f>
        <v>0</v>
      </c>
      <c r="E56" s="43">
        <f>IF(F52&gt;0, E52/F52, 0)</f>
        <v>1</v>
      </c>
      <c r="F56" s="44" t="s">
        <v>19</v>
      </c>
    </row>
    <row r="61" spans="2:6" ht="18.5" x14ac:dyDescent="0.45">
      <c r="B61" s="37" t="s">
        <v>120</v>
      </c>
    </row>
    <row r="63" spans="2:6" x14ac:dyDescent="0.35">
      <c r="B63" s="51" t="s">
        <v>106</v>
      </c>
    </row>
    <row r="64" spans="2:6" x14ac:dyDescent="0.35">
      <c r="B64" s="39" t="s">
        <v>3</v>
      </c>
      <c r="C64" s="39" t="s">
        <v>107</v>
      </c>
      <c r="D64" s="39" t="s">
        <v>108</v>
      </c>
      <c r="E64" s="39" t="s">
        <v>109</v>
      </c>
      <c r="F64" s="39" t="s">
        <v>110</v>
      </c>
    </row>
    <row r="65" spans="2:6" x14ac:dyDescent="0.35">
      <c r="B65" s="41" t="s">
        <v>121</v>
      </c>
      <c r="C65" s="42">
        <f>COUNTIFS('Recommendations'!D:D,"Must",'Recommendations'!L:L,"=Resolved")</f>
        <v>0</v>
      </c>
      <c r="D65" s="42">
        <f>COUNTIFS('Recommendations'!D:D,"=Must",'Recommendations'!L:L,"=Testing")</f>
        <v>0</v>
      </c>
      <c r="E65" s="42">
        <f>COUNTIFS('Recommendations'!D:D,"=Must",'Recommendations'!L:L,"=Outstanding")</f>
        <v>0</v>
      </c>
      <c r="F65" s="42">
        <f>SUM(C65:E65)</f>
        <v>0</v>
      </c>
    </row>
    <row r="66" spans="2:6" x14ac:dyDescent="0.35">
      <c r="B66" s="41" t="s">
        <v>122</v>
      </c>
      <c r="C66" s="42">
        <f>COUNTIFS('Recommendations'!D:D,"Should",'Recommendations'!L:L,"=Resolved")</f>
        <v>0</v>
      </c>
      <c r="D66" s="42">
        <f>COUNTIFS('Recommendations'!D:D,"=Should",'Recommendations'!L:L,"=Testing")</f>
        <v>0</v>
      </c>
      <c r="E66" s="42">
        <f>COUNTIFS('Recommendations'!D:D,"=Should",'Recommendations'!L:L,"=Outstanding")</f>
        <v>0</v>
      </c>
      <c r="F66" s="42">
        <f>SUM(C66:E66)</f>
        <v>0</v>
      </c>
    </row>
    <row r="67" spans="2:6" x14ac:dyDescent="0.35">
      <c r="B67" s="41" t="s">
        <v>123</v>
      </c>
      <c r="C67" s="42">
        <f>COUNTIFS('Recommendations'!D:D,"Could",'Recommendations'!L:L,"=Resolved")</f>
        <v>0</v>
      </c>
      <c r="D67" s="42">
        <f>COUNTIFS('Recommendations'!D:D,"=Could",'Recommendations'!L:L,"=Testing")</f>
        <v>0</v>
      </c>
      <c r="E67" s="42">
        <f>COUNTIFS('Recommendations'!D:D,"=Could",'Recommendations'!L:L,"=Outstanding")</f>
        <v>0</v>
      </c>
      <c r="F67" s="42">
        <f>SUM(C67:E67)</f>
        <v>0</v>
      </c>
    </row>
    <row r="68" spans="2:6" x14ac:dyDescent="0.35">
      <c r="B68" s="41" t="s">
        <v>124</v>
      </c>
      <c r="C68" s="42">
        <f>COUNTIFS('Recommendations'!D:D,"Won't",'Recommendations'!L:L,"=Resolved")</f>
        <v>0</v>
      </c>
      <c r="D68" s="42">
        <f>COUNTIFS('Recommendations'!D:D,"=Won't",'Recommendations'!L:L,"=Testing")</f>
        <v>0</v>
      </c>
      <c r="E68" s="42">
        <f>COUNTIFS('Recommendations'!D:D,"=Won't",'Recommendations'!L:L,"=Outstanding")</f>
        <v>0</v>
      </c>
      <c r="F68" s="42">
        <f>SUM(C68:E68)</f>
        <v>0</v>
      </c>
    </row>
    <row r="69" spans="2:6" x14ac:dyDescent="0.35">
      <c r="B69" s="41" t="s">
        <v>16</v>
      </c>
      <c r="C69" s="42">
        <f>COUNTIFS('Recommendations'!D:D,"Unassigned",'Recommendations'!L:L,"=Resolved")</f>
        <v>0</v>
      </c>
      <c r="D69" s="42">
        <f>COUNTIFS('Recommendations'!D:D,"=Unassigned",'Recommendations'!L:L,"=Testing")</f>
        <v>0</v>
      </c>
      <c r="E69" s="42">
        <f>COUNTIFS('Recommendations'!D:D,"=Unassigned",'Recommendations'!L:L,"=Outstanding")</f>
        <v>3</v>
      </c>
      <c r="F69" s="42">
        <f>SUM(C69:E69)</f>
        <v>3</v>
      </c>
    </row>
    <row r="71" spans="2:6" x14ac:dyDescent="0.35">
      <c r="B71" s="51" t="s">
        <v>112</v>
      </c>
    </row>
    <row r="72" spans="2:6" x14ac:dyDescent="0.35">
      <c r="B72" s="52" t="s">
        <v>3</v>
      </c>
      <c r="C72" s="52" t="s">
        <v>107</v>
      </c>
      <c r="D72" s="52" t="s">
        <v>108</v>
      </c>
      <c r="E72" s="52" t="s">
        <v>109</v>
      </c>
      <c r="F72" s="52" t="s">
        <v>19</v>
      </c>
    </row>
    <row r="73" spans="2:6" x14ac:dyDescent="0.35">
      <c r="B73" s="41" t="s">
        <v>121</v>
      </c>
      <c r="C73" s="43">
        <f>IF(F65&gt;0, C65/F65, 0)</f>
        <v>0</v>
      </c>
      <c r="D73" s="43">
        <f>IF(F65&gt;0, D65/F65, 0)</f>
        <v>0</v>
      </c>
      <c r="E73" s="43">
        <f>IF(F65&gt;0, E65/F65, 0)</f>
        <v>0</v>
      </c>
      <c r="F73" s="44" t="s">
        <v>19</v>
      </c>
    </row>
    <row r="74" spans="2:6" x14ac:dyDescent="0.35">
      <c r="B74" s="41" t="s">
        <v>122</v>
      </c>
      <c r="C74" s="43">
        <f>IF(F66&gt;0, C66/F66, 0)</f>
        <v>0</v>
      </c>
      <c r="D74" s="43">
        <f>IF(F66&gt;0, D66/F66, 0)</f>
        <v>0</v>
      </c>
      <c r="E74" s="43">
        <f>IF(F66&gt;0, E66/F66, 0)</f>
        <v>0</v>
      </c>
      <c r="F74" s="44" t="s">
        <v>19</v>
      </c>
    </row>
    <row r="75" spans="2:6" x14ac:dyDescent="0.35">
      <c r="B75" s="41" t="s">
        <v>123</v>
      </c>
      <c r="C75" s="43">
        <f>IF(F67&gt;0, C67/F67, 0)</f>
        <v>0</v>
      </c>
      <c r="D75" s="43">
        <f>IF(F67&gt;0, D67/F67, 0)</f>
        <v>0</v>
      </c>
      <c r="E75" s="43">
        <f>IF(F67&gt;0, E67/F67, 0)</f>
        <v>0</v>
      </c>
      <c r="F75" s="44" t="s">
        <v>19</v>
      </c>
    </row>
    <row r="76" spans="2:6" x14ac:dyDescent="0.35">
      <c r="B76" s="41" t="s">
        <v>124</v>
      </c>
      <c r="C76" s="43">
        <f>IF(F68&gt;0, C68/F68, 0)</f>
        <v>0</v>
      </c>
      <c r="D76" s="43">
        <f>IF(F68&gt;0, D68/F68, 0)</f>
        <v>0</v>
      </c>
      <c r="E76" s="43">
        <f>IF(F68&gt;0, E68/F68, 0)</f>
        <v>0</v>
      </c>
      <c r="F76" s="44" t="s">
        <v>19</v>
      </c>
    </row>
    <row r="77" spans="2:6" x14ac:dyDescent="0.35">
      <c r="B77" s="41" t="s">
        <v>16</v>
      </c>
      <c r="C77" s="43">
        <f>IF(F69&gt;0, C69/F69, 0)</f>
        <v>0</v>
      </c>
      <c r="D77" s="43">
        <f>IF(F69&gt;0, D69/F69, 0)</f>
        <v>0</v>
      </c>
      <c r="E77" s="43">
        <f>IF(F69&gt;0, E69/F69, 0)</f>
        <v>1</v>
      </c>
      <c r="F77" s="44" t="s">
        <v>19</v>
      </c>
    </row>
    <row r="82" spans="2:6" ht="18.5" x14ac:dyDescent="0.45">
      <c r="B82" s="37" t="s">
        <v>125</v>
      </c>
    </row>
    <row r="84" spans="2:6" x14ac:dyDescent="0.35">
      <c r="B84" s="51" t="s">
        <v>106</v>
      </c>
    </row>
    <row r="85" spans="2:6" x14ac:dyDescent="0.35">
      <c r="B85" s="39" t="s">
        <v>126</v>
      </c>
      <c r="C85" s="39" t="s">
        <v>107</v>
      </c>
      <c r="D85" s="39" t="s">
        <v>108</v>
      </c>
      <c r="E85" s="39" t="s">
        <v>109</v>
      </c>
      <c r="F85" s="39" t="s">
        <v>110</v>
      </c>
    </row>
    <row r="86" spans="2:6" x14ac:dyDescent="0.35">
      <c r="B86" s="41" t="s">
        <v>127</v>
      </c>
      <c r="C86" s="42">
        <f>COUNTIFS('Recommendations'!E:E,"Low",'Recommendations'!L:L,"=Resolved")</f>
        <v>0</v>
      </c>
      <c r="D86" s="42">
        <f>COUNTIFS('Recommendations'!E:E,"=Low",'Recommendations'!L:L,"=Testing")</f>
        <v>0</v>
      </c>
      <c r="E86" s="42">
        <f>COUNTIFS('Recommendations'!E:E,"=Low",'Recommendations'!L:L,"=Outstanding")</f>
        <v>0</v>
      </c>
      <c r="F86" s="42">
        <f>SUM(C86:E86)</f>
        <v>0</v>
      </c>
    </row>
    <row r="87" spans="2:6" x14ac:dyDescent="0.35">
      <c r="B87" s="41" t="s">
        <v>128</v>
      </c>
      <c r="C87" s="42">
        <f>COUNTIFS('Recommendations'!E:E,"Medium",'Recommendations'!L:L,"=Resolved")</f>
        <v>0</v>
      </c>
      <c r="D87" s="42">
        <f>COUNTIFS('Recommendations'!E:E,"=Medium",'Recommendations'!L:L,"=Testing")</f>
        <v>0</v>
      </c>
      <c r="E87" s="42">
        <f>COUNTIFS('Recommendations'!E:E,"=Medium",'Recommendations'!L:L,"=Outstanding")</f>
        <v>0</v>
      </c>
      <c r="F87" s="42">
        <f>SUM(C87:E87)</f>
        <v>0</v>
      </c>
    </row>
    <row r="88" spans="2:6" x14ac:dyDescent="0.35">
      <c r="B88" s="41" t="s">
        <v>129</v>
      </c>
      <c r="C88" s="42">
        <f>COUNTIFS('Recommendations'!E:E,"High",'Recommendations'!L:L,"=Resolved")</f>
        <v>0</v>
      </c>
      <c r="D88" s="42">
        <f>COUNTIFS('Recommendations'!E:E,"=High",'Recommendations'!L:L,"=Testing")</f>
        <v>0</v>
      </c>
      <c r="E88" s="42">
        <f>COUNTIFS('Recommendations'!E:E,"=High",'Recommendations'!L:L,"=Outstanding")</f>
        <v>0</v>
      </c>
      <c r="F88" s="42">
        <f>SUM(C88:E88)</f>
        <v>0</v>
      </c>
    </row>
    <row r="89" spans="2:6" x14ac:dyDescent="0.35">
      <c r="B89" s="41" t="s">
        <v>17</v>
      </c>
      <c r="C89" s="42">
        <f>COUNTIFS('Recommendations'!E:E,"Unassessed",'Recommendations'!L:L,"=Resolved")</f>
        <v>0</v>
      </c>
      <c r="D89" s="42">
        <f>COUNTIFS('Recommendations'!E:E,"=Unassessed",'Recommendations'!L:L,"=Testing")</f>
        <v>0</v>
      </c>
      <c r="E89" s="42">
        <f>COUNTIFS('Recommendations'!E:E,"=Unassessed",'Recommendations'!L:L,"=Outstanding")</f>
        <v>3</v>
      </c>
      <c r="F89" s="42">
        <f>SUM(C89:E89)</f>
        <v>3</v>
      </c>
    </row>
    <row r="91" spans="2:6" x14ac:dyDescent="0.35">
      <c r="B91" s="51" t="s">
        <v>112</v>
      </c>
    </row>
    <row r="92" spans="2:6" x14ac:dyDescent="0.35">
      <c r="B92" s="52" t="s">
        <v>126</v>
      </c>
      <c r="C92" s="52" t="s">
        <v>107</v>
      </c>
      <c r="D92" s="52" t="s">
        <v>108</v>
      </c>
      <c r="E92" s="52" t="s">
        <v>109</v>
      </c>
      <c r="F92" s="52" t="s">
        <v>19</v>
      </c>
    </row>
    <row r="93" spans="2:6" x14ac:dyDescent="0.35">
      <c r="B93" s="41" t="s">
        <v>127</v>
      </c>
      <c r="C93" s="43">
        <f>IF(F86&gt;0, C86/F86, 0)</f>
        <v>0</v>
      </c>
      <c r="D93" s="43">
        <f>IF(F86&gt;0, D86/F86, 0)</f>
        <v>0</v>
      </c>
      <c r="E93" s="43">
        <f>IF(F86&gt;0, E86/F86, 0)</f>
        <v>0</v>
      </c>
      <c r="F93" s="44" t="s">
        <v>19</v>
      </c>
    </row>
    <row r="94" spans="2:6" x14ac:dyDescent="0.35">
      <c r="B94" s="41" t="s">
        <v>128</v>
      </c>
      <c r="C94" s="43">
        <f>IF(F87&gt;0, C87/F87, 0)</f>
        <v>0</v>
      </c>
      <c r="D94" s="43">
        <f>IF(F87&gt;0, D87/F87, 0)</f>
        <v>0</v>
      </c>
      <c r="E94" s="43">
        <f>IF(F87&gt;0, E87/F87, 0)</f>
        <v>0</v>
      </c>
      <c r="F94" s="44" t="s">
        <v>19</v>
      </c>
    </row>
    <row r="95" spans="2:6" x14ac:dyDescent="0.35">
      <c r="B95" s="41" t="s">
        <v>129</v>
      </c>
      <c r="C95" s="43">
        <f>IF(F88&gt;0, C88/F88, 0)</f>
        <v>0</v>
      </c>
      <c r="D95" s="43">
        <f>IF(F88&gt;0, D88/F88, 0)</f>
        <v>0</v>
      </c>
      <c r="E95" s="43">
        <f>IF(F88&gt;0, E88/F88, 0)</f>
        <v>0</v>
      </c>
      <c r="F95" s="44" t="s">
        <v>19</v>
      </c>
    </row>
    <row r="96" spans="2:6" x14ac:dyDescent="0.35">
      <c r="B96" s="41" t="s">
        <v>17</v>
      </c>
      <c r="C96" s="43">
        <f>IF(F89&gt;0, C89/F89, 0)</f>
        <v>0</v>
      </c>
      <c r="D96" s="43">
        <f>IF(F89&gt;0, D89/F89, 0)</f>
        <v>0</v>
      </c>
      <c r="E96" s="43">
        <f>IF(F89&gt;0, E89/F89, 0)</f>
        <v>1</v>
      </c>
      <c r="F96" s="44" t="s">
        <v>19</v>
      </c>
    </row>
    <row r="101" spans="2:15" ht="18.5" x14ac:dyDescent="0.45">
      <c r="B101" s="37" t="s">
        <v>130</v>
      </c>
      <c r="J101" s="37" t="s">
        <v>131</v>
      </c>
    </row>
    <row r="102" spans="2:15" x14ac:dyDescent="0.35">
      <c r="B102" s="39" t="s">
        <v>5</v>
      </c>
      <c r="C102" s="84" t="s">
        <v>132</v>
      </c>
      <c r="D102" s="84"/>
      <c r="E102" s="39" t="s">
        <v>99</v>
      </c>
      <c r="F102" s="39" t="s">
        <v>107</v>
      </c>
      <c r="G102" s="84" t="s">
        <v>133</v>
      </c>
      <c r="H102" s="84"/>
      <c r="J102" s="39" t="s">
        <v>5</v>
      </c>
      <c r="K102" s="39" t="s">
        <v>121</v>
      </c>
      <c r="L102" s="39" t="s">
        <v>122</v>
      </c>
      <c r="M102" s="39" t="s">
        <v>123</v>
      </c>
      <c r="N102" s="39" t="s">
        <v>124</v>
      </c>
      <c r="O102" s="39" t="s">
        <v>16</v>
      </c>
    </row>
    <row r="103" spans="2:15" x14ac:dyDescent="0.35">
      <c r="B103" s="45" t="s">
        <v>114</v>
      </c>
      <c r="C103" s="85" t="s">
        <v>19</v>
      </c>
      <c r="D103" s="85"/>
      <c r="E103" s="42">
        <f>COUNTIF('Recommendations'!F:F,"Phase1")-COUNTIFS('Recommendations'!F:F,"Phase1",'Recommendations'!G:G,"Risk Accepted")-COUNTIFS('Recommendations'!F:F,"Phase1",'Recommendations'!G:G,"N/A")</f>
        <v>0</v>
      </c>
      <c r="F103" s="42">
        <f>COUNTIFS('Recommendations'!F:F,"Phase1",'Recommendations'!L:L,"Resolved")</f>
        <v>0</v>
      </c>
      <c r="G103" s="86">
        <f t="shared" ref="G103:G108" si="4">IF(E103&gt;0,F103/E103,0)</f>
        <v>0</v>
      </c>
      <c r="H103" s="86"/>
      <c r="J103" s="45" t="s">
        <v>114</v>
      </c>
      <c r="K103" s="42">
        <f>COUNTIFS('Recommendations'!F:F,"Phase1",'Recommendations'!D:D,"Must")</f>
        <v>0</v>
      </c>
      <c r="L103" s="42">
        <f>COUNTIFS('Recommendations'!F:F,"Phase1",'Recommendations'!D:D,"Should")</f>
        <v>0</v>
      </c>
      <c r="M103" s="42">
        <f>COUNTIFS('Recommendations'!F:F,"Phase1",'Recommendations'!D:D,"Could")</f>
        <v>0</v>
      </c>
      <c r="N103" s="42">
        <f>COUNTIFS('Recommendations'!F:F,"Phase1",'Recommendations'!D:D,"Won't")</f>
        <v>0</v>
      </c>
      <c r="O103" s="42">
        <f>COUNTIFS('Recommendations'!F:F,"Phase1",'Recommendations'!D:D,"Unassigned")</f>
        <v>0</v>
      </c>
    </row>
    <row r="104" spans="2:15" x14ac:dyDescent="0.35">
      <c r="B104" s="45" t="s">
        <v>115</v>
      </c>
      <c r="C104" s="85" t="s">
        <v>19</v>
      </c>
      <c r="D104" s="85"/>
      <c r="E104" s="42">
        <f>COUNTIF('Recommendations'!F:F,"Phase2")-COUNTIFS('Recommendations'!F:F,"Phase2",'Recommendations'!G:G,"Risk Accepted")-COUNTIFS('Recommendations'!F:F,"Phase2",'Recommendations'!G:G,"N/A")</f>
        <v>0</v>
      </c>
      <c r="F104" s="42">
        <f>COUNTIFS('Recommendations'!F:F,"Phase2",'Recommendations'!L:L,"Resolved")</f>
        <v>0</v>
      </c>
      <c r="G104" s="86">
        <f t="shared" si="4"/>
        <v>0</v>
      </c>
      <c r="H104" s="86"/>
      <c r="J104" s="45" t="s">
        <v>115</v>
      </c>
      <c r="K104" s="42">
        <f>COUNTIFS('Recommendations'!F:F,"Phase2",'Recommendations'!D:D,"Must")</f>
        <v>0</v>
      </c>
      <c r="L104" s="42">
        <f>COUNTIFS('Recommendations'!F:F,"Phase2",'Recommendations'!D:D,"Should")</f>
        <v>0</v>
      </c>
      <c r="M104" s="42">
        <f>COUNTIFS('Recommendations'!F:F,"Phase2",'Recommendations'!D:D,"Could")</f>
        <v>0</v>
      </c>
      <c r="N104" s="42">
        <f>COUNTIFS('Recommendations'!F:F,"Phase2",'Recommendations'!D:D,"Won't")</f>
        <v>0</v>
      </c>
      <c r="O104" s="42">
        <f>COUNTIFS('Recommendations'!F:F,"Phase2",'Recommendations'!D:D,"Unassigned")</f>
        <v>0</v>
      </c>
    </row>
    <row r="105" spans="2:15" x14ac:dyDescent="0.35">
      <c r="B105" s="45" t="s">
        <v>116</v>
      </c>
      <c r="C105" s="85" t="s">
        <v>19</v>
      </c>
      <c r="D105" s="85"/>
      <c r="E105" s="42">
        <f>COUNTIF('Recommendations'!F:F,"Phase3")-COUNTIFS('Recommendations'!F:F,"Phase3",'Recommendations'!G:G,"Risk Accepted")-COUNTIFS('Recommendations'!F:F,"Phase3",'Recommendations'!G:G,"N/A")</f>
        <v>0</v>
      </c>
      <c r="F105" s="42">
        <f>COUNTIFS('Recommendations'!F:F,"Phase3",'Recommendations'!L:L,"Resolved")</f>
        <v>0</v>
      </c>
      <c r="G105" s="86">
        <f t="shared" si="4"/>
        <v>0</v>
      </c>
      <c r="H105" s="86"/>
      <c r="J105" s="45" t="s">
        <v>116</v>
      </c>
      <c r="K105" s="42">
        <f>COUNTIFS('Recommendations'!F:F,"Phase3",'Recommendations'!D:D,"Must")</f>
        <v>0</v>
      </c>
      <c r="L105" s="42">
        <f>COUNTIFS('Recommendations'!F:F,"Phase3",'Recommendations'!D:D,"Should")</f>
        <v>0</v>
      </c>
      <c r="M105" s="42">
        <f>COUNTIFS('Recommendations'!F:F,"Phase3",'Recommendations'!D:D,"Could")</f>
        <v>0</v>
      </c>
      <c r="N105" s="42">
        <f>COUNTIFS('Recommendations'!F:F,"Phase3",'Recommendations'!D:D,"Won't")</f>
        <v>0</v>
      </c>
      <c r="O105" s="42">
        <f>COUNTIFS('Recommendations'!F:F,"Phase3",'Recommendations'!D:D,"Unassigned")</f>
        <v>0</v>
      </c>
    </row>
    <row r="106" spans="2:15" x14ac:dyDescent="0.35">
      <c r="B106" s="45" t="s">
        <v>117</v>
      </c>
      <c r="C106" s="85" t="s">
        <v>19</v>
      </c>
      <c r="D106" s="85"/>
      <c r="E106" s="42">
        <f>COUNTIF('Recommendations'!F:F,"Phase4")-COUNTIFS('Recommendations'!F:F,"Phase4",'Recommendations'!G:G,"Risk Accepted")-COUNTIFS('Recommendations'!F:F,"Phase4",'Recommendations'!G:G,"N/A")</f>
        <v>0</v>
      </c>
      <c r="F106" s="42">
        <f>COUNTIFS('Recommendations'!F:F,"Phase4",'Recommendations'!L:L,"Resolved")</f>
        <v>0</v>
      </c>
      <c r="G106" s="86">
        <f t="shared" si="4"/>
        <v>0</v>
      </c>
      <c r="H106" s="86"/>
      <c r="J106" s="45" t="s">
        <v>117</v>
      </c>
      <c r="K106" s="42">
        <f>COUNTIFS('Recommendations'!F:F,"Phase4",'Recommendations'!D:D,"Must")</f>
        <v>0</v>
      </c>
      <c r="L106" s="42">
        <f>COUNTIFS('Recommendations'!F:F,"Phase4",'Recommendations'!D:D,"Should")</f>
        <v>0</v>
      </c>
      <c r="M106" s="42">
        <f>COUNTIFS('Recommendations'!F:F,"Phase4",'Recommendations'!D:D,"Could")</f>
        <v>0</v>
      </c>
      <c r="N106" s="42">
        <f>COUNTIFS('Recommendations'!F:F,"Phase4",'Recommendations'!D:D,"Won't")</f>
        <v>0</v>
      </c>
      <c r="O106" s="42">
        <f>COUNTIFS('Recommendations'!F:F,"Phase4",'Recommendations'!D:D,"Unassigned")</f>
        <v>0</v>
      </c>
    </row>
    <row r="107" spans="2:15" x14ac:dyDescent="0.35">
      <c r="B107" s="45" t="s">
        <v>118</v>
      </c>
      <c r="C107" s="85" t="s">
        <v>19</v>
      </c>
      <c r="D107" s="85"/>
      <c r="E107" s="42">
        <f>COUNTIF('Recommendations'!F:F,"Phase5")-COUNTIFS('Recommendations'!F:F,"Phase5",'Recommendations'!G:G,"Risk Accepted")-COUNTIFS('Recommendations'!F:F,"Phase5",'Recommendations'!G:G,"N/A")</f>
        <v>0</v>
      </c>
      <c r="F107" s="42">
        <f>COUNTIFS('Recommendations'!F:F,"Phase5",'Recommendations'!L:L,"Resolved")</f>
        <v>0</v>
      </c>
      <c r="G107" s="86">
        <f t="shared" si="4"/>
        <v>0</v>
      </c>
      <c r="H107" s="86"/>
      <c r="J107" s="45" t="s">
        <v>118</v>
      </c>
      <c r="K107" s="42">
        <f>COUNTIFS('Recommendations'!F:F,"Phase5",'Recommendations'!D:D,"Must")</f>
        <v>0</v>
      </c>
      <c r="L107" s="42">
        <f>COUNTIFS('Recommendations'!F:F,"Phase5",'Recommendations'!D:D,"Should")</f>
        <v>0</v>
      </c>
      <c r="M107" s="42">
        <f>COUNTIFS('Recommendations'!F:F,"Phase5",'Recommendations'!D:D,"Could")</f>
        <v>0</v>
      </c>
      <c r="N107" s="42">
        <f>COUNTIFS('Recommendations'!F:F,"Phase5",'Recommendations'!D:D,"Won't")</f>
        <v>0</v>
      </c>
      <c r="O107" s="42">
        <f>COUNTIFS('Recommendations'!F:F,"Phase5",'Recommendations'!D:D,"Unassigned")</f>
        <v>0</v>
      </c>
    </row>
    <row r="108" spans="2:15" x14ac:dyDescent="0.35">
      <c r="B108" s="45" t="s">
        <v>18</v>
      </c>
      <c r="C108" s="85" t="s">
        <v>19</v>
      </c>
      <c r="D108" s="85"/>
      <c r="E108" s="42">
        <f>COUNTIF('Recommendations'!F:F,"Pending")-COUNTIFS('Recommendations'!F:F,"Pending",'Recommendations'!G:G,"Risk Accepted")-COUNTIFS('Recommendations'!F:F,"Pending",'Recommendations'!G:G,"N/A")</f>
        <v>3</v>
      </c>
      <c r="F108" s="42">
        <f>COUNTIFS('Recommendations'!F:F,"Pending",'Recommendations'!L:L,"Resolved")</f>
        <v>0</v>
      </c>
      <c r="G108" s="86">
        <f t="shared" si="4"/>
        <v>0</v>
      </c>
      <c r="H108" s="86"/>
      <c r="J108" s="45" t="s">
        <v>18</v>
      </c>
      <c r="K108" s="42">
        <f>COUNTIFS('Recommendations'!F:F,"Pending",'Recommendations'!D:D,"Must")</f>
        <v>0</v>
      </c>
      <c r="L108" s="42">
        <f>COUNTIFS('Recommendations'!F:F,"Pending",'Recommendations'!D:D,"Should")</f>
        <v>0</v>
      </c>
      <c r="M108" s="42">
        <f>COUNTIFS('Recommendations'!F:F,"Pending",'Recommendations'!D:D,"Could")</f>
        <v>0</v>
      </c>
      <c r="N108" s="42">
        <f>COUNTIFS('Recommendations'!F:F,"Pending",'Recommendations'!D:D,"Won't")</f>
        <v>0</v>
      </c>
      <c r="O108" s="42">
        <f>COUNTIFS('Recommendations'!F:F,"Pending",'Recommendations'!D:D,"Unassigned")</f>
        <v>3</v>
      </c>
    </row>
    <row r="115" spans="2:24" ht="21" x14ac:dyDescent="0.5">
      <c r="B115" s="37" t="s">
        <v>134</v>
      </c>
      <c r="P115" s="54" t="s">
        <v>135</v>
      </c>
    </row>
    <row r="117" spans="2:24" ht="60" customHeight="1" x14ac:dyDescent="0.35">
      <c r="B117" s="87" t="s">
        <v>136</v>
      </c>
      <c r="C117" s="80"/>
      <c r="D117" s="80"/>
      <c r="E117" s="80"/>
      <c r="F117" s="80"/>
      <c r="P117" s="87" t="s">
        <v>137</v>
      </c>
      <c r="Q117" s="80"/>
      <c r="R117" s="80"/>
      <c r="S117" s="80"/>
      <c r="T117" s="80"/>
      <c r="U117" s="80"/>
      <c r="V117" s="80"/>
      <c r="W117" s="80"/>
    </row>
    <row r="119" spans="2:24" ht="30" customHeight="1" x14ac:dyDescent="0.35">
      <c r="P119" s="55" t="s">
        <v>138</v>
      </c>
      <c r="Q119" s="56">
        <f>C16</f>
        <v>0</v>
      </c>
      <c r="R119" s="57"/>
      <c r="S119" s="56">
        <f>C65</f>
        <v>0</v>
      </c>
      <c r="T119" s="57"/>
      <c r="U119" s="56">
        <f>C66</f>
        <v>0</v>
      </c>
      <c r="V119" s="57"/>
      <c r="W119" s="56">
        <f>C67</f>
        <v>0</v>
      </c>
      <c r="X119" s="57"/>
    </row>
    <row r="120" spans="2:24" ht="35" customHeight="1" x14ac:dyDescent="0.35">
      <c r="P120" s="58" t="s">
        <v>139</v>
      </c>
      <c r="Q120" s="58" t="s">
        <v>140</v>
      </c>
      <c r="R120" s="58" t="s">
        <v>141</v>
      </c>
      <c r="S120" s="58" t="s">
        <v>142</v>
      </c>
      <c r="T120" s="58" t="s">
        <v>143</v>
      </c>
      <c r="U120" s="58" t="s">
        <v>144</v>
      </c>
      <c r="V120" s="58" t="s">
        <v>145</v>
      </c>
      <c r="W120" s="58" t="s">
        <v>146</v>
      </c>
      <c r="X120" s="58" t="s">
        <v>147</v>
      </c>
    </row>
    <row r="121" spans="2:24" x14ac:dyDescent="0.35">
      <c r="O121" s="59" t="s">
        <v>148</v>
      </c>
      <c r="P121" s="60" t="s">
        <v>149</v>
      </c>
      <c r="Q121" s="61">
        <v>0</v>
      </c>
      <c r="R121" s="62">
        <f>IF(Dashboard!F16&gt;0, Q121/Dashboard!F16, "")</f>
        <v>0</v>
      </c>
      <c r="S121" s="61">
        <v>0</v>
      </c>
      <c r="T121" s="62" t="str">
        <f>IF(AND(NOT(ISBLANK(S121)),Dashboard!F65&gt;0), S121/Dashboard!F65, "")</f>
        <v/>
      </c>
      <c r="U121" s="61">
        <v>0</v>
      </c>
      <c r="V121" s="62" t="str">
        <f>IF(AND(NOT(ISBLANK(U121)),Dashboard!F66&gt;0), U121/Dashboard!F66, "")</f>
        <v/>
      </c>
      <c r="W121" s="61">
        <v>0</v>
      </c>
      <c r="X121" s="62" t="str">
        <f>IF(AND(NOT(ISBLANK(W121)),Dashboard!F67&gt;0), W121/Dashboard!F67, "")</f>
        <v/>
      </c>
    </row>
    <row r="122" spans="2:24" x14ac:dyDescent="0.35">
      <c r="P122" s="53"/>
      <c r="Q122" s="40"/>
      <c r="R122" s="43" t="str">
        <f>IF(AND(NOT(ISBLANK(Q122)),Dashboard!F16&gt;0), Q122/Dashboard!F16, "")</f>
        <v/>
      </c>
      <c r="S122" s="40"/>
      <c r="T122" s="43" t="str">
        <f>IF(AND(NOT(ISBLANK(S122)),Dashboard!F65&gt;0), S122/Dashboard!F65, "")</f>
        <v/>
      </c>
      <c r="U122" s="40"/>
      <c r="V122" s="43" t="str">
        <f>IF(AND(NOT(ISBLANK(U122)),Dashboard!F66&gt;0), U122/Dashboard!F66, "")</f>
        <v/>
      </c>
      <c r="W122" s="40"/>
      <c r="X122" s="43" t="str">
        <f>IF(AND(NOT(ISBLANK(W122)),Dashboard!F67&gt;0), W122/Dashboard!F67, "")</f>
        <v/>
      </c>
    </row>
    <row r="123" spans="2:24" x14ac:dyDescent="0.35">
      <c r="P123" s="53"/>
      <c r="Q123" s="40"/>
      <c r="R123" s="43" t="str">
        <f>IF(AND(NOT(ISBLANK(Q123)),Dashboard!F16&gt;0), Q123/Dashboard!F16, "")</f>
        <v/>
      </c>
      <c r="S123" s="40"/>
      <c r="T123" s="43" t="str">
        <f>IF(AND(NOT(ISBLANK(S123)),Dashboard!F65&gt;0), S123/Dashboard!F65, "")</f>
        <v/>
      </c>
      <c r="U123" s="40"/>
      <c r="V123" s="43" t="str">
        <f>IF(AND(NOT(ISBLANK(U123)),Dashboard!F66&gt;0), U123/Dashboard!F66, "")</f>
        <v/>
      </c>
      <c r="W123" s="40"/>
      <c r="X123" s="43" t="str">
        <f>IF(AND(NOT(ISBLANK(W123)),Dashboard!F67&gt;0), W123/Dashboard!F67, "")</f>
        <v/>
      </c>
    </row>
    <row r="124" spans="2:24" x14ac:dyDescent="0.35">
      <c r="P124" s="53"/>
      <c r="Q124" s="40"/>
      <c r="R124" s="43" t="str">
        <f>IF(AND(NOT(ISBLANK(Q124)),Dashboard!F16&gt;0), Q124/Dashboard!F16, "")</f>
        <v/>
      </c>
      <c r="S124" s="40"/>
      <c r="T124" s="43" t="str">
        <f>IF(AND(NOT(ISBLANK(S124)),Dashboard!F65&gt;0), S124/Dashboard!F65, "")</f>
        <v/>
      </c>
      <c r="U124" s="40"/>
      <c r="V124" s="43" t="str">
        <f>IF(AND(NOT(ISBLANK(U124)),Dashboard!F66&gt;0), U124/Dashboard!F66, "")</f>
        <v/>
      </c>
      <c r="W124" s="40"/>
      <c r="X124" s="43" t="str">
        <f>IF(AND(NOT(ISBLANK(W124)),Dashboard!F67&gt;0), W124/Dashboard!F67, "")</f>
        <v/>
      </c>
    </row>
    <row r="125" spans="2:24" x14ac:dyDescent="0.35">
      <c r="P125" s="53"/>
      <c r="Q125" s="40"/>
      <c r="R125" s="43" t="str">
        <f>IF(AND(NOT(ISBLANK(Q125)),Dashboard!F16&gt;0), Q125/Dashboard!F16, "")</f>
        <v/>
      </c>
      <c r="S125" s="40"/>
      <c r="T125" s="43" t="str">
        <f>IF(AND(NOT(ISBLANK(S125)),Dashboard!F65&gt;0), S125/Dashboard!F65, "")</f>
        <v/>
      </c>
      <c r="U125" s="40"/>
      <c r="V125" s="43" t="str">
        <f>IF(AND(NOT(ISBLANK(U125)),Dashboard!F66&gt;0), U125/Dashboard!F66, "")</f>
        <v/>
      </c>
      <c r="W125" s="40"/>
      <c r="X125" s="43" t="str">
        <f>IF(AND(NOT(ISBLANK(W125)),Dashboard!F67&gt;0), W125/Dashboard!F67, "")</f>
        <v/>
      </c>
    </row>
    <row r="126" spans="2:24" x14ac:dyDescent="0.35">
      <c r="P126" s="53"/>
      <c r="Q126" s="40"/>
      <c r="R126" s="43" t="str">
        <f>IF(AND(NOT(ISBLANK(Q126)),Dashboard!F16&gt;0), Q126/Dashboard!F16, "")</f>
        <v/>
      </c>
      <c r="S126" s="40"/>
      <c r="T126" s="43" t="str">
        <f>IF(AND(NOT(ISBLANK(S126)),Dashboard!F65&gt;0), S126/Dashboard!F65, "")</f>
        <v/>
      </c>
      <c r="U126" s="40"/>
      <c r="V126" s="43" t="str">
        <f>IF(AND(NOT(ISBLANK(U126)),Dashboard!F66&gt;0), U126/Dashboard!F66, "")</f>
        <v/>
      </c>
      <c r="W126" s="40"/>
      <c r="X126" s="43" t="str">
        <f>IF(AND(NOT(ISBLANK(W126)),Dashboard!F67&gt;0), W126/Dashboard!F67, "")</f>
        <v/>
      </c>
    </row>
    <row r="127" spans="2:24" x14ac:dyDescent="0.35">
      <c r="P127" s="53"/>
      <c r="Q127" s="40"/>
      <c r="R127" s="43" t="str">
        <f>IF(AND(NOT(ISBLANK(Q127)),Dashboard!F16&gt;0), Q127/Dashboard!F16, "")</f>
        <v/>
      </c>
      <c r="S127" s="40"/>
      <c r="T127" s="43" t="str">
        <f>IF(AND(NOT(ISBLANK(S127)),Dashboard!F65&gt;0), S127/Dashboard!F65, "")</f>
        <v/>
      </c>
      <c r="U127" s="40"/>
      <c r="V127" s="43" t="str">
        <f>IF(AND(NOT(ISBLANK(U127)),Dashboard!F66&gt;0), U127/Dashboard!F66, "")</f>
        <v/>
      </c>
      <c r="W127" s="40"/>
      <c r="X127" s="43" t="str">
        <f>IF(AND(NOT(ISBLANK(W127)),Dashboard!F67&gt;0), W127/Dashboard!F67, "")</f>
        <v/>
      </c>
    </row>
    <row r="128" spans="2:24" x14ac:dyDescent="0.35">
      <c r="P128" s="53"/>
      <c r="Q128" s="40"/>
      <c r="R128" s="43" t="str">
        <f>IF(AND(NOT(ISBLANK(Q128)),Dashboard!F16&gt;0), Q128/Dashboard!F16, "")</f>
        <v/>
      </c>
      <c r="S128" s="40"/>
      <c r="T128" s="43" t="str">
        <f>IF(AND(NOT(ISBLANK(S128)),Dashboard!F65&gt;0), S128/Dashboard!F65, "")</f>
        <v/>
      </c>
      <c r="U128" s="40"/>
      <c r="V128" s="43" t="str">
        <f>IF(AND(NOT(ISBLANK(U128)),Dashboard!F66&gt;0), U128/Dashboard!F66, "")</f>
        <v/>
      </c>
      <c r="W128" s="40"/>
      <c r="X128" s="43" t="str">
        <f>IF(AND(NOT(ISBLANK(W128)),Dashboard!F67&gt;0), W128/Dashboard!F67, "")</f>
        <v/>
      </c>
    </row>
    <row r="129" spans="16:24" x14ac:dyDescent="0.35">
      <c r="P129" s="53"/>
      <c r="Q129" s="40"/>
      <c r="R129" s="43" t="str">
        <f>IF(AND(NOT(ISBLANK(Q129)),Dashboard!F16&gt;0), Q129/Dashboard!F16, "")</f>
        <v/>
      </c>
      <c r="S129" s="40"/>
      <c r="T129" s="43" t="str">
        <f>IF(AND(NOT(ISBLANK(S129)),Dashboard!F65&gt;0), S129/Dashboard!F65, "")</f>
        <v/>
      </c>
      <c r="U129" s="40"/>
      <c r="V129" s="43" t="str">
        <f>IF(AND(NOT(ISBLANK(U129)),Dashboard!F66&gt;0), U129/Dashboard!F66, "")</f>
        <v/>
      </c>
      <c r="W129" s="40"/>
      <c r="X129" s="43" t="str">
        <f>IF(AND(NOT(ISBLANK(W129)),Dashboard!F67&gt;0), W129/Dashboard!F67, "")</f>
        <v/>
      </c>
    </row>
    <row r="130" spans="16:24" x14ac:dyDescent="0.35">
      <c r="P130" s="53"/>
      <c r="Q130" s="40"/>
      <c r="R130" s="43" t="str">
        <f>IF(AND(NOT(ISBLANK(Q130)),Dashboard!F16&gt;0), Q130/Dashboard!F16, "")</f>
        <v/>
      </c>
      <c r="S130" s="40"/>
      <c r="T130" s="43" t="str">
        <f>IF(AND(NOT(ISBLANK(S130)),Dashboard!F65&gt;0), S130/Dashboard!F65, "")</f>
        <v/>
      </c>
      <c r="U130" s="40"/>
      <c r="V130" s="43" t="str">
        <f>IF(AND(NOT(ISBLANK(U130)),Dashboard!F66&gt;0), U130/Dashboard!F66, "")</f>
        <v/>
      </c>
      <c r="W130" s="40"/>
      <c r="X130" s="43" t="str">
        <f>IF(AND(NOT(ISBLANK(W130)),Dashboard!F67&gt;0), W130/Dashboard!F67, "")</f>
        <v/>
      </c>
    </row>
    <row r="131" spans="16:24" x14ac:dyDescent="0.35">
      <c r="P131" s="53"/>
      <c r="Q131" s="40"/>
      <c r="R131" s="43" t="str">
        <f>IF(AND(NOT(ISBLANK(Q131)),Dashboard!F16&gt;0), Q131/Dashboard!F16, "")</f>
        <v/>
      </c>
      <c r="S131" s="40"/>
      <c r="T131" s="43" t="str">
        <f>IF(AND(NOT(ISBLANK(S131)),Dashboard!F65&gt;0), S131/Dashboard!F65, "")</f>
        <v/>
      </c>
      <c r="U131" s="40"/>
      <c r="V131" s="43" t="str">
        <f>IF(AND(NOT(ISBLANK(U131)),Dashboard!F66&gt;0), U131/Dashboard!F66, "")</f>
        <v/>
      </c>
      <c r="W131" s="40"/>
      <c r="X131" s="43" t="str">
        <f>IF(AND(NOT(ISBLANK(W131)),Dashboard!F67&gt;0), W131/Dashboard!F67, "")</f>
        <v/>
      </c>
    </row>
    <row r="132" spans="16:24" x14ac:dyDescent="0.35">
      <c r="P132" s="53"/>
      <c r="Q132" s="40"/>
      <c r="R132" s="43" t="str">
        <f>IF(AND(NOT(ISBLANK(Q132)),Dashboard!F16&gt;0), Q132/Dashboard!F16, "")</f>
        <v/>
      </c>
      <c r="S132" s="40"/>
      <c r="T132" s="43" t="str">
        <f>IF(AND(NOT(ISBLANK(S132)),Dashboard!F65&gt;0), S132/Dashboard!F65, "")</f>
        <v/>
      </c>
      <c r="U132" s="40"/>
      <c r="V132" s="43" t="str">
        <f>IF(AND(NOT(ISBLANK(U132)),Dashboard!F66&gt;0), U132/Dashboard!F66, "")</f>
        <v/>
      </c>
      <c r="W132" s="40"/>
      <c r="X132" s="43" t="str">
        <f>IF(AND(NOT(ISBLANK(W132)),Dashboard!F67&gt;0), W132/Dashboard!F67, "")</f>
        <v/>
      </c>
    </row>
    <row r="133" spans="16:24" x14ac:dyDescent="0.35">
      <c r="P133" s="53"/>
      <c r="Q133" s="40"/>
      <c r="R133" s="43" t="str">
        <f>IF(AND(NOT(ISBLANK(Q133)),Dashboard!F16&gt;0), Q133/Dashboard!F16, "")</f>
        <v/>
      </c>
      <c r="S133" s="40"/>
      <c r="T133" s="43" t="str">
        <f>IF(AND(NOT(ISBLANK(S133)),Dashboard!F65&gt;0), S133/Dashboard!F65, "")</f>
        <v/>
      </c>
      <c r="U133" s="40"/>
      <c r="V133" s="43" t="str">
        <f>IF(AND(NOT(ISBLANK(U133)),Dashboard!F66&gt;0), U133/Dashboard!F66, "")</f>
        <v/>
      </c>
      <c r="W133" s="40"/>
      <c r="X133" s="43" t="str">
        <f>IF(AND(NOT(ISBLANK(W133)),Dashboard!F67&gt;0), W133/Dashboard!F67, "")</f>
        <v/>
      </c>
    </row>
    <row r="134" spans="16:24" x14ac:dyDescent="0.35">
      <c r="P134" s="53"/>
      <c r="Q134" s="40"/>
      <c r="R134" s="43" t="str">
        <f>IF(AND(NOT(ISBLANK(Q134)),Dashboard!F16&gt;0), Q134/Dashboard!F16, "")</f>
        <v/>
      </c>
      <c r="S134" s="40"/>
      <c r="T134" s="43" t="str">
        <f>IF(AND(NOT(ISBLANK(S134)),Dashboard!F65&gt;0), S134/Dashboard!F65, "")</f>
        <v/>
      </c>
      <c r="U134" s="40"/>
      <c r="V134" s="43" t="str">
        <f>IF(AND(NOT(ISBLANK(U134)),Dashboard!F66&gt;0), U134/Dashboard!F66, "")</f>
        <v/>
      </c>
      <c r="W134" s="40"/>
      <c r="X134" s="43" t="str">
        <f>IF(AND(NOT(ISBLANK(W134)),Dashboard!F67&gt;0), W134/Dashboard!F67, "")</f>
        <v/>
      </c>
    </row>
    <row r="135" spans="16:24" x14ac:dyDescent="0.35">
      <c r="P135" s="53"/>
      <c r="Q135" s="40"/>
      <c r="R135" s="43" t="str">
        <f>IF(AND(NOT(ISBLANK(Q135)),Dashboard!F16&gt;0), Q135/Dashboard!F16, "")</f>
        <v/>
      </c>
      <c r="S135" s="40"/>
      <c r="T135" s="43" t="str">
        <f>IF(AND(NOT(ISBLANK(S135)),Dashboard!F65&gt;0), S135/Dashboard!F65, "")</f>
        <v/>
      </c>
      <c r="U135" s="40"/>
      <c r="V135" s="43" t="str">
        <f>IF(AND(NOT(ISBLANK(U135)),Dashboard!F66&gt;0), U135/Dashboard!F66, "")</f>
        <v/>
      </c>
      <c r="W135" s="40"/>
      <c r="X135" s="43" t="str">
        <f>IF(AND(NOT(ISBLANK(W135)),Dashboard!F67&gt;0), W135/Dashboard!F67, "")</f>
        <v/>
      </c>
    </row>
    <row r="136" spans="16:24" x14ac:dyDescent="0.35">
      <c r="P136" s="53"/>
      <c r="Q136" s="40"/>
      <c r="R136" s="43" t="str">
        <f>IF(AND(NOT(ISBLANK(Q136)),Dashboard!F16&gt;0), Q136/Dashboard!F16, "")</f>
        <v/>
      </c>
      <c r="S136" s="40"/>
      <c r="T136" s="43" t="str">
        <f>IF(AND(NOT(ISBLANK(S136)),Dashboard!F65&gt;0), S136/Dashboard!F65, "")</f>
        <v/>
      </c>
      <c r="U136" s="40"/>
      <c r="V136" s="43" t="str">
        <f>IF(AND(NOT(ISBLANK(U136)),Dashboard!F66&gt;0), U136/Dashboard!F66, "")</f>
        <v/>
      </c>
      <c r="W136" s="40"/>
      <c r="X136" s="43" t="str">
        <f>IF(AND(NOT(ISBLANK(W136)),Dashboard!F67&gt;0), W136/Dashboard!F67, "")</f>
        <v/>
      </c>
    </row>
    <row r="137" spans="16:24" x14ac:dyDescent="0.35">
      <c r="P137" s="53"/>
      <c r="Q137" s="40"/>
      <c r="R137" s="43" t="str">
        <f>IF(AND(NOT(ISBLANK(Q137)),Dashboard!F16&gt;0), Q137/Dashboard!F16, "")</f>
        <v/>
      </c>
      <c r="S137" s="40"/>
      <c r="T137" s="43" t="str">
        <f>IF(AND(NOT(ISBLANK(S137)),Dashboard!F65&gt;0), S137/Dashboard!F65, "")</f>
        <v/>
      </c>
      <c r="U137" s="40"/>
      <c r="V137" s="43" t="str">
        <f>IF(AND(NOT(ISBLANK(U137)),Dashboard!F66&gt;0), U137/Dashboard!F66, "")</f>
        <v/>
      </c>
      <c r="W137" s="40"/>
      <c r="X137" s="43" t="str">
        <f>IF(AND(NOT(ISBLANK(W137)),Dashboard!F67&gt;0), W137/Dashboard!F67, "")</f>
        <v/>
      </c>
    </row>
    <row r="138" spans="16:24" x14ac:dyDescent="0.35">
      <c r="P138" s="53"/>
      <c r="Q138" s="40"/>
      <c r="R138" s="43" t="str">
        <f>IF(AND(NOT(ISBLANK(Q138)),Dashboard!F16&gt;0), Q138/Dashboard!F16, "")</f>
        <v/>
      </c>
      <c r="S138" s="40"/>
      <c r="T138" s="43" t="str">
        <f>IF(AND(NOT(ISBLANK(S138)),Dashboard!F65&gt;0), S138/Dashboard!F65, "")</f>
        <v/>
      </c>
      <c r="U138" s="40"/>
      <c r="V138" s="43" t="str">
        <f>IF(AND(NOT(ISBLANK(U138)),Dashboard!F66&gt;0), U138/Dashboard!F66, "")</f>
        <v/>
      </c>
      <c r="W138" s="40"/>
      <c r="X138" s="43" t="str">
        <f>IF(AND(NOT(ISBLANK(W138)),Dashboard!F67&gt;0), W138/Dashboard!F67, "")</f>
        <v/>
      </c>
    </row>
    <row r="139" spans="16:24" x14ac:dyDescent="0.35">
      <c r="P139" s="53"/>
      <c r="Q139" s="40"/>
      <c r="R139" s="43" t="str">
        <f>IF(AND(NOT(ISBLANK(Q139)),Dashboard!F16&gt;0), Q139/Dashboard!F16, "")</f>
        <v/>
      </c>
      <c r="S139" s="40"/>
      <c r="T139" s="43" t="str">
        <f>IF(AND(NOT(ISBLANK(S139)),Dashboard!F65&gt;0), S139/Dashboard!F65, "")</f>
        <v/>
      </c>
      <c r="U139" s="40"/>
      <c r="V139" s="43" t="str">
        <f>IF(AND(NOT(ISBLANK(U139)),Dashboard!F66&gt;0), U139/Dashboard!F66, "")</f>
        <v/>
      </c>
      <c r="W139" s="40"/>
      <c r="X139" s="43" t="str">
        <f>IF(AND(NOT(ISBLANK(W139)),Dashboard!F67&gt;0), W139/Dashboard!F67, "")</f>
        <v/>
      </c>
    </row>
    <row r="140" spans="16:24" x14ac:dyDescent="0.35">
      <c r="P140" s="53"/>
      <c r="Q140" s="40"/>
      <c r="R140" s="43" t="str">
        <f>IF(AND(NOT(ISBLANK(Q140)),Dashboard!F16&gt;0), Q140/Dashboard!F16, "")</f>
        <v/>
      </c>
      <c r="S140" s="40"/>
      <c r="T140" s="43" t="str">
        <f>IF(AND(NOT(ISBLANK(S140)),Dashboard!F65&gt;0), S140/Dashboard!F65, "")</f>
        <v/>
      </c>
      <c r="U140" s="40"/>
      <c r="V140" s="43" t="str">
        <f>IF(AND(NOT(ISBLANK(U140)),Dashboard!F66&gt;0), U140/Dashboard!F66, "")</f>
        <v/>
      </c>
      <c r="W140" s="40"/>
      <c r="X140" s="43" t="str">
        <f>IF(AND(NOT(ISBLANK(W140)),Dashboard!F67&gt;0), W140/Dashboard!F67, "")</f>
        <v/>
      </c>
    </row>
    <row r="141" spans="16:24" x14ac:dyDescent="0.35">
      <c r="P141" s="53"/>
      <c r="Q141" s="40"/>
      <c r="R141" s="43" t="str">
        <f>IF(AND(NOT(ISBLANK(Q141)),Dashboard!F16&gt;0), Q141/Dashboard!F16, "")</f>
        <v/>
      </c>
      <c r="S141" s="40"/>
      <c r="T141" s="43" t="str">
        <f>IF(AND(NOT(ISBLANK(S141)),Dashboard!F65&gt;0), S141/Dashboard!F65, "")</f>
        <v/>
      </c>
      <c r="U141" s="40"/>
      <c r="V141" s="43" t="str">
        <f>IF(AND(NOT(ISBLANK(U141)),Dashboard!F66&gt;0), U141/Dashboard!F66, "")</f>
        <v/>
      </c>
      <c r="W141" s="40"/>
      <c r="X141" s="43" t="str">
        <f>IF(AND(NOT(ISBLANK(W141)),Dashboard!F67&gt;0), W141/Dashboard!F67, "")</f>
        <v/>
      </c>
    </row>
    <row r="142" spans="16:24" x14ac:dyDescent="0.35">
      <c r="P142" s="53"/>
      <c r="Q142" s="40"/>
      <c r="R142" s="43" t="str">
        <f>IF(AND(NOT(ISBLANK(Q142)),Dashboard!F16&gt;0), Q142/Dashboard!F16, "")</f>
        <v/>
      </c>
      <c r="S142" s="40"/>
      <c r="T142" s="43" t="str">
        <f>IF(AND(NOT(ISBLANK(S142)),Dashboard!F65&gt;0), S142/Dashboard!F65, "")</f>
        <v/>
      </c>
      <c r="U142" s="40"/>
      <c r="V142" s="43" t="str">
        <f>IF(AND(NOT(ISBLANK(U142)),Dashboard!F66&gt;0), U142/Dashboard!F66, "")</f>
        <v/>
      </c>
      <c r="W142" s="40"/>
      <c r="X142" s="43" t="str">
        <f>IF(AND(NOT(ISBLANK(W142)),Dashboard!F67&gt;0), W142/Dashboard!F67, "")</f>
        <v/>
      </c>
    </row>
    <row r="143" spans="16:24" x14ac:dyDescent="0.35">
      <c r="P143" s="53"/>
      <c r="Q143" s="40"/>
      <c r="R143" s="43" t="str">
        <f>IF(AND(NOT(ISBLANK(Q143)),Dashboard!F16&gt;0), Q143/Dashboard!F16, "")</f>
        <v/>
      </c>
      <c r="S143" s="40"/>
      <c r="T143" s="43" t="str">
        <f>IF(AND(NOT(ISBLANK(S143)),Dashboard!F65&gt;0), S143/Dashboard!F65, "")</f>
        <v/>
      </c>
      <c r="U143" s="40"/>
      <c r="V143" s="43" t="str">
        <f>IF(AND(NOT(ISBLANK(U143)),Dashboard!F66&gt;0), U143/Dashboard!F66, "")</f>
        <v/>
      </c>
      <c r="W143" s="40"/>
      <c r="X143" s="43" t="str">
        <f>IF(AND(NOT(ISBLANK(W143)),Dashboard!F67&gt;0), W143/Dashboard!F67, "")</f>
        <v/>
      </c>
    </row>
    <row r="144" spans="16:24" x14ac:dyDescent="0.35">
      <c r="P144" s="53"/>
      <c r="Q144" s="40"/>
      <c r="R144" s="43" t="str">
        <f>IF(AND(NOT(ISBLANK(Q144)),Dashboard!F16&gt;0), Q144/Dashboard!F16, "")</f>
        <v/>
      </c>
      <c r="S144" s="40"/>
      <c r="T144" s="43" t="str">
        <f>IF(AND(NOT(ISBLANK(S144)),Dashboard!F65&gt;0), S144/Dashboard!F65, "")</f>
        <v/>
      </c>
      <c r="U144" s="40"/>
      <c r="V144" s="43" t="str">
        <f>IF(AND(NOT(ISBLANK(U144)),Dashboard!F66&gt;0), U144/Dashboard!F66, "")</f>
        <v/>
      </c>
      <c r="W144" s="40"/>
      <c r="X144" s="43" t="str">
        <f>IF(AND(NOT(ISBLANK(W144)),Dashboard!F67&gt;0), W144/Dashboard!F67, "")</f>
        <v/>
      </c>
    </row>
    <row r="145" spans="2:24" x14ac:dyDescent="0.35">
      <c r="P145" s="53"/>
      <c r="Q145" s="40"/>
      <c r="R145" s="43" t="str">
        <f>IF(AND(NOT(ISBLANK(Q145)),Dashboard!F16&gt;0), Q145/Dashboard!F16, "")</f>
        <v/>
      </c>
      <c r="S145" s="40"/>
      <c r="T145" s="43" t="str">
        <f>IF(AND(NOT(ISBLANK(S145)),Dashboard!F65&gt;0), S145/Dashboard!F65, "")</f>
        <v/>
      </c>
      <c r="U145" s="40"/>
      <c r="V145" s="43" t="str">
        <f>IF(AND(NOT(ISBLANK(U145)),Dashboard!F66&gt;0), U145/Dashboard!F66, "")</f>
        <v/>
      </c>
      <c r="W145" s="40"/>
      <c r="X145" s="43" t="str">
        <f>IF(AND(NOT(ISBLANK(W145)),Dashboard!F67&gt;0), W145/Dashboard!F67, "")</f>
        <v/>
      </c>
    </row>
    <row r="146" spans="2:24" x14ac:dyDescent="0.35">
      <c r="P146" s="53"/>
      <c r="Q146" s="40"/>
      <c r="R146" s="43" t="str">
        <f>IF(AND(NOT(ISBLANK(Q146)),Dashboard!F16&gt;0), Q146/Dashboard!F16, "")</f>
        <v/>
      </c>
      <c r="S146" s="40"/>
      <c r="T146" s="43" t="str">
        <f>IF(AND(NOT(ISBLANK(S146)),Dashboard!F65&gt;0), S146/Dashboard!F65, "")</f>
        <v/>
      </c>
      <c r="U146" s="40"/>
      <c r="V146" s="43" t="str">
        <f>IF(AND(NOT(ISBLANK(U146)),Dashboard!F66&gt;0), U146/Dashboard!F66, "")</f>
        <v/>
      </c>
      <c r="W146" s="40"/>
      <c r="X146" s="43" t="str">
        <f>IF(AND(NOT(ISBLANK(W146)),Dashboard!F67&gt;0), W146/Dashboard!F67, "")</f>
        <v/>
      </c>
    </row>
    <row r="147" spans="2:24" x14ac:dyDescent="0.35">
      <c r="P147" s="53"/>
      <c r="Q147" s="40"/>
      <c r="R147" s="43" t="str">
        <f>IF(AND(NOT(ISBLANK(Q147)),Dashboard!F16&gt;0), Q147/Dashboard!F16, "")</f>
        <v/>
      </c>
      <c r="S147" s="40"/>
      <c r="T147" s="43" t="str">
        <f>IF(AND(NOT(ISBLANK(S147)),Dashboard!F65&gt;0), S147/Dashboard!F65, "")</f>
        <v/>
      </c>
      <c r="U147" s="40"/>
      <c r="V147" s="43" t="str">
        <f>IF(AND(NOT(ISBLANK(U147)),Dashboard!F66&gt;0), U147/Dashboard!F66, "")</f>
        <v/>
      </c>
      <c r="W147" s="40"/>
      <c r="X147" s="43" t="str">
        <f>IF(AND(NOT(ISBLANK(W147)),Dashboard!F67&gt;0), W147/Dashboard!F67, "")</f>
        <v/>
      </c>
    </row>
    <row r="148" spans="2:24" x14ac:dyDescent="0.35">
      <c r="P148" s="53"/>
      <c r="Q148" s="40"/>
      <c r="R148" s="43" t="str">
        <f>IF(AND(NOT(ISBLANK(Q148)),Dashboard!F16&gt;0), Q148/Dashboard!F16, "")</f>
        <v/>
      </c>
      <c r="S148" s="40"/>
      <c r="T148" s="43" t="str">
        <f>IF(AND(NOT(ISBLANK(S148)),Dashboard!F65&gt;0), S148/Dashboard!F65, "")</f>
        <v/>
      </c>
      <c r="U148" s="40"/>
      <c r="V148" s="43" t="str">
        <f>IF(AND(NOT(ISBLANK(U148)),Dashboard!F66&gt;0), U148/Dashboard!F66, "")</f>
        <v/>
      </c>
      <c r="W148" s="40"/>
      <c r="X148" s="43" t="str">
        <f>IF(AND(NOT(ISBLANK(W148)),Dashboard!F67&gt;0), W148/Dashboard!F67, "")</f>
        <v/>
      </c>
    </row>
    <row r="149" spans="2:24" x14ac:dyDescent="0.35">
      <c r="P149" s="53"/>
      <c r="Q149" s="40"/>
      <c r="R149" s="43" t="str">
        <f>IF(AND(NOT(ISBLANK(Q149)),Dashboard!F16&gt;0), Q149/Dashboard!F16, "")</f>
        <v/>
      </c>
      <c r="S149" s="40"/>
      <c r="T149" s="43" t="str">
        <f>IF(AND(NOT(ISBLANK(S149)),Dashboard!F65&gt;0), S149/Dashboard!F65, "")</f>
        <v/>
      </c>
      <c r="U149" s="40"/>
      <c r="V149" s="43" t="str">
        <f>IF(AND(NOT(ISBLANK(U149)),Dashboard!F66&gt;0), U149/Dashboard!F66, "")</f>
        <v/>
      </c>
      <c r="W149" s="40"/>
      <c r="X149" s="43" t="str">
        <f>IF(AND(NOT(ISBLANK(W149)),Dashboard!F67&gt;0), W149/Dashboard!F67, "")</f>
        <v/>
      </c>
    </row>
    <row r="150" spans="2:24" x14ac:dyDescent="0.35">
      <c r="P150" s="53"/>
      <c r="Q150" s="40"/>
      <c r="R150" s="43" t="str">
        <f>IF(AND(NOT(ISBLANK(Q150)),Dashboard!F16&gt;0), Q150/Dashboard!F16, "")</f>
        <v/>
      </c>
      <c r="S150" s="40"/>
      <c r="T150" s="43" t="str">
        <f>IF(AND(NOT(ISBLANK(S150)),Dashboard!F65&gt;0), S150/Dashboard!F65, "")</f>
        <v/>
      </c>
      <c r="U150" s="40"/>
      <c r="V150" s="43" t="str">
        <f>IF(AND(NOT(ISBLANK(U150)),Dashboard!F66&gt;0), U150/Dashboard!F66, "")</f>
        <v/>
      </c>
      <c r="W150" s="40"/>
      <c r="X150" s="43" t="str">
        <f>IF(AND(NOT(ISBLANK(W150)),Dashboard!F67&gt;0), W150/Dashboard!F67, "")</f>
        <v/>
      </c>
    </row>
    <row r="151" spans="2:24" x14ac:dyDescent="0.35">
      <c r="P151" s="53"/>
      <c r="Q151" s="40"/>
      <c r="R151" s="43" t="str">
        <f>IF(AND(NOT(ISBLANK(Q151)),Dashboard!F16&gt;0), Q151/Dashboard!F16, "")</f>
        <v/>
      </c>
      <c r="S151" s="40"/>
      <c r="T151" s="43" t="str">
        <f>IF(AND(NOT(ISBLANK(S151)),Dashboard!F65&gt;0), S151/Dashboard!F65, "")</f>
        <v/>
      </c>
      <c r="U151" s="40"/>
      <c r="V151" s="43" t="str">
        <f>IF(AND(NOT(ISBLANK(U151)),Dashboard!F66&gt;0), U151/Dashboard!F66, "")</f>
        <v/>
      </c>
      <c r="W151" s="40"/>
      <c r="X151" s="43" t="str">
        <f>IF(AND(NOT(ISBLANK(W151)),Dashboard!F67&gt;0), W151/Dashboard!F67, "")</f>
        <v/>
      </c>
    </row>
    <row r="156" spans="2:24" ht="21" x14ac:dyDescent="0.5">
      <c r="B156" s="37" t="s">
        <v>150</v>
      </c>
      <c r="P156" s="54" t="s">
        <v>151</v>
      </c>
    </row>
    <row r="158" spans="2:24" ht="45" customHeight="1" x14ac:dyDescent="0.35">
      <c r="B158" s="87" t="s">
        <v>152</v>
      </c>
      <c r="C158" s="80"/>
      <c r="D158" s="80"/>
      <c r="E158" s="80"/>
      <c r="F158" s="80"/>
      <c r="P158" s="87" t="s">
        <v>153</v>
      </c>
      <c r="Q158" s="80"/>
      <c r="R158" s="80"/>
      <c r="S158" s="80"/>
      <c r="T158" s="80"/>
      <c r="U158" s="80"/>
    </row>
    <row r="159" spans="2:24" ht="35" customHeight="1" x14ac:dyDescent="0.35">
      <c r="P159" s="84" t="s">
        <v>154</v>
      </c>
      <c r="Q159" s="84"/>
      <c r="R159" s="84" t="s">
        <v>155</v>
      </c>
      <c r="S159" s="84"/>
      <c r="T159" s="84"/>
    </row>
    <row r="160" spans="2:24" ht="30" customHeight="1" x14ac:dyDescent="0.35">
      <c r="P160" s="88">
        <v>0</v>
      </c>
      <c r="Q160" s="89"/>
      <c r="R160" s="90" t="s">
        <v>156</v>
      </c>
      <c r="S160" s="91"/>
      <c r="T160" s="91"/>
    </row>
    <row r="163" spans="16:22" ht="25" customHeight="1" x14ac:dyDescent="0.35">
      <c r="P163" s="63" t="s">
        <v>139</v>
      </c>
      <c r="Q163" s="63" t="s">
        <v>157</v>
      </c>
      <c r="R163" s="63" t="s">
        <v>158</v>
      </c>
      <c r="S163" s="92" t="s">
        <v>7</v>
      </c>
      <c r="T163" s="92"/>
      <c r="U163" s="92"/>
      <c r="V163" s="80"/>
    </row>
    <row r="164" spans="16:22" ht="20" customHeight="1" x14ac:dyDescent="0.35">
      <c r="P164" s="65"/>
      <c r="Q164" s="66"/>
      <c r="R164" s="67" t="str">
        <f>IF(AND(NOT(ISBLANK(Q164)), Dashboard!$P160&gt;0), Q164/Dashboard!$P160, "")</f>
        <v/>
      </c>
      <c r="S164" s="93"/>
      <c r="T164" s="94"/>
      <c r="U164" s="94"/>
      <c r="V164" s="94"/>
    </row>
    <row r="165" spans="16:22" ht="20" customHeight="1" x14ac:dyDescent="0.35">
      <c r="P165" s="65"/>
      <c r="Q165" s="66"/>
      <c r="R165" s="67" t="str">
        <f>IF(AND(NOT(ISBLANK(Q165)), Dashboard!$P160&gt;0), Q165/Dashboard!$P160, "")</f>
        <v/>
      </c>
      <c r="S165" s="93"/>
      <c r="T165" s="94"/>
      <c r="U165" s="94"/>
      <c r="V165" s="94"/>
    </row>
    <row r="166" spans="16:22" ht="20" customHeight="1" x14ac:dyDescent="0.35">
      <c r="P166" s="65"/>
      <c r="Q166" s="66"/>
      <c r="R166" s="67" t="str">
        <f>IF(AND(NOT(ISBLANK(Q166)), Dashboard!$P160&gt;0), Q166/Dashboard!$P160, "")</f>
        <v/>
      </c>
      <c r="S166" s="93"/>
      <c r="T166" s="94"/>
      <c r="U166" s="94"/>
      <c r="V166" s="94"/>
    </row>
    <row r="167" spans="16:22" ht="20" customHeight="1" x14ac:dyDescent="0.35">
      <c r="P167" s="65"/>
      <c r="Q167" s="66"/>
      <c r="R167" s="67" t="str">
        <f>IF(AND(NOT(ISBLANK(Q167)), Dashboard!$P160&gt;0), Q167/Dashboard!$P160, "")</f>
        <v/>
      </c>
      <c r="S167" s="93"/>
      <c r="T167" s="94"/>
      <c r="U167" s="94"/>
      <c r="V167" s="94"/>
    </row>
    <row r="168" spans="16:22" ht="20" customHeight="1" x14ac:dyDescent="0.35">
      <c r="P168" s="65"/>
      <c r="Q168" s="66"/>
      <c r="R168" s="67" t="str">
        <f>IF(AND(NOT(ISBLANK(Q168)), Dashboard!$P160&gt;0), Q168/Dashboard!$P160, "")</f>
        <v/>
      </c>
      <c r="S168" s="93"/>
      <c r="T168" s="94"/>
      <c r="U168" s="94"/>
      <c r="V168" s="94"/>
    </row>
    <row r="169" spans="16:22" ht="20" customHeight="1" x14ac:dyDescent="0.35">
      <c r="P169" s="65"/>
      <c r="Q169" s="66"/>
      <c r="R169" s="67" t="str">
        <f>IF(AND(NOT(ISBLANK(Q169)), Dashboard!$P160&gt;0), Q169/Dashboard!$P160, "")</f>
        <v/>
      </c>
      <c r="S169" s="93"/>
      <c r="T169" s="94"/>
      <c r="U169" s="94"/>
      <c r="V169" s="94"/>
    </row>
    <row r="170" spans="16:22" ht="20" customHeight="1" x14ac:dyDescent="0.35">
      <c r="P170" s="65"/>
      <c r="Q170" s="66"/>
      <c r="R170" s="67" t="str">
        <f>IF(AND(NOT(ISBLANK(Q170)), Dashboard!$P160&gt;0), Q170/Dashboard!$P160, "")</f>
        <v/>
      </c>
      <c r="S170" s="93"/>
      <c r="T170" s="94"/>
      <c r="U170" s="94"/>
      <c r="V170" s="94"/>
    </row>
    <row r="171" spans="16:22" ht="20" customHeight="1" x14ac:dyDescent="0.35">
      <c r="P171" s="65"/>
      <c r="Q171" s="66"/>
      <c r="R171" s="67" t="str">
        <f>IF(AND(NOT(ISBLANK(Q171)), Dashboard!$P160&gt;0), Q171/Dashboard!$P160, "")</f>
        <v/>
      </c>
      <c r="S171" s="93"/>
      <c r="T171" s="94"/>
      <c r="U171" s="94"/>
      <c r="V171" s="94"/>
    </row>
    <row r="172" spans="16:22" ht="20" customHeight="1" x14ac:dyDescent="0.35">
      <c r="P172" s="65"/>
      <c r="Q172" s="66"/>
      <c r="R172" s="67" t="str">
        <f>IF(AND(NOT(ISBLANK(Q172)), Dashboard!$P160&gt;0), Q172/Dashboard!$P160, "")</f>
        <v/>
      </c>
      <c r="S172" s="93"/>
      <c r="T172" s="94"/>
      <c r="U172" s="94"/>
      <c r="V172" s="94"/>
    </row>
    <row r="173" spans="16:22" ht="20" customHeight="1" x14ac:dyDescent="0.35">
      <c r="P173" s="65"/>
      <c r="Q173" s="66"/>
      <c r="R173" s="67" t="str">
        <f>IF(AND(NOT(ISBLANK(Q173)), Dashboard!$P160&gt;0), Q173/Dashboard!$P160, "")</f>
        <v/>
      </c>
      <c r="S173" s="93"/>
      <c r="T173" s="94"/>
      <c r="U173" s="94"/>
      <c r="V173" s="94"/>
    </row>
    <row r="174" spans="16:22" ht="20" customHeight="1" x14ac:dyDescent="0.35">
      <c r="P174" s="65"/>
      <c r="Q174" s="66"/>
      <c r="R174" s="67" t="str">
        <f>IF(AND(NOT(ISBLANK(Q174)), Dashboard!$P160&gt;0), Q174/Dashboard!$P160, "")</f>
        <v/>
      </c>
      <c r="S174" s="93"/>
      <c r="T174" s="94"/>
      <c r="U174" s="94"/>
      <c r="V174" s="94"/>
    </row>
    <row r="175" spans="16:22" ht="20" customHeight="1" x14ac:dyDescent="0.35">
      <c r="P175" s="65"/>
      <c r="Q175" s="66"/>
      <c r="R175" s="67" t="str">
        <f>IF(AND(NOT(ISBLANK(Q175)), Dashboard!$P160&gt;0), Q175/Dashboard!$P160, "")</f>
        <v/>
      </c>
      <c r="S175" s="93"/>
      <c r="T175" s="94"/>
      <c r="U175" s="94"/>
      <c r="V175" s="94"/>
    </row>
    <row r="176" spans="16:22" ht="20" customHeight="1" x14ac:dyDescent="0.35">
      <c r="P176" s="65"/>
      <c r="Q176" s="66"/>
      <c r="R176" s="67" t="str">
        <f>IF(AND(NOT(ISBLANK(Q176)), Dashboard!$P160&gt;0), Q176/Dashboard!$P160, "")</f>
        <v/>
      </c>
      <c r="S176" s="93"/>
      <c r="T176" s="94"/>
      <c r="U176" s="94"/>
      <c r="V176" s="94"/>
    </row>
    <row r="177" spans="2:22" ht="20" customHeight="1" x14ac:dyDescent="0.35">
      <c r="P177" s="65"/>
      <c r="Q177" s="66"/>
      <c r="R177" s="67" t="str">
        <f>IF(AND(NOT(ISBLANK(Q177)), Dashboard!$P160&gt;0), Q177/Dashboard!$P160, "")</f>
        <v/>
      </c>
      <c r="S177" s="93"/>
      <c r="T177" s="94"/>
      <c r="U177" s="94"/>
      <c r="V177" s="94"/>
    </row>
    <row r="178" spans="2:22" ht="20" customHeight="1" x14ac:dyDescent="0.35">
      <c r="P178" s="65"/>
      <c r="Q178" s="66"/>
      <c r="R178" s="67" t="str">
        <f>IF(AND(NOT(ISBLANK(Q178)), Dashboard!$P160&gt;0), Q178/Dashboard!$P160, "")</f>
        <v/>
      </c>
      <c r="S178" s="93"/>
      <c r="T178" s="94"/>
      <c r="U178" s="94"/>
      <c r="V178" s="94"/>
    </row>
    <row r="179" spans="2:22" ht="20" customHeight="1" x14ac:dyDescent="0.35">
      <c r="P179" s="65"/>
      <c r="Q179" s="66"/>
      <c r="R179" s="67" t="str">
        <f>IF(AND(NOT(ISBLANK(Q179)), Dashboard!$P160&gt;0), Q179/Dashboard!$P160, "")</f>
        <v/>
      </c>
      <c r="S179" s="93"/>
      <c r="T179" s="94"/>
      <c r="U179" s="94"/>
      <c r="V179" s="94"/>
    </row>
    <row r="180" spans="2:22" ht="20" customHeight="1" x14ac:dyDescent="0.35">
      <c r="P180" s="65"/>
      <c r="Q180" s="66"/>
      <c r="R180" s="67" t="str">
        <f>IF(AND(NOT(ISBLANK(Q180)), Dashboard!$P160&gt;0), Q180/Dashboard!$P160, "")</f>
        <v/>
      </c>
      <c r="S180" s="93"/>
      <c r="T180" s="94"/>
      <c r="U180" s="94"/>
      <c r="V180" s="94"/>
    </row>
    <row r="181" spans="2:22" ht="20" customHeight="1" x14ac:dyDescent="0.35">
      <c r="P181" s="65"/>
      <c r="Q181" s="66"/>
      <c r="R181" s="67" t="str">
        <f>IF(AND(NOT(ISBLANK(Q181)), Dashboard!$P160&gt;0), Q181/Dashboard!$P160, "")</f>
        <v/>
      </c>
      <c r="S181" s="93"/>
      <c r="T181" s="94"/>
      <c r="U181" s="94"/>
      <c r="V181" s="94"/>
    </row>
    <row r="182" spans="2:22" ht="20" customHeight="1" x14ac:dyDescent="0.35">
      <c r="P182" s="65"/>
      <c r="Q182" s="66"/>
      <c r="R182" s="67" t="str">
        <f>IF(AND(NOT(ISBLANK(Q182)), Dashboard!$P160&gt;0), Q182/Dashboard!$P160, "")</f>
        <v/>
      </c>
      <c r="S182" s="93"/>
      <c r="T182" s="94"/>
      <c r="U182" s="94"/>
      <c r="V182" s="94"/>
    </row>
    <row r="183" spans="2:22" ht="20" customHeight="1" x14ac:dyDescent="0.35">
      <c r="P183" s="65"/>
      <c r="Q183" s="66"/>
      <c r="R183" s="67" t="str">
        <f>IF(AND(NOT(ISBLANK(Q183)), Dashboard!$P160&gt;0), Q183/Dashboard!$P160, "")</f>
        <v/>
      </c>
      <c r="S183" s="93"/>
      <c r="T183" s="94"/>
      <c r="U183" s="94"/>
      <c r="V183" s="94"/>
    </row>
    <row r="187" spans="2:22" ht="32" customHeight="1" x14ac:dyDescent="0.35">
      <c r="B187" s="78" t="s">
        <v>33</v>
      </c>
      <c r="C187" s="78"/>
      <c r="D187" s="78"/>
      <c r="E187" s="78"/>
      <c r="F187" s="78"/>
      <c r="G187" s="78"/>
      <c r="H187" s="78"/>
      <c r="I187" s="78"/>
    </row>
  </sheetData>
  <mergeCells count="55">
    <mergeCell ref="B187:I187"/>
    <mergeCell ref="S179:V179"/>
    <mergeCell ref="S180:V180"/>
    <mergeCell ref="S181:V181"/>
    <mergeCell ref="S182:V182"/>
    <mergeCell ref="S183:V183"/>
    <mergeCell ref="S174:V174"/>
    <mergeCell ref="S175:V175"/>
    <mergeCell ref="S176:V176"/>
    <mergeCell ref="S177:V177"/>
    <mergeCell ref="S178:V178"/>
    <mergeCell ref="S169:V169"/>
    <mergeCell ref="S170:V170"/>
    <mergeCell ref="S171:V171"/>
    <mergeCell ref="S172:V172"/>
    <mergeCell ref="S173:V173"/>
    <mergeCell ref="S164:V164"/>
    <mergeCell ref="S165:V165"/>
    <mergeCell ref="S166:V166"/>
    <mergeCell ref="S167:V167"/>
    <mergeCell ref="S168:V168"/>
    <mergeCell ref="P159:Q159"/>
    <mergeCell ref="R159:T159"/>
    <mergeCell ref="P160:Q160"/>
    <mergeCell ref="R160:T160"/>
    <mergeCell ref="S163:V163"/>
    <mergeCell ref="C108:D108"/>
    <mergeCell ref="G108:H108"/>
    <mergeCell ref="B117:F117"/>
    <mergeCell ref="P117:W117"/>
    <mergeCell ref="B158:F158"/>
    <mergeCell ref="P158:U158"/>
    <mergeCell ref="C105:D105"/>
    <mergeCell ref="G105:H105"/>
    <mergeCell ref="C106:D106"/>
    <mergeCell ref="G106:H106"/>
    <mergeCell ref="C107:D107"/>
    <mergeCell ref="G107:H107"/>
    <mergeCell ref="C102:D102"/>
    <mergeCell ref="G102:H102"/>
    <mergeCell ref="C103:D103"/>
    <mergeCell ref="G103:H103"/>
    <mergeCell ref="C104:D104"/>
    <mergeCell ref="G104:H104"/>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3:H108">
    <cfRule type="expression" dxfId="32" priority="4">
      <formula>$G103&gt;=0.8</formula>
    </cfRule>
    <cfRule type="expression" dxfId="31" priority="5">
      <formula>AND($G103&gt;=0.5,$G103&lt;0.8)</formula>
    </cfRule>
    <cfRule type="expression" dxfId="30" priority="6">
      <formula>$G103&lt;0.5</formula>
    </cfRule>
  </conditionalFormatting>
  <conditionalFormatting sqref="K103:K108">
    <cfRule type="cellIs" dxfId="29" priority="7" operator="greaterThan">
      <formula>0</formula>
    </cfRule>
  </conditionalFormatting>
  <conditionalFormatting sqref="L103:L108">
    <cfRule type="cellIs" dxfId="28" priority="8" operator="greaterThan">
      <formula>0</formula>
    </cfRule>
  </conditionalFormatting>
  <conditionalFormatting sqref="M103:M108">
    <cfRule type="cellIs" dxfId="27" priority="9" operator="greaterThan">
      <formula>0</formula>
    </cfRule>
  </conditionalFormatting>
  <conditionalFormatting sqref="N103:N108">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2" xr:uid="{00000000-0002-0000-0100-000000000000}">
      <formula1>0</formula1>
      <formula2>C16</formula2>
    </dataValidation>
    <dataValidation type="whole" allowBlank="1" showErrorMessage="1" errorTitle="Invalid count" error="Value must be between 0 and the current implemented total." sqref="S122" xr:uid="{00000000-0002-0000-0100-000001000000}">
      <formula1>0</formula1>
      <formula2>C65</formula2>
    </dataValidation>
    <dataValidation type="whole" allowBlank="1" showErrorMessage="1" errorTitle="Invalid count" error="Value must be between 0 and the current implemented total." sqref="U122" xr:uid="{00000000-0002-0000-0100-000002000000}">
      <formula1>0</formula1>
      <formula2>C66</formula2>
    </dataValidation>
    <dataValidation type="whole" allowBlank="1" showErrorMessage="1" errorTitle="Invalid count" error="Value must be between 0 and the current implemented total." sqref="W122" xr:uid="{00000000-0002-0000-0100-000003000000}">
      <formula1>0</formula1>
      <formula2>C67</formula2>
    </dataValidation>
    <dataValidation type="whole" allowBlank="1" showErrorMessage="1" errorTitle="Invalid overall count" error="Overall count must be between 0 and the current implemented total." sqref="Q123" xr:uid="{00000000-0002-0000-0100-000004000000}">
      <formula1>0</formula1>
      <formula2>C16</formula2>
    </dataValidation>
    <dataValidation type="whole" allowBlank="1" showErrorMessage="1" errorTitle="Invalid count" error="Value must be between 0 and the current implemented total." sqref="S123" xr:uid="{00000000-0002-0000-0100-000005000000}">
      <formula1>0</formula1>
      <formula2>C65</formula2>
    </dataValidation>
    <dataValidation type="whole" allowBlank="1" showErrorMessage="1" errorTitle="Invalid count" error="Value must be between 0 and the current implemented total." sqref="U123" xr:uid="{00000000-0002-0000-0100-000006000000}">
      <formula1>0</formula1>
      <formula2>C66</formula2>
    </dataValidation>
    <dataValidation type="whole" allowBlank="1" showErrorMessage="1" errorTitle="Invalid count" error="Value must be between 0 and the current implemented total." sqref="W123" xr:uid="{00000000-0002-0000-0100-000007000000}">
      <formula1>0</formula1>
      <formula2>C67</formula2>
    </dataValidation>
    <dataValidation type="whole" allowBlank="1" showErrorMessage="1" errorTitle="Invalid overall count" error="Overall count must be between 0 and the current implemented total." sqref="Q124" xr:uid="{00000000-0002-0000-0100-000008000000}">
      <formula1>0</formula1>
      <formula2>C16</formula2>
    </dataValidation>
    <dataValidation type="whole" allowBlank="1" showErrorMessage="1" errorTitle="Invalid count" error="Value must be between 0 and the current implemented total." sqref="S124" xr:uid="{00000000-0002-0000-0100-000009000000}">
      <formula1>0</formula1>
      <formula2>C65</formula2>
    </dataValidation>
    <dataValidation type="whole" allowBlank="1" showErrorMessage="1" errorTitle="Invalid count" error="Value must be between 0 and the current implemented total." sqref="U124" xr:uid="{00000000-0002-0000-0100-00000A000000}">
      <formula1>0</formula1>
      <formula2>C66</formula2>
    </dataValidation>
    <dataValidation type="whole" allowBlank="1" showErrorMessage="1" errorTitle="Invalid count" error="Value must be between 0 and the current implemented total." sqref="W124" xr:uid="{00000000-0002-0000-0100-00000B000000}">
      <formula1>0</formula1>
      <formula2>C67</formula2>
    </dataValidation>
    <dataValidation type="whole" allowBlank="1" showErrorMessage="1" errorTitle="Invalid overall count" error="Overall count must be between 0 and the current implemented total." sqref="Q125" xr:uid="{00000000-0002-0000-0100-00000C000000}">
      <formula1>0</formula1>
      <formula2>C16</formula2>
    </dataValidation>
    <dataValidation type="whole" allowBlank="1" showErrorMessage="1" errorTitle="Invalid count" error="Value must be between 0 and the current implemented total." sqref="S125" xr:uid="{00000000-0002-0000-0100-00000D000000}">
      <formula1>0</formula1>
      <formula2>C65</formula2>
    </dataValidation>
    <dataValidation type="whole" allowBlank="1" showErrorMessage="1" errorTitle="Invalid count" error="Value must be between 0 and the current implemented total." sqref="U125" xr:uid="{00000000-0002-0000-0100-00000E000000}">
      <formula1>0</formula1>
      <formula2>C66</formula2>
    </dataValidation>
    <dataValidation type="whole" allowBlank="1" showErrorMessage="1" errorTitle="Invalid count" error="Value must be between 0 and the current implemented total." sqref="W125" xr:uid="{00000000-0002-0000-0100-00000F000000}">
      <formula1>0</formula1>
      <formula2>C67</formula2>
    </dataValidation>
    <dataValidation type="whole" allowBlank="1" showErrorMessage="1" errorTitle="Invalid overall count" error="Overall count must be between 0 and the current implemented total." sqref="Q126" xr:uid="{00000000-0002-0000-0100-000010000000}">
      <formula1>0</formula1>
      <formula2>C16</formula2>
    </dataValidation>
    <dataValidation type="whole" allowBlank="1" showErrorMessage="1" errorTitle="Invalid count" error="Value must be between 0 and the current implemented total." sqref="S126" xr:uid="{00000000-0002-0000-0100-000011000000}">
      <formula1>0</formula1>
      <formula2>C65</formula2>
    </dataValidation>
    <dataValidation type="whole" allowBlank="1" showErrorMessage="1" errorTitle="Invalid count" error="Value must be between 0 and the current implemented total." sqref="U126" xr:uid="{00000000-0002-0000-0100-000012000000}">
      <formula1>0</formula1>
      <formula2>C66</formula2>
    </dataValidation>
    <dataValidation type="whole" allowBlank="1" showErrorMessage="1" errorTitle="Invalid count" error="Value must be between 0 and the current implemented total." sqref="W126" xr:uid="{00000000-0002-0000-0100-000013000000}">
      <formula1>0</formula1>
      <formula2>C67</formula2>
    </dataValidation>
    <dataValidation type="whole" allowBlank="1" showErrorMessage="1" errorTitle="Invalid overall count" error="Overall count must be between 0 and the current implemented total." sqref="Q127" xr:uid="{00000000-0002-0000-0100-000014000000}">
      <formula1>0</formula1>
      <formula2>C16</formula2>
    </dataValidation>
    <dataValidation type="whole" allowBlank="1" showErrorMessage="1" errorTitle="Invalid count" error="Value must be between 0 and the current implemented total." sqref="S127" xr:uid="{00000000-0002-0000-0100-000015000000}">
      <formula1>0</formula1>
      <formula2>C65</formula2>
    </dataValidation>
    <dataValidation type="whole" allowBlank="1" showErrorMessage="1" errorTitle="Invalid count" error="Value must be between 0 and the current implemented total." sqref="U127" xr:uid="{00000000-0002-0000-0100-000016000000}">
      <formula1>0</formula1>
      <formula2>C66</formula2>
    </dataValidation>
    <dataValidation type="whole" allowBlank="1" showErrorMessage="1" errorTitle="Invalid count" error="Value must be between 0 and the current implemented total." sqref="W127" xr:uid="{00000000-0002-0000-0100-000017000000}">
      <formula1>0</formula1>
      <formula2>C67</formula2>
    </dataValidation>
    <dataValidation type="whole" allowBlank="1" showErrorMessage="1" errorTitle="Invalid overall count" error="Overall count must be between 0 and the current implemented total." sqref="Q128" xr:uid="{00000000-0002-0000-0100-000018000000}">
      <formula1>0</formula1>
      <formula2>C16</formula2>
    </dataValidation>
    <dataValidation type="whole" allowBlank="1" showErrorMessage="1" errorTitle="Invalid count" error="Value must be between 0 and the current implemented total." sqref="S128" xr:uid="{00000000-0002-0000-0100-000019000000}">
      <formula1>0</formula1>
      <formula2>C65</formula2>
    </dataValidation>
    <dataValidation type="whole" allowBlank="1" showErrorMessage="1" errorTitle="Invalid count" error="Value must be between 0 and the current implemented total." sqref="U128" xr:uid="{00000000-0002-0000-0100-00001A000000}">
      <formula1>0</formula1>
      <formula2>C66</formula2>
    </dataValidation>
    <dataValidation type="whole" allowBlank="1" showErrorMessage="1" errorTitle="Invalid count" error="Value must be between 0 and the current implemented total." sqref="W128" xr:uid="{00000000-0002-0000-0100-00001B000000}">
      <formula1>0</formula1>
      <formula2>C67</formula2>
    </dataValidation>
    <dataValidation type="whole" allowBlank="1" showErrorMessage="1" errorTitle="Invalid overall count" error="Overall count must be between 0 and the current implemented total." sqref="Q129" xr:uid="{00000000-0002-0000-0100-00001C000000}">
      <formula1>0</formula1>
      <formula2>C16</formula2>
    </dataValidation>
    <dataValidation type="whole" allowBlank="1" showErrorMessage="1" errorTitle="Invalid count" error="Value must be between 0 and the current implemented total." sqref="S129" xr:uid="{00000000-0002-0000-0100-00001D000000}">
      <formula1>0</formula1>
      <formula2>C65</formula2>
    </dataValidation>
    <dataValidation type="whole" allowBlank="1" showErrorMessage="1" errorTitle="Invalid count" error="Value must be between 0 and the current implemented total." sqref="U129" xr:uid="{00000000-0002-0000-0100-00001E000000}">
      <formula1>0</formula1>
      <formula2>C66</formula2>
    </dataValidation>
    <dataValidation type="whole" allowBlank="1" showErrorMessage="1" errorTitle="Invalid count" error="Value must be between 0 and the current implemented total." sqref="W129" xr:uid="{00000000-0002-0000-0100-00001F000000}">
      <formula1>0</formula1>
      <formula2>C67</formula2>
    </dataValidation>
    <dataValidation type="whole" allowBlank="1" showErrorMessage="1" errorTitle="Invalid overall count" error="Overall count must be between 0 and the current implemented total." sqref="Q130" xr:uid="{00000000-0002-0000-0100-000020000000}">
      <formula1>0</formula1>
      <formula2>C16</formula2>
    </dataValidation>
    <dataValidation type="whole" allowBlank="1" showErrorMessage="1" errorTitle="Invalid count" error="Value must be between 0 and the current implemented total." sqref="S130" xr:uid="{00000000-0002-0000-0100-000021000000}">
      <formula1>0</formula1>
      <formula2>C65</formula2>
    </dataValidation>
    <dataValidation type="whole" allowBlank="1" showErrorMessage="1" errorTitle="Invalid count" error="Value must be between 0 and the current implemented total." sqref="U130" xr:uid="{00000000-0002-0000-0100-000022000000}">
      <formula1>0</formula1>
      <formula2>C66</formula2>
    </dataValidation>
    <dataValidation type="whole" allowBlank="1" showErrorMessage="1" errorTitle="Invalid count" error="Value must be between 0 and the current implemented total." sqref="W130" xr:uid="{00000000-0002-0000-0100-000023000000}">
      <formula1>0</formula1>
      <formula2>C67</formula2>
    </dataValidation>
    <dataValidation type="whole" allowBlank="1" showErrorMessage="1" errorTitle="Invalid overall count" error="Overall count must be between 0 and the current implemented total." sqref="Q131" xr:uid="{00000000-0002-0000-0100-000024000000}">
      <formula1>0</formula1>
      <formula2>C16</formula2>
    </dataValidation>
    <dataValidation type="whole" allowBlank="1" showErrorMessage="1" errorTitle="Invalid count" error="Value must be between 0 and the current implemented total." sqref="S131" xr:uid="{00000000-0002-0000-0100-000025000000}">
      <formula1>0</formula1>
      <formula2>C65</formula2>
    </dataValidation>
    <dataValidation type="whole" allowBlank="1" showErrorMessage="1" errorTitle="Invalid count" error="Value must be between 0 and the current implemented total." sqref="U131" xr:uid="{00000000-0002-0000-0100-000026000000}">
      <formula1>0</formula1>
      <formula2>C66</formula2>
    </dataValidation>
    <dataValidation type="whole" allowBlank="1" showErrorMessage="1" errorTitle="Invalid count" error="Value must be between 0 and the current implemented total." sqref="W131" xr:uid="{00000000-0002-0000-0100-000027000000}">
      <formula1>0</formula1>
      <formula2>C67</formula2>
    </dataValidation>
    <dataValidation type="whole" allowBlank="1" showErrorMessage="1" errorTitle="Invalid overall count" error="Overall count must be between 0 and the current implemented total." sqref="Q132" xr:uid="{00000000-0002-0000-0100-000028000000}">
      <formula1>0</formula1>
      <formula2>C16</formula2>
    </dataValidation>
    <dataValidation type="whole" allowBlank="1" showErrorMessage="1" errorTitle="Invalid count" error="Value must be between 0 and the current implemented total." sqref="S132" xr:uid="{00000000-0002-0000-0100-000029000000}">
      <formula1>0</formula1>
      <formula2>C65</formula2>
    </dataValidation>
    <dataValidation type="whole" allowBlank="1" showErrorMessage="1" errorTitle="Invalid count" error="Value must be between 0 and the current implemented total." sqref="U132" xr:uid="{00000000-0002-0000-0100-00002A000000}">
      <formula1>0</formula1>
      <formula2>C66</formula2>
    </dataValidation>
    <dataValidation type="whole" allowBlank="1" showErrorMessage="1" errorTitle="Invalid count" error="Value must be between 0 and the current implemented total." sqref="W132" xr:uid="{00000000-0002-0000-0100-00002B000000}">
      <formula1>0</formula1>
      <formula2>C67</formula2>
    </dataValidation>
    <dataValidation type="whole" allowBlank="1" showErrorMessage="1" errorTitle="Invalid overall count" error="Overall count must be between 0 and the current implemented total." sqref="Q133" xr:uid="{00000000-0002-0000-0100-00002C000000}">
      <formula1>0</formula1>
      <formula2>C16</formula2>
    </dataValidation>
    <dataValidation type="whole" allowBlank="1" showErrorMessage="1" errorTitle="Invalid count" error="Value must be between 0 and the current implemented total." sqref="S133" xr:uid="{00000000-0002-0000-0100-00002D000000}">
      <formula1>0</formula1>
      <formula2>C65</formula2>
    </dataValidation>
    <dataValidation type="whole" allowBlank="1" showErrorMessage="1" errorTitle="Invalid count" error="Value must be between 0 and the current implemented total." sqref="U133" xr:uid="{00000000-0002-0000-0100-00002E000000}">
      <formula1>0</formula1>
      <formula2>C66</formula2>
    </dataValidation>
    <dataValidation type="whole" allowBlank="1" showErrorMessage="1" errorTitle="Invalid count" error="Value must be between 0 and the current implemented total." sqref="W133" xr:uid="{00000000-0002-0000-0100-00002F000000}">
      <formula1>0</formula1>
      <formula2>C67</formula2>
    </dataValidation>
    <dataValidation type="whole" allowBlank="1" showErrorMessage="1" errorTitle="Invalid overall count" error="Overall count must be between 0 and the current implemented total." sqref="Q134" xr:uid="{00000000-0002-0000-0100-000030000000}">
      <formula1>0</formula1>
      <formula2>C16</formula2>
    </dataValidation>
    <dataValidation type="whole" allowBlank="1" showErrorMessage="1" errorTitle="Invalid count" error="Value must be between 0 and the current implemented total." sqref="S134" xr:uid="{00000000-0002-0000-0100-000031000000}">
      <formula1>0</formula1>
      <formula2>C65</formula2>
    </dataValidation>
    <dataValidation type="whole" allowBlank="1" showErrorMessage="1" errorTitle="Invalid count" error="Value must be between 0 and the current implemented total." sqref="U134" xr:uid="{00000000-0002-0000-0100-000032000000}">
      <formula1>0</formula1>
      <formula2>C66</formula2>
    </dataValidation>
    <dataValidation type="whole" allowBlank="1" showErrorMessage="1" errorTitle="Invalid count" error="Value must be between 0 and the current implemented total." sqref="W134" xr:uid="{00000000-0002-0000-0100-000033000000}">
      <formula1>0</formula1>
      <formula2>C67</formula2>
    </dataValidation>
    <dataValidation type="whole" allowBlank="1" showErrorMessage="1" errorTitle="Invalid overall count" error="Overall count must be between 0 and the current implemented total." sqref="Q135" xr:uid="{00000000-0002-0000-0100-000034000000}">
      <formula1>0</formula1>
      <formula2>C16</formula2>
    </dataValidation>
    <dataValidation type="whole" allowBlank="1" showErrorMessage="1" errorTitle="Invalid count" error="Value must be between 0 and the current implemented total." sqref="S135" xr:uid="{00000000-0002-0000-0100-000035000000}">
      <formula1>0</formula1>
      <formula2>C65</formula2>
    </dataValidation>
    <dataValidation type="whole" allowBlank="1" showErrorMessage="1" errorTitle="Invalid count" error="Value must be between 0 and the current implemented total." sqref="U135" xr:uid="{00000000-0002-0000-0100-000036000000}">
      <formula1>0</formula1>
      <formula2>C66</formula2>
    </dataValidation>
    <dataValidation type="whole" allowBlank="1" showErrorMessage="1" errorTitle="Invalid count" error="Value must be between 0 and the current implemented total." sqref="W135" xr:uid="{00000000-0002-0000-0100-000037000000}">
      <formula1>0</formula1>
      <formula2>C67</formula2>
    </dataValidation>
    <dataValidation type="whole" allowBlank="1" showErrorMessage="1" errorTitle="Invalid overall count" error="Overall count must be between 0 and the current implemented total." sqref="Q136" xr:uid="{00000000-0002-0000-0100-000038000000}">
      <formula1>0</formula1>
      <formula2>C16</formula2>
    </dataValidation>
    <dataValidation type="whole" allowBlank="1" showErrorMessage="1" errorTitle="Invalid count" error="Value must be between 0 and the current implemented total." sqref="S136" xr:uid="{00000000-0002-0000-0100-000039000000}">
      <formula1>0</formula1>
      <formula2>C65</formula2>
    </dataValidation>
    <dataValidation type="whole" allowBlank="1" showErrorMessage="1" errorTitle="Invalid count" error="Value must be between 0 and the current implemented total." sqref="U136" xr:uid="{00000000-0002-0000-0100-00003A000000}">
      <formula1>0</formula1>
      <formula2>C66</formula2>
    </dataValidation>
    <dataValidation type="whole" allowBlank="1" showErrorMessage="1" errorTitle="Invalid count" error="Value must be between 0 and the current implemented total." sqref="W136" xr:uid="{00000000-0002-0000-0100-00003B000000}">
      <formula1>0</formula1>
      <formula2>C67</formula2>
    </dataValidation>
    <dataValidation type="whole" allowBlank="1" showErrorMessage="1" errorTitle="Invalid overall count" error="Overall count must be between 0 and the current implemented total." sqref="Q137" xr:uid="{00000000-0002-0000-0100-00003C000000}">
      <formula1>0</formula1>
      <formula2>C16</formula2>
    </dataValidation>
    <dataValidation type="whole" allowBlank="1" showErrorMessage="1" errorTitle="Invalid count" error="Value must be between 0 and the current implemented total." sqref="S137" xr:uid="{00000000-0002-0000-0100-00003D000000}">
      <formula1>0</formula1>
      <formula2>C65</formula2>
    </dataValidation>
    <dataValidation type="whole" allowBlank="1" showErrorMessage="1" errorTitle="Invalid count" error="Value must be between 0 and the current implemented total." sqref="U137" xr:uid="{00000000-0002-0000-0100-00003E000000}">
      <formula1>0</formula1>
      <formula2>C66</formula2>
    </dataValidation>
    <dataValidation type="whole" allowBlank="1" showErrorMessage="1" errorTitle="Invalid count" error="Value must be between 0 and the current implemented total." sqref="W137" xr:uid="{00000000-0002-0000-0100-00003F000000}">
      <formula1>0</formula1>
      <formula2>C67</formula2>
    </dataValidation>
    <dataValidation type="whole" allowBlank="1" showErrorMessage="1" errorTitle="Invalid overall count" error="Overall count must be between 0 and the current implemented total." sqref="Q138" xr:uid="{00000000-0002-0000-0100-000040000000}">
      <formula1>0</formula1>
      <formula2>C16</formula2>
    </dataValidation>
    <dataValidation type="whole" allowBlank="1" showErrorMessage="1" errorTitle="Invalid count" error="Value must be between 0 and the current implemented total." sqref="S138" xr:uid="{00000000-0002-0000-0100-000041000000}">
      <formula1>0</formula1>
      <formula2>C65</formula2>
    </dataValidation>
    <dataValidation type="whole" allowBlank="1" showErrorMessage="1" errorTitle="Invalid count" error="Value must be between 0 and the current implemented total." sqref="U138" xr:uid="{00000000-0002-0000-0100-000042000000}">
      <formula1>0</formula1>
      <formula2>C66</formula2>
    </dataValidation>
    <dataValidation type="whole" allowBlank="1" showErrorMessage="1" errorTitle="Invalid count" error="Value must be between 0 and the current implemented total." sqref="W138" xr:uid="{00000000-0002-0000-0100-000043000000}">
      <formula1>0</formula1>
      <formula2>C67</formula2>
    </dataValidation>
    <dataValidation type="whole" allowBlank="1" showErrorMessage="1" errorTitle="Invalid overall count" error="Overall count must be between 0 and the current implemented total." sqref="Q139" xr:uid="{00000000-0002-0000-0100-000044000000}">
      <formula1>0</formula1>
      <formula2>C16</formula2>
    </dataValidation>
    <dataValidation type="whole" allowBlank="1" showErrorMessage="1" errorTitle="Invalid count" error="Value must be between 0 and the current implemented total." sqref="S139" xr:uid="{00000000-0002-0000-0100-000045000000}">
      <formula1>0</formula1>
      <formula2>C65</formula2>
    </dataValidation>
    <dataValidation type="whole" allowBlank="1" showErrorMessage="1" errorTitle="Invalid count" error="Value must be between 0 and the current implemented total." sqref="U139" xr:uid="{00000000-0002-0000-0100-000046000000}">
      <formula1>0</formula1>
      <formula2>C66</formula2>
    </dataValidation>
    <dataValidation type="whole" allowBlank="1" showErrorMessage="1" errorTitle="Invalid count" error="Value must be between 0 and the current implemented total." sqref="W139" xr:uid="{00000000-0002-0000-0100-000047000000}">
      <formula1>0</formula1>
      <formula2>C67</formula2>
    </dataValidation>
    <dataValidation type="whole" allowBlank="1" showErrorMessage="1" errorTitle="Invalid overall count" error="Overall count must be between 0 and the current implemented total." sqref="Q140" xr:uid="{00000000-0002-0000-0100-000048000000}">
      <formula1>0</formula1>
      <formula2>C16</formula2>
    </dataValidation>
    <dataValidation type="whole" allowBlank="1" showErrorMessage="1" errorTitle="Invalid count" error="Value must be between 0 and the current implemented total." sqref="S140" xr:uid="{00000000-0002-0000-0100-000049000000}">
      <formula1>0</formula1>
      <formula2>C65</formula2>
    </dataValidation>
    <dataValidation type="whole" allowBlank="1" showErrorMessage="1" errorTitle="Invalid count" error="Value must be between 0 and the current implemented total." sqref="U140" xr:uid="{00000000-0002-0000-0100-00004A000000}">
      <formula1>0</formula1>
      <formula2>C66</formula2>
    </dataValidation>
    <dataValidation type="whole" allowBlank="1" showErrorMessage="1" errorTitle="Invalid count" error="Value must be between 0 and the current implemented total." sqref="W140" xr:uid="{00000000-0002-0000-0100-00004B000000}">
      <formula1>0</formula1>
      <formula2>C67</formula2>
    </dataValidation>
    <dataValidation type="whole" allowBlank="1" showErrorMessage="1" errorTitle="Invalid overall count" error="Overall count must be between 0 and the current implemented total." sqref="Q141" xr:uid="{00000000-0002-0000-0100-00004C000000}">
      <formula1>0</formula1>
      <formula2>C16</formula2>
    </dataValidation>
    <dataValidation type="whole" allowBlank="1" showErrorMessage="1" errorTitle="Invalid count" error="Value must be between 0 and the current implemented total." sqref="S141" xr:uid="{00000000-0002-0000-0100-00004D000000}">
      <formula1>0</formula1>
      <formula2>C65</formula2>
    </dataValidation>
    <dataValidation type="whole" allowBlank="1" showErrorMessage="1" errorTitle="Invalid count" error="Value must be between 0 and the current implemented total." sqref="U141" xr:uid="{00000000-0002-0000-0100-00004E000000}">
      <formula1>0</formula1>
      <formula2>C66</formula2>
    </dataValidation>
    <dataValidation type="whole" allowBlank="1" showErrorMessage="1" errorTitle="Invalid count" error="Value must be between 0 and the current implemented total." sqref="W141" xr:uid="{00000000-0002-0000-0100-00004F000000}">
      <formula1>0</formula1>
      <formula2>C67</formula2>
    </dataValidation>
    <dataValidation type="whole" allowBlank="1" showErrorMessage="1" errorTitle="Invalid overall count" error="Overall count must be between 0 and the current implemented total." sqref="Q142" xr:uid="{00000000-0002-0000-0100-000050000000}">
      <formula1>0</formula1>
      <formula2>C16</formula2>
    </dataValidation>
    <dataValidation type="whole" allowBlank="1" showErrorMessage="1" errorTitle="Invalid count" error="Value must be between 0 and the current implemented total." sqref="S142" xr:uid="{00000000-0002-0000-0100-000051000000}">
      <formula1>0</formula1>
      <formula2>C65</formula2>
    </dataValidation>
    <dataValidation type="whole" allowBlank="1" showErrorMessage="1" errorTitle="Invalid count" error="Value must be between 0 and the current implemented total." sqref="U142" xr:uid="{00000000-0002-0000-0100-000052000000}">
      <formula1>0</formula1>
      <formula2>C66</formula2>
    </dataValidation>
    <dataValidation type="whole" allowBlank="1" showErrorMessage="1" errorTitle="Invalid count" error="Value must be between 0 and the current implemented total." sqref="W142" xr:uid="{00000000-0002-0000-0100-000053000000}">
      <formula1>0</formula1>
      <formula2>C67</formula2>
    </dataValidation>
    <dataValidation type="whole" allowBlank="1" showErrorMessage="1" errorTitle="Invalid overall count" error="Overall count must be between 0 and the current implemented total." sqref="Q143" xr:uid="{00000000-0002-0000-0100-000054000000}">
      <formula1>0</formula1>
      <formula2>C16</formula2>
    </dataValidation>
    <dataValidation type="whole" allowBlank="1" showErrorMessage="1" errorTitle="Invalid count" error="Value must be between 0 and the current implemented total." sqref="S143" xr:uid="{00000000-0002-0000-0100-000055000000}">
      <formula1>0</formula1>
      <formula2>C65</formula2>
    </dataValidation>
    <dataValidation type="whole" allowBlank="1" showErrorMessage="1" errorTitle="Invalid count" error="Value must be between 0 and the current implemented total." sqref="U143" xr:uid="{00000000-0002-0000-0100-000056000000}">
      <formula1>0</formula1>
      <formula2>C66</formula2>
    </dataValidation>
    <dataValidation type="whole" allowBlank="1" showErrorMessage="1" errorTitle="Invalid count" error="Value must be between 0 and the current implemented total." sqref="W143" xr:uid="{00000000-0002-0000-0100-000057000000}">
      <formula1>0</formula1>
      <formula2>C67</formula2>
    </dataValidation>
    <dataValidation type="whole" allowBlank="1" showErrorMessage="1" errorTitle="Invalid overall count" error="Overall count must be between 0 and the current implemented total." sqref="Q144" xr:uid="{00000000-0002-0000-0100-000058000000}">
      <formula1>0</formula1>
      <formula2>C16</formula2>
    </dataValidation>
    <dataValidation type="whole" allowBlank="1" showErrorMessage="1" errorTitle="Invalid count" error="Value must be between 0 and the current implemented total." sqref="S144" xr:uid="{00000000-0002-0000-0100-000059000000}">
      <formula1>0</formula1>
      <formula2>C65</formula2>
    </dataValidation>
    <dataValidation type="whole" allowBlank="1" showErrorMessage="1" errorTitle="Invalid count" error="Value must be between 0 and the current implemented total." sqref="U144" xr:uid="{00000000-0002-0000-0100-00005A000000}">
      <formula1>0</formula1>
      <formula2>C66</formula2>
    </dataValidation>
    <dataValidation type="whole" allowBlank="1" showErrorMessage="1" errorTitle="Invalid count" error="Value must be between 0 and the current implemented total." sqref="W144" xr:uid="{00000000-0002-0000-0100-00005B000000}">
      <formula1>0</formula1>
      <formula2>C67</formula2>
    </dataValidation>
    <dataValidation type="whole" allowBlank="1" showErrorMessage="1" errorTitle="Invalid overall count" error="Overall count must be between 0 and the current implemented total." sqref="Q145" xr:uid="{00000000-0002-0000-0100-00005C000000}">
      <formula1>0</formula1>
      <formula2>C16</formula2>
    </dataValidation>
    <dataValidation type="whole" allowBlank="1" showErrorMessage="1" errorTitle="Invalid count" error="Value must be between 0 and the current implemented total." sqref="S145" xr:uid="{00000000-0002-0000-0100-00005D000000}">
      <formula1>0</formula1>
      <formula2>C65</formula2>
    </dataValidation>
    <dataValidation type="whole" allowBlank="1" showErrorMessage="1" errorTitle="Invalid count" error="Value must be between 0 and the current implemented total." sqref="U145" xr:uid="{00000000-0002-0000-0100-00005E000000}">
      <formula1>0</formula1>
      <formula2>C66</formula2>
    </dataValidation>
    <dataValidation type="whole" allowBlank="1" showErrorMessage="1" errorTitle="Invalid count" error="Value must be between 0 and the current implemented total." sqref="W145" xr:uid="{00000000-0002-0000-0100-00005F000000}">
      <formula1>0</formula1>
      <formula2>C67</formula2>
    </dataValidation>
    <dataValidation type="whole" allowBlank="1" showErrorMessage="1" errorTitle="Invalid overall count" error="Overall count must be between 0 and the current implemented total." sqref="Q146" xr:uid="{00000000-0002-0000-0100-000060000000}">
      <formula1>0</formula1>
      <formula2>C16</formula2>
    </dataValidation>
    <dataValidation type="whole" allowBlank="1" showErrorMessage="1" errorTitle="Invalid count" error="Value must be between 0 and the current implemented total." sqref="S146" xr:uid="{00000000-0002-0000-0100-000061000000}">
      <formula1>0</formula1>
      <formula2>C65</formula2>
    </dataValidation>
    <dataValidation type="whole" allowBlank="1" showErrorMessage="1" errorTitle="Invalid count" error="Value must be between 0 and the current implemented total." sqref="U146" xr:uid="{00000000-0002-0000-0100-000062000000}">
      <formula1>0</formula1>
      <formula2>C66</formula2>
    </dataValidation>
    <dataValidation type="whole" allowBlank="1" showErrorMessage="1" errorTitle="Invalid count" error="Value must be between 0 and the current implemented total." sqref="W146" xr:uid="{00000000-0002-0000-0100-000063000000}">
      <formula1>0</formula1>
      <formula2>C67</formula2>
    </dataValidation>
    <dataValidation type="whole" allowBlank="1" showErrorMessage="1" errorTitle="Invalid overall count" error="Overall count must be between 0 and the current implemented total." sqref="Q147" xr:uid="{00000000-0002-0000-0100-000064000000}">
      <formula1>0</formula1>
      <formula2>C16</formula2>
    </dataValidation>
    <dataValidation type="whole" allowBlank="1" showErrorMessage="1" errorTitle="Invalid count" error="Value must be between 0 and the current implemented total." sqref="S147" xr:uid="{00000000-0002-0000-0100-000065000000}">
      <formula1>0</formula1>
      <formula2>C65</formula2>
    </dataValidation>
    <dataValidation type="whole" allowBlank="1" showErrorMessage="1" errorTitle="Invalid count" error="Value must be between 0 and the current implemented total." sqref="U147" xr:uid="{00000000-0002-0000-0100-000066000000}">
      <formula1>0</formula1>
      <formula2>C66</formula2>
    </dataValidation>
    <dataValidation type="whole" allowBlank="1" showErrorMessage="1" errorTitle="Invalid count" error="Value must be between 0 and the current implemented total." sqref="W147" xr:uid="{00000000-0002-0000-0100-000067000000}">
      <formula1>0</formula1>
      <formula2>C67</formula2>
    </dataValidation>
    <dataValidation type="whole" allowBlank="1" showErrorMessage="1" errorTitle="Invalid overall count" error="Overall count must be between 0 and the current implemented total." sqref="Q148" xr:uid="{00000000-0002-0000-0100-000068000000}">
      <formula1>0</formula1>
      <formula2>C16</formula2>
    </dataValidation>
    <dataValidation type="whole" allowBlank="1" showErrorMessage="1" errorTitle="Invalid count" error="Value must be between 0 and the current implemented total." sqref="S148" xr:uid="{00000000-0002-0000-0100-000069000000}">
      <formula1>0</formula1>
      <formula2>C65</formula2>
    </dataValidation>
    <dataValidation type="whole" allowBlank="1" showErrorMessage="1" errorTitle="Invalid count" error="Value must be between 0 and the current implemented total." sqref="U148" xr:uid="{00000000-0002-0000-0100-00006A000000}">
      <formula1>0</formula1>
      <formula2>C66</formula2>
    </dataValidation>
    <dataValidation type="whole" allowBlank="1" showErrorMessage="1" errorTitle="Invalid count" error="Value must be between 0 and the current implemented total." sqref="W148" xr:uid="{00000000-0002-0000-0100-00006B000000}">
      <formula1>0</formula1>
      <formula2>C67</formula2>
    </dataValidation>
    <dataValidation type="whole" allowBlank="1" showErrorMessage="1" errorTitle="Invalid overall count" error="Overall count must be between 0 and the current implemented total." sqref="Q149" xr:uid="{00000000-0002-0000-0100-00006C000000}">
      <formula1>0</formula1>
      <formula2>C16</formula2>
    </dataValidation>
    <dataValidation type="whole" allowBlank="1" showErrorMessage="1" errorTitle="Invalid count" error="Value must be between 0 and the current implemented total." sqref="S149" xr:uid="{00000000-0002-0000-0100-00006D000000}">
      <formula1>0</formula1>
      <formula2>C65</formula2>
    </dataValidation>
    <dataValidation type="whole" allowBlank="1" showErrorMessage="1" errorTitle="Invalid count" error="Value must be between 0 and the current implemented total." sqref="U149" xr:uid="{00000000-0002-0000-0100-00006E000000}">
      <formula1>0</formula1>
      <formula2>C66</formula2>
    </dataValidation>
    <dataValidation type="whole" allowBlank="1" showErrorMessage="1" errorTitle="Invalid count" error="Value must be between 0 and the current implemented total." sqref="W149" xr:uid="{00000000-0002-0000-0100-00006F000000}">
      <formula1>0</formula1>
      <formula2>C67</formula2>
    </dataValidation>
    <dataValidation type="whole" allowBlank="1" showErrorMessage="1" errorTitle="Invalid overall count" error="Overall count must be between 0 and the current implemented total." sqref="Q150" xr:uid="{00000000-0002-0000-0100-000070000000}">
      <formula1>0</formula1>
      <formula2>C16</formula2>
    </dataValidation>
    <dataValidation type="whole" allowBlank="1" showErrorMessage="1" errorTitle="Invalid count" error="Value must be between 0 and the current implemented total." sqref="S150" xr:uid="{00000000-0002-0000-0100-000071000000}">
      <formula1>0</formula1>
      <formula2>C65</formula2>
    </dataValidation>
    <dataValidation type="whole" allowBlank="1" showErrorMessage="1" errorTitle="Invalid count" error="Value must be between 0 and the current implemented total." sqref="U150" xr:uid="{00000000-0002-0000-0100-000072000000}">
      <formula1>0</formula1>
      <formula2>C66</formula2>
    </dataValidation>
    <dataValidation type="whole" allowBlank="1" showErrorMessage="1" errorTitle="Invalid count" error="Value must be between 0 and the current implemented total." sqref="W150" xr:uid="{00000000-0002-0000-0100-000073000000}">
      <formula1>0</formula1>
      <formula2>C67</formula2>
    </dataValidation>
    <dataValidation type="whole" allowBlank="1" showErrorMessage="1" errorTitle="Invalid overall count" error="Overall count must be between 0 and the current implemented total." sqref="Q151" xr:uid="{00000000-0002-0000-0100-000074000000}">
      <formula1>0</formula1>
      <formula2>C16</formula2>
    </dataValidation>
    <dataValidation type="whole" allowBlank="1" showErrorMessage="1" errorTitle="Invalid count" error="Value must be between 0 and the current implemented total." sqref="S151" xr:uid="{00000000-0002-0000-0100-000075000000}">
      <formula1>0</formula1>
      <formula2>C65</formula2>
    </dataValidation>
    <dataValidation type="whole" allowBlank="1" showErrorMessage="1" errorTitle="Invalid count" error="Value must be between 0 and the current implemented total." sqref="U151" xr:uid="{00000000-0002-0000-0100-000076000000}">
      <formula1>0</formula1>
      <formula2>C66</formula2>
    </dataValidation>
    <dataValidation type="whole" allowBlank="1" showErrorMessage="1" errorTitle="Invalid count" error="Value must be between 0 and the current implemented total." sqref="W151" xr:uid="{00000000-0002-0000-0100-000077000000}">
      <formula1>0</formula1>
      <formula2>C67</formula2>
    </dataValidation>
    <dataValidation type="whole" allowBlank="1" showErrorMessage="1" errorTitle="Invalid Asset Count" error="Value must be between 0 and the Total Asset Numbers above." sqref="Q164" xr:uid="{00000000-0002-0000-0100-000078000000}">
      <formula1>0</formula1>
      <formula2>$P160</formula2>
    </dataValidation>
    <dataValidation type="whole" allowBlank="1" showErrorMessage="1" errorTitle="Invalid Asset Count" error="Value must be between 0 and the Total Asset Numbers above." sqref="Q165" xr:uid="{00000000-0002-0000-0100-000079000000}">
      <formula1>0</formula1>
      <formula2>$P160</formula2>
    </dataValidation>
    <dataValidation type="whole" allowBlank="1" showErrorMessage="1" errorTitle="Invalid Asset Count" error="Value must be between 0 and the Total Asset Numbers above." sqref="Q166" xr:uid="{00000000-0002-0000-0100-00007A000000}">
      <formula1>0</formula1>
      <formula2>$P160</formula2>
    </dataValidation>
    <dataValidation type="whole" allowBlank="1" showErrorMessage="1" errorTitle="Invalid Asset Count" error="Value must be between 0 and the Total Asset Numbers above." sqref="Q167" xr:uid="{00000000-0002-0000-0100-00007B000000}">
      <formula1>0</formula1>
      <formula2>$P160</formula2>
    </dataValidation>
    <dataValidation type="whole" allowBlank="1" showErrorMessage="1" errorTitle="Invalid Asset Count" error="Value must be between 0 and the Total Asset Numbers above." sqref="Q168" xr:uid="{00000000-0002-0000-0100-00007C000000}">
      <formula1>0</formula1>
      <formula2>$P160</formula2>
    </dataValidation>
    <dataValidation type="whole" allowBlank="1" showErrorMessage="1" errorTitle="Invalid Asset Count" error="Value must be between 0 and the Total Asset Numbers above." sqref="Q169" xr:uid="{00000000-0002-0000-0100-00007D000000}">
      <formula1>0</formula1>
      <formula2>$P160</formula2>
    </dataValidation>
    <dataValidation type="whole" allowBlank="1" showErrorMessage="1" errorTitle="Invalid Asset Count" error="Value must be between 0 and the Total Asset Numbers above." sqref="Q170" xr:uid="{00000000-0002-0000-0100-00007E000000}">
      <formula1>0</formula1>
      <formula2>$P160</formula2>
    </dataValidation>
    <dataValidation type="whole" allowBlank="1" showErrorMessage="1" errorTitle="Invalid Asset Count" error="Value must be between 0 and the Total Asset Numbers above." sqref="Q171" xr:uid="{00000000-0002-0000-0100-00007F000000}">
      <formula1>0</formula1>
      <formula2>$P160</formula2>
    </dataValidation>
    <dataValidation type="whole" allowBlank="1" showErrorMessage="1" errorTitle="Invalid Asset Count" error="Value must be between 0 and the Total Asset Numbers above." sqref="Q172" xr:uid="{00000000-0002-0000-0100-000080000000}">
      <formula1>0</formula1>
      <formula2>$P160</formula2>
    </dataValidation>
    <dataValidation type="whole" allowBlank="1" showErrorMessage="1" errorTitle="Invalid Asset Count" error="Value must be between 0 and the Total Asset Numbers above." sqref="Q173" xr:uid="{00000000-0002-0000-0100-000081000000}">
      <formula1>0</formula1>
      <formula2>$P160</formula2>
    </dataValidation>
    <dataValidation type="whole" allowBlank="1" showErrorMessage="1" errorTitle="Invalid Asset Count" error="Value must be between 0 and the Total Asset Numbers above." sqref="Q174" xr:uid="{00000000-0002-0000-0100-000082000000}">
      <formula1>0</formula1>
      <formula2>$P160</formula2>
    </dataValidation>
    <dataValidation type="whole" allowBlank="1" showErrorMessage="1" errorTitle="Invalid Asset Count" error="Value must be between 0 and the Total Asset Numbers above." sqref="Q175" xr:uid="{00000000-0002-0000-0100-000083000000}">
      <formula1>0</formula1>
      <formula2>$P160</formula2>
    </dataValidation>
    <dataValidation type="whole" allowBlank="1" showErrorMessage="1" errorTitle="Invalid Asset Count" error="Value must be between 0 and the Total Asset Numbers above." sqref="Q176" xr:uid="{00000000-0002-0000-0100-000084000000}">
      <formula1>0</formula1>
      <formula2>$P160</formula2>
    </dataValidation>
    <dataValidation type="whole" allowBlank="1" showErrorMessage="1" errorTitle="Invalid Asset Count" error="Value must be between 0 and the Total Asset Numbers above." sqref="Q177" xr:uid="{00000000-0002-0000-0100-000085000000}">
      <formula1>0</formula1>
      <formula2>$P160</formula2>
    </dataValidation>
    <dataValidation type="whole" allowBlank="1" showErrorMessage="1" errorTitle="Invalid Asset Count" error="Value must be between 0 and the Total Asset Numbers above." sqref="Q178" xr:uid="{00000000-0002-0000-0100-000086000000}">
      <formula1>0</formula1>
      <formula2>$P160</formula2>
    </dataValidation>
    <dataValidation type="whole" allowBlank="1" showErrorMessage="1" errorTitle="Invalid Asset Count" error="Value must be between 0 and the Total Asset Numbers above." sqref="Q179" xr:uid="{00000000-0002-0000-0100-000087000000}">
      <formula1>0</formula1>
      <formula2>$P160</formula2>
    </dataValidation>
    <dataValidation type="whole" allowBlank="1" showErrorMessage="1" errorTitle="Invalid Asset Count" error="Value must be between 0 and the Total Asset Numbers above." sqref="Q180" xr:uid="{00000000-0002-0000-0100-000088000000}">
      <formula1>0</formula1>
      <formula2>$P160</formula2>
    </dataValidation>
    <dataValidation type="whole" allowBlank="1" showErrorMessage="1" errorTitle="Invalid Asset Count" error="Value must be between 0 and the Total Asset Numbers above." sqref="Q181" xr:uid="{00000000-0002-0000-0100-000089000000}">
      <formula1>0</formula1>
      <formula2>$P160</formula2>
    </dataValidation>
    <dataValidation type="whole" allowBlank="1" showErrorMessage="1" errorTitle="Invalid Asset Count" error="Value must be between 0 and the Total Asset Numbers above." sqref="Q182" xr:uid="{00000000-0002-0000-0100-00008A000000}">
      <formula1>0</formula1>
      <formula2>$P160</formula2>
    </dataValidation>
    <dataValidation type="whole" allowBlank="1" showErrorMessage="1" errorTitle="Invalid Asset Count" error="Value must be between 0 and the Total Asset Numbers above." sqref="Q183" xr:uid="{00000000-0002-0000-0100-00008B000000}">
      <formula1>0</formula1>
      <formula2>$P160</formula2>
    </dataValidation>
  </dataValidations>
  <hyperlinks>
    <hyperlink ref="B187"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8"/>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4"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10" t="s">
        <v>28</v>
      </c>
      <c r="B4" s="5" t="s">
        <v>29</v>
      </c>
      <c r="C4" s="6" t="s">
        <v>15</v>
      </c>
      <c r="D4" s="7" t="s">
        <v>16</v>
      </c>
      <c r="E4" s="7" t="s">
        <v>17</v>
      </c>
      <c r="F4" s="7" t="s">
        <v>18</v>
      </c>
      <c r="G4" s="7" t="s">
        <v>19</v>
      </c>
      <c r="H4" s="8" t="s">
        <v>19</v>
      </c>
      <c r="I4" s="5" t="s">
        <v>30</v>
      </c>
      <c r="J4" s="5" t="s">
        <v>31</v>
      </c>
      <c r="K4" s="5" t="s">
        <v>32</v>
      </c>
      <c r="L4" s="7" t="str">
        <f t="shared" si="0"/>
        <v>Outstanding</v>
      </c>
      <c r="M4" s="12" t="s">
        <v>19</v>
      </c>
    </row>
    <row r="8" spans="1:13" ht="32" customHeight="1" x14ac:dyDescent="0.35">
      <c r="A8" s="78" t="s">
        <v>33</v>
      </c>
      <c r="B8" s="78"/>
      <c r="C8" s="78"/>
      <c r="D8" s="78"/>
    </row>
  </sheetData>
  <mergeCells count="1">
    <mergeCell ref="A8:D8"/>
  </mergeCells>
  <conditionalFormatting sqref="C2:C4">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4">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4">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4">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4" xr:uid="{00000000-0002-0000-0200-000000000000}">
      <formula1>"Must,Should,Could,Won't,Unassigned"</formula1>
    </dataValidation>
    <dataValidation type="list" showErrorMessage="1" errorTitle="Invalid Value" error="Please select a value from the list: Low, Medium, High, Unassessed." sqref="E2:E4" xr:uid="{00000000-0002-0000-0200-000001000000}">
      <formula1>"Low,Medium,High,Unassessed"</formula1>
    </dataValidation>
    <dataValidation type="list" showErrorMessage="1" errorTitle="Invalid Value" error="Please select a value from the list: Phase1, Phase2, Phase3, Phase4, Phase5, Pending." sqref="F2:F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4" xr:uid="{00000000-0002-0000-0200-000003000000}">
      <formula1>"Implemented,Testing,Failed,Compensated,Risk Accepted,N/A"</formula1>
    </dataValidation>
  </dataValidations>
  <hyperlinks>
    <hyperlink ref="A8"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159</v>
      </c>
      <c r="C2" s="95" t="s">
        <v>159</v>
      </c>
      <c r="D2" s="95" t="s">
        <v>159</v>
      </c>
      <c r="E2" s="95" t="s">
        <v>159</v>
      </c>
      <c r="F2" s="95" t="s">
        <v>159</v>
      </c>
      <c r="G2" s="95" t="s">
        <v>159</v>
      </c>
      <c r="H2" s="99" t="s">
        <v>160</v>
      </c>
      <c r="I2" s="99" t="s">
        <v>160</v>
      </c>
      <c r="J2" s="99" t="s">
        <v>160</v>
      </c>
      <c r="K2" s="99" t="s">
        <v>160</v>
      </c>
      <c r="L2" s="99" t="s">
        <v>160</v>
      </c>
      <c r="M2" s="98" t="s">
        <v>161</v>
      </c>
      <c r="N2" s="98" t="s">
        <v>161</v>
      </c>
      <c r="O2" s="100" t="s">
        <v>162</v>
      </c>
      <c r="P2" s="100" t="s">
        <v>162</v>
      </c>
      <c r="Q2" s="96" t="s">
        <v>11</v>
      </c>
      <c r="R2" s="96" t="s">
        <v>11</v>
      </c>
      <c r="S2" s="96" t="s">
        <v>11</v>
      </c>
      <c r="T2" s="97" t="s">
        <v>163</v>
      </c>
    </row>
    <row r="3" spans="2:20" ht="35" customHeight="1" x14ac:dyDescent="0.35">
      <c r="B3" s="68" t="s">
        <v>164</v>
      </c>
      <c r="C3" s="68" t="s">
        <v>165</v>
      </c>
      <c r="D3" s="68" t="s">
        <v>166</v>
      </c>
      <c r="E3" s="68" t="s">
        <v>167</v>
      </c>
      <c r="F3" s="68" t="s">
        <v>168</v>
      </c>
      <c r="G3" s="68" t="s">
        <v>9</v>
      </c>
      <c r="H3" s="69" t="s">
        <v>169</v>
      </c>
      <c r="I3" s="69" t="s">
        <v>170</v>
      </c>
      <c r="J3" s="69" t="s">
        <v>171</v>
      </c>
      <c r="K3" s="69" t="s">
        <v>172</v>
      </c>
      <c r="L3" s="69" t="s">
        <v>104</v>
      </c>
      <c r="M3" s="70" t="s">
        <v>173</v>
      </c>
      <c r="N3" s="70" t="s">
        <v>174</v>
      </c>
      <c r="O3" s="71" t="s">
        <v>175</v>
      </c>
      <c r="P3" s="71" t="s">
        <v>176</v>
      </c>
      <c r="Q3" s="72" t="s">
        <v>11</v>
      </c>
      <c r="R3" s="72" t="s">
        <v>177</v>
      </c>
      <c r="S3" s="72" t="s">
        <v>178</v>
      </c>
      <c r="T3" s="73" t="s">
        <v>179</v>
      </c>
    </row>
    <row r="4" spans="2:20" ht="60" customHeight="1" x14ac:dyDescent="0.35">
      <c r="B4" s="74" t="s">
        <v>180</v>
      </c>
      <c r="C4" s="74" t="s">
        <v>181</v>
      </c>
      <c r="D4" s="74" t="s">
        <v>182</v>
      </c>
      <c r="E4" s="74" t="s">
        <v>183</v>
      </c>
      <c r="F4" s="74" t="s">
        <v>184</v>
      </c>
      <c r="G4" s="74" t="s">
        <v>185</v>
      </c>
      <c r="H4" s="74" t="s">
        <v>186</v>
      </c>
      <c r="I4" s="74" t="s">
        <v>187</v>
      </c>
      <c r="J4" s="74" t="s">
        <v>188</v>
      </c>
      <c r="K4" s="74" t="s">
        <v>189</v>
      </c>
      <c r="L4" s="74" t="s">
        <v>190</v>
      </c>
      <c r="M4" s="74" t="s">
        <v>191</v>
      </c>
      <c r="N4" s="74" t="s">
        <v>192</v>
      </c>
      <c r="O4" s="74" t="s">
        <v>193</v>
      </c>
      <c r="P4" s="74" t="s">
        <v>194</v>
      </c>
      <c r="Q4" s="74" t="s">
        <v>195</v>
      </c>
      <c r="R4" s="74" t="s">
        <v>196</v>
      </c>
      <c r="S4" s="74" t="s">
        <v>197</v>
      </c>
      <c r="T4" s="74" t="s">
        <v>198</v>
      </c>
    </row>
    <row r="5" spans="2:20" ht="60" customHeight="1" x14ac:dyDescent="0.35">
      <c r="B5" s="36" t="s">
        <v>199</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200</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201</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202</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203</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204</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205</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206</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207</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208</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209</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210</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211</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212</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213</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214</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215</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216</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217</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218</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219</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220</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221</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222</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223</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224</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225</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226</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227</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228</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229</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230</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231</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232</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233</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234</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235</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236</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237</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238</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239</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240</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241</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242</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243</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244</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245</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246</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247</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248</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33</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Microsoft Skype for Business 2016 Security Technical Implementation Guide - SHGIR</dc:title>
  <dc:subject>Generated on: 2026-06-08 13:59:44</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2026-06-08T12:59:50Z</dcterms:modified>
  <cp:category>DISA-STIG</cp:category>
  <cp:contentStatus>Draft</cp:contentStatus>
</cp:coreProperties>
</file>